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Shelter and CCCM\CAR\8 August 2018\"/>
    </mc:Choice>
  </mc:AlternateContent>
  <bookViews>
    <workbookView xWindow="0" yWindow="0" windowWidth="23232" windowHeight="8988" tabRatio="864"/>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Progress" sheetId="97"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s>
  <definedNames>
    <definedName name="_xlnm._FilterDatabase" localSheetId="0" hidden="1">'IDP locations'!$AH$4:$AI$4</definedName>
    <definedName name="_xlnm._FilterDatabase" localSheetId="17" hidden="1">'NFI Distributions'!#REF!</definedName>
    <definedName name="_xlnm._FilterDatabase" localSheetId="16" hidden="1">'NFI Stock and Pipeline'!$B$1:$BO$3</definedName>
    <definedName name="_xlnm._FilterDatabase" localSheetId="11" hidden="1">'Shelter Gap Analysis'!$A$4:$Z$182</definedName>
    <definedName name="_xlnm._FilterDatabase" localSheetId="14" hidden="1">'Shelter Progress'!$A$4:$U$176</definedName>
    <definedName name="AllData_Camplist" localSheetId="6">CampList[#All]</definedName>
    <definedName name="AllData_Camplist" localSheetId="15">CampList[#All]</definedName>
    <definedName name="AllData_Camplist" localSheetId="14">CampList[#All]</definedName>
    <definedName name="AllData_Camplist">CampList[#All]</definedName>
    <definedName name="Camp_Accessibility">Definition!$Q$2:$Q$4</definedName>
    <definedName name="Camp_List" localSheetId="14">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4">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4">'NFI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4">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 localSheetId="14">Table10[[Pcode]:[Priority]]</definedName>
    <definedName name="PriorityCampWin">Table10[[Pcode]:[Priority]]</definedName>
    <definedName name="Rakhine_DB" localSheetId="6">Map!$T$2:$AD$25</definedName>
    <definedName name="Report_Date">Definition!$B$23</definedName>
    <definedName name="Shan_North">Definition!$N$2:$N$7</definedName>
    <definedName name="Shelter_Draw_Ratio" localSheetId="14">'Shelter overview'!#REF!</definedName>
    <definedName name="Shelter_Draw_Ratio">'Shelter overview'!#REF!</definedName>
    <definedName name="Shelter_Gap" localSheetId="14">'IDP locations'!#REF!</definedName>
    <definedName name="Shelter_Gap">'IDP locations'!#REF!</definedName>
    <definedName name="Shelter_HH_Covered" localSheetId="14">'Shelter Progress'!#REF!</definedName>
    <definedName name="Shelter_HH_Covered">'Shelter Gap Analysis'!#REF!</definedName>
    <definedName name="Shelter_HH_Covered_1" localSheetId="14">'Shelter Progress'!#REF!</definedName>
    <definedName name="Shelter_HH_Covered_1">'Shelter Gap Analysis'!#REF!</definedName>
    <definedName name="Shelter_HH_Covered_old" localSheetId="14">'Shelter Progress'!#REF!</definedName>
    <definedName name="Shelter_HH_Covered_old">'Shelter Gap Analysis'!#REF!</definedName>
    <definedName name="Shelter_possible" localSheetId="14">'IDP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6"/>
    <pivotCache cacheId="1" r:id="rId27"/>
    <pivotCache cacheId="2" r:id="rId28"/>
    <pivotCache cacheId="10" r:id="rId29"/>
    <pivotCache cacheId="24" r:id="rId30"/>
  </pivotCaches>
</workbook>
</file>

<file path=xl/calcChain.xml><?xml version="1.0" encoding="utf-8"?>
<calcChain xmlns="http://schemas.openxmlformats.org/spreadsheetml/2006/main">
  <c r="T306" i="14" l="1"/>
  <c r="AD306" i="14"/>
  <c r="AE306" i="14"/>
  <c r="AF306" i="14" s="1"/>
  <c r="T269" i="14" l="1"/>
  <c r="AD269" i="14"/>
  <c r="AE269" i="14"/>
  <c r="AF269" i="14" s="1"/>
  <c r="T157" i="19" l="1"/>
  <c r="T156" i="19"/>
  <c r="S157" i="19"/>
  <c r="S156" i="19"/>
  <c r="S159" i="19" s="1"/>
  <c r="Y159" i="19"/>
  <c r="X159" i="19"/>
  <c r="W159" i="19"/>
  <c r="V159" i="19"/>
  <c r="U159" i="19"/>
  <c r="R159" i="19"/>
  <c r="Q159" i="19"/>
  <c r="P159" i="19"/>
  <c r="O159" i="19"/>
  <c r="N159" i="19"/>
  <c r="M159" i="19"/>
  <c r="L159" i="19"/>
  <c r="K159" i="19"/>
  <c r="J159" i="19"/>
  <c r="I159" i="19"/>
  <c r="H159" i="19"/>
  <c r="T159" i="19" l="1"/>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AJ25" i="66"/>
  <c r="AJ24" i="66"/>
  <c r="AJ23" i="66"/>
  <c r="AJ21" i="66"/>
  <c r="AJ19" i="66"/>
  <c r="AJ20" i="66"/>
  <c r="AJ17" i="66"/>
  <c r="AJ15" i="66"/>
  <c r="AJ14" i="66"/>
  <c r="AJ13" i="66"/>
  <c r="AJ12" i="66"/>
  <c r="AJ11" i="66"/>
  <c r="AJ10" i="66"/>
  <c r="AJ9" i="66"/>
  <c r="AJ8" i="66"/>
  <c r="AJ7" i="66"/>
  <c r="AJ6" i="66"/>
  <c r="AJ5" i="66"/>
  <c r="AJ4" i="66"/>
  <c r="AJ3" i="66"/>
  <c r="AJ16" i="66"/>
  <c r="AJ18" i="66"/>
  <c r="AJ22" i="66"/>
  <c r="B3" i="14" l="1"/>
  <c r="J176" i="97" l="1"/>
  <c r="K176" i="97"/>
  <c r="L176" i="97"/>
  <c r="I175" i="97"/>
  <c r="J175" i="97"/>
  <c r="K175" i="97"/>
  <c r="L175" i="97"/>
  <c r="M175" i="97"/>
  <c r="N175" i="97"/>
  <c r="O175" i="97"/>
  <c r="P175" i="97"/>
  <c r="Q175" i="97"/>
  <c r="H175" i="97"/>
  <c r="I144" i="97"/>
  <c r="J144" i="97"/>
  <c r="K144" i="97"/>
  <c r="L144" i="97"/>
  <c r="M144" i="97"/>
  <c r="N144" i="97"/>
  <c r="O144" i="97"/>
  <c r="P144" i="97"/>
  <c r="Q144" i="97"/>
  <c r="H144" i="97"/>
  <c r="I139" i="97"/>
  <c r="J139" i="97"/>
  <c r="K139" i="97"/>
  <c r="L139" i="97"/>
  <c r="M139" i="97"/>
  <c r="N139" i="97"/>
  <c r="O139" i="97"/>
  <c r="O176" i="97" s="1"/>
  <c r="P139" i="97"/>
  <c r="Q139" i="97"/>
  <c r="H139" i="97"/>
  <c r="I132" i="97"/>
  <c r="J132" i="97"/>
  <c r="K132" i="97"/>
  <c r="L132" i="97"/>
  <c r="M132" i="97"/>
  <c r="N132" i="97"/>
  <c r="O132" i="97"/>
  <c r="P132" i="97"/>
  <c r="Q132" i="97"/>
  <c r="H132" i="97"/>
  <c r="I105" i="97"/>
  <c r="J105" i="97"/>
  <c r="K105" i="97"/>
  <c r="L105" i="97"/>
  <c r="M105" i="97"/>
  <c r="N105" i="97"/>
  <c r="O105" i="97"/>
  <c r="P105" i="97"/>
  <c r="Q105" i="97"/>
  <c r="H105" i="97"/>
  <c r="H176" i="97" s="1"/>
  <c r="I101" i="97"/>
  <c r="I176" i="97" s="1"/>
  <c r="J101" i="97"/>
  <c r="K101" i="97"/>
  <c r="L101" i="97"/>
  <c r="M101" i="97"/>
  <c r="N101" i="97"/>
  <c r="O101" i="97"/>
  <c r="P101" i="97"/>
  <c r="Q101" i="97"/>
  <c r="H101" i="97"/>
  <c r="I88" i="97"/>
  <c r="J88" i="97"/>
  <c r="K88" i="97"/>
  <c r="L88" i="97"/>
  <c r="M88" i="97"/>
  <c r="N88" i="97"/>
  <c r="O88" i="97"/>
  <c r="P88" i="97"/>
  <c r="Q88" i="97"/>
  <c r="H88" i="97"/>
  <c r="I85" i="97"/>
  <c r="J85" i="97"/>
  <c r="K85" i="97"/>
  <c r="L85" i="97"/>
  <c r="M85" i="97"/>
  <c r="N85" i="97"/>
  <c r="O85" i="97"/>
  <c r="P85" i="97"/>
  <c r="Q85" i="97"/>
  <c r="H85" i="97"/>
  <c r="I76" i="97"/>
  <c r="J76" i="97"/>
  <c r="K76" i="97"/>
  <c r="L76" i="97"/>
  <c r="M76" i="97"/>
  <c r="N76" i="97"/>
  <c r="O76" i="97"/>
  <c r="P76" i="97"/>
  <c r="Q76" i="97"/>
  <c r="H76" i="97"/>
  <c r="I72" i="97"/>
  <c r="J72" i="97"/>
  <c r="K72" i="97"/>
  <c r="L72" i="97"/>
  <c r="M72" i="97"/>
  <c r="N72" i="97"/>
  <c r="O72" i="97"/>
  <c r="P72" i="97"/>
  <c r="Q72" i="97"/>
  <c r="H72" i="97"/>
  <c r="I62" i="97"/>
  <c r="J62" i="97"/>
  <c r="K62" i="97"/>
  <c r="L62" i="97"/>
  <c r="M62" i="97"/>
  <c r="N62" i="97"/>
  <c r="O62" i="97"/>
  <c r="P62" i="97"/>
  <c r="Q62" i="97"/>
  <c r="H62" i="97"/>
  <c r="I44" i="97"/>
  <c r="J44" i="97"/>
  <c r="K44" i="97"/>
  <c r="L44" i="97"/>
  <c r="M44" i="97"/>
  <c r="N44" i="97"/>
  <c r="N176" i="97" s="1"/>
  <c r="O44" i="97"/>
  <c r="P44" i="97"/>
  <c r="P176" i="97" s="1"/>
  <c r="Q44" i="97"/>
  <c r="Q176" i="97" s="1"/>
  <c r="H44" i="97"/>
  <c r="I20" i="97"/>
  <c r="J20" i="97"/>
  <c r="K20" i="97"/>
  <c r="L20" i="97"/>
  <c r="M20" i="97"/>
  <c r="N20" i="97"/>
  <c r="O20" i="97"/>
  <c r="P20" i="97"/>
  <c r="Q20" i="97"/>
  <c r="H20" i="97"/>
  <c r="I14" i="97"/>
  <c r="J14" i="97"/>
  <c r="K14" i="97"/>
  <c r="L14" i="97"/>
  <c r="M14" i="97"/>
  <c r="N14" i="97"/>
  <c r="O14" i="97"/>
  <c r="P14" i="97"/>
  <c r="Q14" i="97"/>
  <c r="H14" i="97"/>
  <c r="M176" i="97" l="1"/>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H48" i="97" l="1"/>
  <c r="H147" i="97"/>
  <c r="H150" i="97"/>
  <c r="H153" i="97"/>
  <c r="V50" i="19" l="1"/>
  <c r="V51" i="19"/>
  <c r="V52" i="19"/>
  <c r="V53" i="19"/>
  <c r="V54" i="19"/>
  <c r="V55" i="19"/>
  <c r="V56" i="19"/>
  <c r="V57" i="19"/>
  <c r="V58" i="19"/>
  <c r="V59" i="19"/>
  <c r="V60" i="19"/>
  <c r="V61" i="19"/>
  <c r="V62" i="19"/>
  <c r="W131" i="19" l="1"/>
  <c r="C341" i="20" l="1"/>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l="1"/>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3" i="98" l="1"/>
  <c r="AE5" i="14" l="1"/>
  <c r="AF5" i="14" l="1"/>
  <c r="B21" i="92"/>
  <c r="B20" i="92"/>
  <c r="B16" i="92"/>
  <c r="B2" i="92"/>
  <c r="F46" i="94"/>
  <c r="F47" i="94"/>
  <c r="F48" i="94"/>
  <c r="F45" i="94"/>
  <c r="E46" i="94"/>
  <c r="E47" i="94"/>
  <c r="E48" i="94"/>
  <c r="E45" i="94"/>
  <c r="D46" i="94"/>
  <c r="D47" i="94"/>
  <c r="D48" i="94"/>
  <c r="D45" i="94"/>
  <c r="C46" i="94"/>
  <c r="C47" i="94"/>
  <c r="C48" i="94"/>
  <c r="C45" i="94"/>
  <c r="E16" i="94"/>
  <c r="E17" i="94"/>
  <c r="E18" i="94"/>
  <c r="E19" i="94"/>
  <c r="E20" i="94"/>
  <c r="E21" i="94"/>
  <c r="E22" i="94"/>
  <c r="E23" i="94"/>
  <c r="E24" i="94"/>
  <c r="E25" i="94"/>
  <c r="E26" i="94"/>
  <c r="E27" i="94"/>
  <c r="E28" i="94"/>
  <c r="E29" i="94"/>
  <c r="E30" i="94"/>
  <c r="E15" i="94"/>
  <c r="D16" i="94"/>
  <c r="D17" i="94"/>
  <c r="D18" i="94"/>
  <c r="D19" i="94"/>
  <c r="D20" i="94"/>
  <c r="D21" i="94"/>
  <c r="D22" i="94"/>
  <c r="D23" i="94"/>
  <c r="D24" i="94"/>
  <c r="D25" i="94"/>
  <c r="D26" i="94"/>
  <c r="D27" i="94"/>
  <c r="D28" i="94"/>
  <c r="D29" i="94"/>
  <c r="D30" i="94"/>
  <c r="D15" i="94"/>
  <c r="C16" i="94"/>
  <c r="C17" i="94"/>
  <c r="C18" i="94"/>
  <c r="C19" i="94"/>
  <c r="C20" i="94"/>
  <c r="C21" i="94"/>
  <c r="C22" i="94"/>
  <c r="C23" i="94"/>
  <c r="C24" i="94"/>
  <c r="C25" i="94"/>
  <c r="C26" i="94"/>
  <c r="C27" i="94"/>
  <c r="C28" i="94"/>
  <c r="C29" i="94"/>
  <c r="C30" i="94"/>
  <c r="C15" i="94"/>
  <c r="C49" i="94" l="1"/>
  <c r="F49" i="94"/>
  <c r="E49" i="94"/>
  <c r="D49" i="94"/>
  <c r="G46" i="94"/>
  <c r="H46" i="94"/>
  <c r="G47" i="94"/>
  <c r="H47" i="94"/>
  <c r="G48" i="94"/>
  <c r="H48" i="94"/>
  <c r="E34" i="94"/>
  <c r="E35" i="94"/>
  <c r="E36" i="94"/>
  <c r="E37" i="94"/>
  <c r="E38" i="94"/>
  <c r="E39" i="94"/>
  <c r="E33" i="94"/>
  <c r="B17" i="92"/>
  <c r="B10" i="92"/>
  <c r="B11" i="92"/>
  <c r="B12" i="92"/>
  <c r="B9" i="92"/>
  <c r="B3" i="92"/>
  <c r="B4" i="92"/>
  <c r="B5" i="92"/>
  <c r="C11" i="62"/>
  <c r="C10" i="62"/>
  <c r="C23" i="62"/>
  <c r="C14" i="62"/>
  <c r="C19" i="62"/>
  <c r="C25" i="62"/>
  <c r="C21" i="62"/>
  <c r="C29" i="62"/>
  <c r="C18" i="62"/>
  <c r="C26" i="62"/>
  <c r="C22" i="62"/>
  <c r="C20" i="62"/>
  <c r="C24" i="62"/>
  <c r="C15" i="62"/>
  <c r="C16" i="62"/>
  <c r="C27" i="62"/>
  <c r="C13" i="62"/>
  <c r="C28" i="62"/>
  <c r="C17" i="62"/>
  <c r="C12" i="62"/>
  <c r="C30" i="62" l="1"/>
  <c r="Z5" i="33"/>
  <c r="D34" i="94"/>
  <c r="D35" i="94"/>
  <c r="D36" i="94"/>
  <c r="D37" i="94"/>
  <c r="D38" i="94"/>
  <c r="D39" i="94"/>
  <c r="D33" i="94"/>
  <c r="C34" i="94"/>
  <c r="C35" i="94"/>
  <c r="C36" i="94"/>
  <c r="C37" i="94"/>
  <c r="C38" i="94"/>
  <c r="C39" i="94"/>
  <c r="C33" i="94"/>
  <c r="C40" i="94" l="1"/>
  <c r="AD30" i="14" l="1"/>
  <c r="AE304" i="14"/>
  <c r="AD304" i="14"/>
  <c r="T304" i="14"/>
  <c r="AF304" i="14" l="1"/>
  <c r="I153" i="97" l="1"/>
  <c r="J153" i="97"/>
  <c r="K153" i="97"/>
  <c r="L153" i="97"/>
  <c r="M153" i="97"/>
  <c r="N153" i="97"/>
  <c r="O153" i="97"/>
  <c r="P153" i="97"/>
  <c r="Q153" i="97"/>
  <c r="I150" i="97"/>
  <c r="J150" i="97"/>
  <c r="K150" i="97"/>
  <c r="L150" i="97"/>
  <c r="M150" i="97"/>
  <c r="N150" i="97"/>
  <c r="O150" i="97"/>
  <c r="P150" i="97"/>
  <c r="Q150" i="97"/>
  <c r="I147" i="97"/>
  <c r="J147" i="97"/>
  <c r="K147" i="97"/>
  <c r="L147" i="97"/>
  <c r="M147" i="97"/>
  <c r="N147" i="97"/>
  <c r="O147" i="97"/>
  <c r="P147" i="97"/>
  <c r="Q147" i="97"/>
  <c r="I48" i="97"/>
  <c r="J48" i="97"/>
  <c r="K48" i="97"/>
  <c r="L48" i="97"/>
  <c r="M48" i="97"/>
  <c r="N48" i="97"/>
  <c r="O48" i="97"/>
  <c r="P48" i="97"/>
  <c r="Q48" i="97"/>
  <c r="I46" i="97"/>
  <c r="J46" i="97"/>
  <c r="K46" i="97"/>
  <c r="L46" i="97"/>
  <c r="M46" i="97"/>
  <c r="N46" i="97"/>
  <c r="O46" i="97"/>
  <c r="P46" i="97"/>
  <c r="Q46" i="97"/>
  <c r="T175" i="97"/>
  <c r="S175" i="97"/>
  <c r="R175" i="97"/>
  <c r="T153" i="97"/>
  <c r="S153" i="97"/>
  <c r="R153" i="97"/>
  <c r="R150" i="97"/>
  <c r="R147" i="97"/>
  <c r="R144" i="97"/>
  <c r="T139" i="97"/>
  <c r="S139" i="97"/>
  <c r="R139" i="97"/>
  <c r="T132" i="97"/>
  <c r="S132" i="97"/>
  <c r="R132" i="97"/>
  <c r="T105" i="97"/>
  <c r="S105" i="97"/>
  <c r="R105" i="97"/>
  <c r="T101" i="97"/>
  <c r="S101" i="97"/>
  <c r="R101" i="97"/>
  <c r="T88" i="97"/>
  <c r="S88" i="97"/>
  <c r="R88" i="97"/>
  <c r="T85" i="97"/>
  <c r="S85" i="97"/>
  <c r="R85" i="97"/>
  <c r="T76" i="97"/>
  <c r="S76" i="97"/>
  <c r="R76" i="97"/>
  <c r="T72" i="97"/>
  <c r="S72" i="97"/>
  <c r="R72" i="97"/>
  <c r="T62" i="97"/>
  <c r="S62" i="97"/>
  <c r="R62" i="97"/>
  <c r="R48" i="97"/>
  <c r="T46" i="97"/>
  <c r="S46" i="97"/>
  <c r="R46" i="97"/>
  <c r="T44" i="97"/>
  <c r="S44" i="97"/>
  <c r="R44" i="97"/>
  <c r="T20" i="97"/>
  <c r="S20" i="97"/>
  <c r="R20" i="97"/>
  <c r="T14" i="97"/>
  <c r="S14" i="97"/>
  <c r="R14" i="97"/>
  <c r="S48" i="97" l="1"/>
  <c r="S176" i="97" s="1"/>
  <c r="T48" i="97"/>
  <c r="T176" i="97" s="1"/>
  <c r="R176" i="97"/>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l="1"/>
  <c r="AD223" i="14"/>
  <c r="T223" i="14"/>
  <c r="AF223" i="14" l="1"/>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l="1"/>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l="1"/>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P102" i="19" l="1"/>
  <c r="Q102" i="19"/>
  <c r="R102" i="19"/>
  <c r="X181" i="19" l="1"/>
  <c r="Y181" i="19"/>
  <c r="X155" i="19"/>
  <c r="Y155" i="19"/>
  <c r="X141" i="19"/>
  <c r="Y141" i="19"/>
  <c r="X134" i="19"/>
  <c r="Y134" i="19"/>
  <c r="X106" i="19"/>
  <c r="Y106" i="19"/>
  <c r="X102" i="19"/>
  <c r="Y102" i="19"/>
  <c r="X89" i="19"/>
  <c r="Y89" i="19"/>
  <c r="X86" i="19"/>
  <c r="Y86" i="19"/>
  <c r="X77" i="19"/>
  <c r="Y77" i="19"/>
  <c r="X73" i="19"/>
  <c r="Y73" i="19"/>
  <c r="X63" i="19"/>
  <c r="Y63" i="19"/>
  <c r="X46" i="19"/>
  <c r="Y46" i="19"/>
  <c r="X44" i="19"/>
  <c r="Y44" i="19"/>
  <c r="X20" i="19"/>
  <c r="Y20" i="19"/>
  <c r="X14" i="19"/>
  <c r="Y14" i="19"/>
  <c r="U70" i="19"/>
  <c r="V70" i="19"/>
  <c r="T41" i="19"/>
  <c r="S41" i="19"/>
  <c r="T179" i="19"/>
  <c r="S179" i="19"/>
  <c r="H18" i="95" l="1"/>
  <c r="I18" i="95"/>
  <c r="J18" i="95"/>
  <c r="K18" i="95"/>
  <c r="L18" i="95"/>
  <c r="M18" i="95"/>
  <c r="N18" i="95"/>
  <c r="O18" i="95"/>
  <c r="P18" i="95"/>
  <c r="Q18" i="95"/>
  <c r="R18" i="95"/>
  <c r="S18" i="95"/>
  <c r="T18" i="95"/>
  <c r="U18" i="95"/>
  <c r="V18" i="95"/>
  <c r="W18" i="95"/>
  <c r="X18" i="95"/>
  <c r="Y18" i="95"/>
  <c r="Z18" i="95"/>
  <c r="AA18" i="95"/>
  <c r="AB18" i="95"/>
  <c r="AC18" i="95"/>
  <c r="AD18" i="95"/>
  <c r="AE18" i="95"/>
  <c r="AF18" i="95"/>
  <c r="AG18" i="95"/>
  <c r="AH18" i="95"/>
  <c r="AI18" i="95"/>
  <c r="AJ18" i="95"/>
  <c r="AK18" i="95"/>
  <c r="AL18" i="95"/>
  <c r="AM18" i="95"/>
  <c r="AN18" i="95"/>
  <c r="AO18" i="95"/>
  <c r="AP18" i="95"/>
  <c r="AQ18" i="95"/>
  <c r="AR18" i="95"/>
  <c r="AS18" i="95"/>
  <c r="AT18" i="95"/>
  <c r="AU18" i="95"/>
  <c r="AV18" i="95"/>
  <c r="AW18" i="95"/>
  <c r="AX18" i="95"/>
  <c r="AY18" i="95"/>
  <c r="AZ18" i="95"/>
  <c r="BA18" i="95"/>
  <c r="BB18" i="95"/>
  <c r="BC18" i="95"/>
  <c r="BD18" i="95"/>
  <c r="BE18" i="95"/>
  <c r="BF18" i="95"/>
  <c r="BG18" i="95"/>
  <c r="BH18" i="95"/>
  <c r="BI18" i="95"/>
  <c r="BJ18" i="95"/>
  <c r="BK18" i="95"/>
  <c r="BL18" i="95"/>
  <c r="BM18" i="95"/>
  <c r="BN18" i="95"/>
  <c r="G18" i="95"/>
  <c r="C288" i="20" l="1"/>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l="1"/>
  <c r="T220" i="14"/>
  <c r="T302" i="14"/>
  <c r="T303" i="14"/>
  <c r="T221" i="14"/>
  <c r="AD219" i="14"/>
  <c r="AD220" i="14"/>
  <c r="AD302" i="14"/>
  <c r="AD303" i="14"/>
  <c r="AD221" i="14"/>
  <c r="AE219" i="14"/>
  <c r="AE220" i="14"/>
  <c r="AE302" i="14"/>
  <c r="AE303" i="14"/>
  <c r="AE221" i="14"/>
  <c r="AF219" i="14" l="1"/>
  <c r="AF220" i="14"/>
  <c r="AF221" i="14"/>
  <c r="AF303" i="14"/>
  <c r="AF302" i="14"/>
  <c r="T108" i="19"/>
  <c r="T109" i="19"/>
  <c r="T110" i="19"/>
  <c r="T111" i="19"/>
  <c r="T112" i="19"/>
  <c r="T113" i="19"/>
  <c r="T114" i="19"/>
  <c r="T115" i="19"/>
  <c r="T116" i="19"/>
  <c r="T117" i="19"/>
  <c r="T118" i="19"/>
  <c r="T119" i="19"/>
  <c r="T121" i="19"/>
  <c r="T122" i="19"/>
  <c r="T123" i="19"/>
  <c r="T124" i="19"/>
  <c r="T125" i="19"/>
  <c r="T126" i="19"/>
  <c r="T127" i="19"/>
  <c r="T128" i="19"/>
  <c r="T129" i="19"/>
  <c r="T130" i="19"/>
  <c r="T133" i="19"/>
  <c r="S108" i="19"/>
  <c r="S109" i="19"/>
  <c r="S110" i="19"/>
  <c r="S111" i="19"/>
  <c r="S112" i="19"/>
  <c r="S113" i="19"/>
  <c r="S114" i="19"/>
  <c r="S115" i="19"/>
  <c r="S116" i="19"/>
  <c r="S117" i="19"/>
  <c r="S118" i="19"/>
  <c r="S119" i="19"/>
  <c r="S121" i="19"/>
  <c r="S122" i="19"/>
  <c r="S123" i="19"/>
  <c r="S124" i="19"/>
  <c r="S125" i="19"/>
  <c r="S126" i="19"/>
  <c r="S127" i="19"/>
  <c r="S128" i="19"/>
  <c r="S129" i="19"/>
  <c r="S130" i="19"/>
  <c r="S133" i="19"/>
  <c r="W79" i="19"/>
  <c r="W80" i="19"/>
  <c r="W81" i="19"/>
  <c r="W82" i="19"/>
  <c r="W83" i="19"/>
  <c r="W84" i="19"/>
  <c r="W85" i="19"/>
  <c r="V79" i="19"/>
  <c r="V80" i="19"/>
  <c r="V81" i="19"/>
  <c r="V82" i="19"/>
  <c r="V83" i="19"/>
  <c r="V84" i="19"/>
  <c r="V85" i="19"/>
  <c r="U79" i="19"/>
  <c r="U80" i="19"/>
  <c r="U81" i="19"/>
  <c r="U82" i="19"/>
  <c r="U83" i="19"/>
  <c r="U84" i="19"/>
  <c r="U85" i="19"/>
  <c r="T79" i="19"/>
  <c r="T80" i="19"/>
  <c r="T82" i="19"/>
  <c r="T83" i="19"/>
  <c r="T84" i="19"/>
  <c r="T85" i="19"/>
  <c r="S79" i="19"/>
  <c r="S80" i="19"/>
  <c r="S81" i="19"/>
  <c r="S82" i="19"/>
  <c r="S83" i="19"/>
  <c r="S84" i="19"/>
  <c r="S85" i="19"/>
  <c r="AE218" i="14" l="1"/>
  <c r="AE301" i="14"/>
  <c r="AE300" i="14"/>
  <c r="AE217" i="14"/>
  <c r="AE299" i="14"/>
  <c r="AE216" i="14"/>
  <c r="AE214" i="14"/>
  <c r="AD214" i="14"/>
  <c r="AF217" i="14" l="1"/>
  <c r="AF214" i="14"/>
  <c r="AF216" i="14"/>
  <c r="AF301" i="14"/>
  <c r="AF300" i="14"/>
  <c r="AF299" i="14"/>
  <c r="AF218" i="14"/>
  <c r="AD216" i="14"/>
  <c r="AD301" i="14"/>
  <c r="AD300" i="14"/>
  <c r="AD217" i="14"/>
  <c r="AD299" i="14"/>
  <c r="AD227" i="14"/>
  <c r="AD209" i="14"/>
  <c r="AD225" i="14"/>
  <c r="AD208" i="14"/>
  <c r="AD206" i="14"/>
  <c r="AD222" i="14"/>
  <c r="T216" i="14" l="1"/>
  <c r="T299" i="14"/>
  <c r="T217" i="14"/>
  <c r="T300" i="14"/>
  <c r="T301" i="14"/>
  <c r="T218" i="14"/>
  <c r="AD218" i="14"/>
  <c r="W139" i="19" l="1"/>
  <c r="V139" i="19"/>
  <c r="U139" i="19"/>
  <c r="T139" i="19"/>
  <c r="S139"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U123" i="19" l="1"/>
  <c r="V123" i="19"/>
  <c r="W123"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N73" i="19"/>
  <c r="M73" i="19"/>
  <c r="O102" i="19"/>
  <c r="M102" i="19"/>
  <c r="M14" i="19"/>
  <c r="O14" i="19"/>
  <c r="P14" i="19"/>
  <c r="M20" i="19"/>
  <c r="O20" i="19"/>
  <c r="P20" i="19"/>
  <c r="M44" i="19"/>
  <c r="O44" i="19"/>
  <c r="P44" i="19"/>
  <c r="M46" i="19"/>
  <c r="O46" i="19"/>
  <c r="P46" i="19"/>
  <c r="M48" i="19"/>
  <c r="O48" i="19"/>
  <c r="P48" i="19"/>
  <c r="M63" i="19"/>
  <c r="O63" i="19"/>
  <c r="P63" i="19"/>
  <c r="O73" i="19"/>
  <c r="P73" i="19"/>
  <c r="M77" i="19"/>
  <c r="O77" i="19"/>
  <c r="P77" i="19"/>
  <c r="M86" i="19"/>
  <c r="O86" i="19"/>
  <c r="P86" i="19"/>
  <c r="M106" i="19"/>
  <c r="O106" i="19"/>
  <c r="P106" i="19"/>
  <c r="M134" i="19"/>
  <c r="P134" i="19"/>
  <c r="O134" i="19"/>
  <c r="M141" i="19"/>
  <c r="O141" i="19"/>
  <c r="P141" i="19"/>
  <c r="M146" i="19"/>
  <c r="O146" i="19"/>
  <c r="P146" i="19"/>
  <c r="M149" i="19"/>
  <c r="O149" i="19"/>
  <c r="P149" i="19"/>
  <c r="M152" i="19"/>
  <c r="O152" i="19"/>
  <c r="P152" i="19"/>
  <c r="M155" i="19"/>
  <c r="O155" i="19"/>
  <c r="P155" i="19"/>
  <c r="M181" i="19"/>
  <c r="O181" i="19"/>
  <c r="P181" i="19"/>
  <c r="H102" i="19"/>
  <c r="J102" i="19"/>
  <c r="K102" i="19"/>
  <c r="H14" i="19"/>
  <c r="J14" i="19"/>
  <c r="K14" i="19"/>
  <c r="H20" i="19"/>
  <c r="J20" i="19"/>
  <c r="K20" i="19"/>
  <c r="H44" i="19"/>
  <c r="J44" i="19"/>
  <c r="K44" i="19"/>
  <c r="H46" i="19"/>
  <c r="J46" i="19"/>
  <c r="K46" i="19"/>
  <c r="H48" i="19"/>
  <c r="J48" i="19"/>
  <c r="K48" i="19"/>
  <c r="H63" i="19"/>
  <c r="J63" i="19"/>
  <c r="K63" i="19"/>
  <c r="H73" i="19"/>
  <c r="J73" i="19"/>
  <c r="K73" i="19"/>
  <c r="H77" i="19"/>
  <c r="J77" i="19"/>
  <c r="K77" i="19"/>
  <c r="H86" i="19"/>
  <c r="J86" i="19"/>
  <c r="K86" i="19"/>
  <c r="H89" i="19"/>
  <c r="J89" i="19"/>
  <c r="K89" i="19"/>
  <c r="H106" i="19"/>
  <c r="J106" i="19"/>
  <c r="K106" i="19"/>
  <c r="H134" i="19"/>
  <c r="J134" i="19"/>
  <c r="K134" i="19"/>
  <c r="H141" i="19"/>
  <c r="J141" i="19"/>
  <c r="K141" i="19"/>
  <c r="H146" i="19"/>
  <c r="J146" i="19"/>
  <c r="K146" i="19"/>
  <c r="H149" i="19"/>
  <c r="J149" i="19"/>
  <c r="K149" i="19"/>
  <c r="H152" i="19"/>
  <c r="J152" i="19"/>
  <c r="K152" i="19"/>
  <c r="H155" i="19"/>
  <c r="J155" i="19"/>
  <c r="K155" i="19"/>
  <c r="H181" i="19"/>
  <c r="J181" i="19"/>
  <c r="K181" i="19"/>
  <c r="M89" i="19"/>
  <c r="S5" i="19"/>
  <c r="S6" i="19"/>
  <c r="S7" i="19"/>
  <c r="S9" i="19"/>
  <c r="S10" i="19"/>
  <c r="S11" i="19"/>
  <c r="S12" i="19"/>
  <c r="S13"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L181" i="19"/>
  <c r="N181" i="19"/>
  <c r="Q181" i="19"/>
  <c r="R181" i="19"/>
  <c r="I181" i="19"/>
  <c r="L155" i="19"/>
  <c r="N155" i="19"/>
  <c r="Q155" i="19"/>
  <c r="R155" i="19"/>
  <c r="I155" i="19"/>
  <c r="L152" i="19"/>
  <c r="N152" i="19"/>
  <c r="Q152" i="19"/>
  <c r="R152" i="19"/>
  <c r="I152" i="19"/>
  <c r="L149" i="19"/>
  <c r="N149" i="19"/>
  <c r="Q149" i="19"/>
  <c r="R149" i="19"/>
  <c r="I149" i="19"/>
  <c r="L146" i="19"/>
  <c r="N146" i="19"/>
  <c r="Q146" i="19"/>
  <c r="R146" i="19"/>
  <c r="I146" i="19"/>
  <c r="L141" i="19"/>
  <c r="N141" i="19"/>
  <c r="Q141" i="19"/>
  <c r="R141" i="19"/>
  <c r="I141" i="19"/>
  <c r="I134" i="19"/>
  <c r="L134" i="19"/>
  <c r="N134" i="19"/>
  <c r="Q134" i="19"/>
  <c r="R134" i="19"/>
  <c r="I106" i="19"/>
  <c r="L106" i="19"/>
  <c r="N106" i="19"/>
  <c r="Q106" i="19"/>
  <c r="R106" i="19"/>
  <c r="I102" i="19"/>
  <c r="L102" i="19"/>
  <c r="N102" i="19"/>
  <c r="I89" i="19"/>
  <c r="L89" i="19"/>
  <c r="N89" i="19"/>
  <c r="O89" i="19"/>
  <c r="P89" i="19"/>
  <c r="Q89" i="19"/>
  <c r="R89" i="19"/>
  <c r="I86" i="19"/>
  <c r="L86" i="19"/>
  <c r="N86" i="19"/>
  <c r="Q86" i="19"/>
  <c r="R86" i="19"/>
  <c r="I77" i="19"/>
  <c r="L77" i="19"/>
  <c r="N77" i="19"/>
  <c r="Q77" i="19"/>
  <c r="R77" i="19"/>
  <c r="I73" i="19"/>
  <c r="L73" i="19"/>
  <c r="Q73" i="19"/>
  <c r="R73" i="19"/>
  <c r="I63" i="19"/>
  <c r="L63" i="19"/>
  <c r="N63" i="19"/>
  <c r="Q63" i="19"/>
  <c r="R63" i="19"/>
  <c r="I46" i="19"/>
  <c r="L46" i="19"/>
  <c r="N46" i="19"/>
  <c r="Q46" i="19"/>
  <c r="R46" i="19"/>
  <c r="I44" i="19"/>
  <c r="L44" i="19"/>
  <c r="N44" i="19"/>
  <c r="Q44" i="19"/>
  <c r="R44" i="19"/>
  <c r="I20" i="19"/>
  <c r="L20" i="19"/>
  <c r="N20" i="19"/>
  <c r="Q20" i="19"/>
  <c r="R20" i="19"/>
  <c r="I14" i="19"/>
  <c r="L14" i="19"/>
  <c r="N14" i="19"/>
  <c r="Q14" i="19"/>
  <c r="R14" i="19"/>
  <c r="H28" i="62"/>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40" i="19"/>
  <c r="V40" i="19"/>
  <c r="W40" i="19"/>
  <c r="U43" i="19"/>
  <c r="V43" i="19"/>
  <c r="W43" i="19"/>
  <c r="U45" i="19"/>
  <c r="U46" i="19" s="1"/>
  <c r="V45" i="19"/>
  <c r="V46" i="19" s="1"/>
  <c r="W45" i="19"/>
  <c r="W46" i="19" s="1"/>
  <c r="U47" i="19"/>
  <c r="V47" i="19"/>
  <c r="W47" i="19"/>
  <c r="U49" i="19"/>
  <c r="V49" i="19"/>
  <c r="W49" i="19"/>
  <c r="U50" i="19"/>
  <c r="W50" i="19"/>
  <c r="U51" i="19"/>
  <c r="W51" i="19"/>
  <c r="U52" i="19"/>
  <c r="W52" i="19"/>
  <c r="U53" i="19"/>
  <c r="W53" i="19"/>
  <c r="U54" i="19"/>
  <c r="W54" i="19"/>
  <c r="U55" i="19"/>
  <c r="W55" i="19"/>
  <c r="U56" i="19"/>
  <c r="W56" i="19"/>
  <c r="U57" i="19"/>
  <c r="W57" i="19"/>
  <c r="U58" i="19"/>
  <c r="W58" i="19"/>
  <c r="U59" i="19"/>
  <c r="W59" i="19"/>
  <c r="U60" i="19"/>
  <c r="W60" i="19"/>
  <c r="U62" i="19"/>
  <c r="W62" i="19"/>
  <c r="U64" i="19"/>
  <c r="V64" i="19"/>
  <c r="W64" i="19"/>
  <c r="U65" i="19"/>
  <c r="V65" i="19"/>
  <c r="W65" i="19"/>
  <c r="U66" i="19"/>
  <c r="V66" i="19"/>
  <c r="W66" i="19"/>
  <c r="U67" i="19"/>
  <c r="V67" i="19"/>
  <c r="W67" i="19"/>
  <c r="U68" i="19"/>
  <c r="V68" i="19"/>
  <c r="U69" i="19"/>
  <c r="V69" i="19"/>
  <c r="W69" i="19"/>
  <c r="W70" i="19"/>
  <c r="U71" i="19"/>
  <c r="V71" i="19"/>
  <c r="W71" i="19"/>
  <c r="U72" i="19"/>
  <c r="V72" i="19"/>
  <c r="W72" i="19"/>
  <c r="U74" i="19"/>
  <c r="V74" i="19"/>
  <c r="W74" i="19"/>
  <c r="U75" i="19"/>
  <c r="V75" i="19"/>
  <c r="W75" i="19"/>
  <c r="U76" i="19"/>
  <c r="V76" i="19"/>
  <c r="W76" i="19"/>
  <c r="U78" i="19"/>
  <c r="V78" i="19"/>
  <c r="W78" i="19"/>
  <c r="W86" i="19" s="1"/>
  <c r="U87" i="19"/>
  <c r="V87" i="19"/>
  <c r="W87" i="19"/>
  <c r="U88" i="19"/>
  <c r="V88" i="19"/>
  <c r="W88" i="19"/>
  <c r="U90" i="19"/>
  <c r="V90" i="19"/>
  <c r="W90" i="19"/>
  <c r="U91" i="19"/>
  <c r="V91" i="19"/>
  <c r="W91" i="19"/>
  <c r="U92" i="19"/>
  <c r="V92" i="19"/>
  <c r="W92" i="19"/>
  <c r="U93" i="19"/>
  <c r="V93" i="19"/>
  <c r="W93" i="19"/>
  <c r="U94" i="19"/>
  <c r="V94" i="19"/>
  <c r="W94" i="19"/>
  <c r="U95" i="19"/>
  <c r="V95" i="19"/>
  <c r="W95" i="19"/>
  <c r="U96" i="19"/>
  <c r="V96" i="19"/>
  <c r="W96" i="19"/>
  <c r="U97" i="19"/>
  <c r="V97" i="19"/>
  <c r="W97" i="19"/>
  <c r="U98" i="19"/>
  <c r="V98" i="19"/>
  <c r="W98" i="19"/>
  <c r="V99" i="19"/>
  <c r="W99" i="19"/>
  <c r="U100" i="19"/>
  <c r="V100" i="19"/>
  <c r="W100" i="19"/>
  <c r="U101" i="19"/>
  <c r="V101" i="19"/>
  <c r="W101" i="19"/>
  <c r="U103" i="19"/>
  <c r="V103" i="19"/>
  <c r="W103" i="19"/>
  <c r="U104" i="19"/>
  <c r="V104" i="19"/>
  <c r="W104" i="19"/>
  <c r="U105" i="19"/>
  <c r="V105" i="19"/>
  <c r="W105"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1" i="19"/>
  <c r="V121" i="19"/>
  <c r="W121" i="19"/>
  <c r="U122" i="19"/>
  <c r="V122" i="19"/>
  <c r="W122" i="19"/>
  <c r="U124" i="19"/>
  <c r="V124" i="19"/>
  <c r="W124" i="19"/>
  <c r="U125" i="19"/>
  <c r="V125" i="19"/>
  <c r="W125" i="19"/>
  <c r="U128" i="19"/>
  <c r="V128" i="19"/>
  <c r="W128" i="19"/>
  <c r="U129" i="19"/>
  <c r="V129" i="19"/>
  <c r="W129" i="19"/>
  <c r="U130" i="19"/>
  <c r="V130" i="19"/>
  <c r="W130" i="19"/>
  <c r="U133" i="19"/>
  <c r="V133" i="19"/>
  <c r="W133" i="19"/>
  <c r="U135" i="19"/>
  <c r="V135" i="19"/>
  <c r="W135" i="19"/>
  <c r="U136" i="19"/>
  <c r="V136" i="19"/>
  <c r="W136" i="19"/>
  <c r="U137" i="19"/>
  <c r="V137" i="19"/>
  <c r="W137" i="19"/>
  <c r="U138" i="19"/>
  <c r="V138" i="19"/>
  <c r="W138" i="19"/>
  <c r="U140" i="19"/>
  <c r="V140" i="19"/>
  <c r="W140" i="19"/>
  <c r="U142" i="19"/>
  <c r="V142" i="19"/>
  <c r="W142" i="19"/>
  <c r="U143" i="19"/>
  <c r="V143" i="19"/>
  <c r="W143" i="19"/>
  <c r="U144" i="19"/>
  <c r="V144" i="19"/>
  <c r="W144" i="19"/>
  <c r="U145" i="19"/>
  <c r="V145" i="19"/>
  <c r="W145" i="19"/>
  <c r="U147" i="19"/>
  <c r="V147" i="19"/>
  <c r="W147" i="19"/>
  <c r="U148" i="19"/>
  <c r="V148" i="19"/>
  <c r="W148" i="19"/>
  <c r="U150" i="19"/>
  <c r="V150" i="19"/>
  <c r="W150" i="19"/>
  <c r="U151" i="19"/>
  <c r="V151" i="19"/>
  <c r="W151" i="19"/>
  <c r="U153" i="19"/>
  <c r="V153" i="19"/>
  <c r="W153" i="19"/>
  <c r="U154" i="19"/>
  <c r="V154" i="19"/>
  <c r="W154" i="19"/>
  <c r="U160" i="19"/>
  <c r="V160" i="19"/>
  <c r="W160" i="19"/>
  <c r="U161" i="19"/>
  <c r="V161" i="19"/>
  <c r="W161"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5" i="19"/>
  <c r="V175" i="19"/>
  <c r="W175" i="19"/>
  <c r="U176" i="19"/>
  <c r="V176" i="19"/>
  <c r="W176" i="19"/>
  <c r="U177" i="19"/>
  <c r="V177" i="19"/>
  <c r="W177" i="19"/>
  <c r="U178" i="19"/>
  <c r="V178" i="19"/>
  <c r="W178" i="19"/>
  <c r="U180" i="19"/>
  <c r="V180" i="19"/>
  <c r="W180"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6" i="19" s="1"/>
  <c r="T47" i="19"/>
  <c r="T49" i="19"/>
  <c r="T50" i="19"/>
  <c r="T51" i="19"/>
  <c r="T52" i="19"/>
  <c r="T53" i="19"/>
  <c r="T54" i="19"/>
  <c r="T55" i="19"/>
  <c r="T56" i="19"/>
  <c r="T57" i="19"/>
  <c r="T58" i="19"/>
  <c r="T59" i="19"/>
  <c r="T60" i="19"/>
  <c r="T62" i="19"/>
  <c r="T64" i="19"/>
  <c r="T65" i="19"/>
  <c r="T66" i="19"/>
  <c r="T67" i="19"/>
  <c r="T68" i="19"/>
  <c r="T69" i="19"/>
  <c r="T70" i="19"/>
  <c r="T72" i="19"/>
  <c r="T74" i="19"/>
  <c r="T75" i="19"/>
  <c r="T76" i="19"/>
  <c r="T78" i="19"/>
  <c r="T87" i="19"/>
  <c r="T88" i="19"/>
  <c r="T90" i="19"/>
  <c r="T91" i="19"/>
  <c r="T92" i="19"/>
  <c r="T93" i="19"/>
  <c r="T94" i="19"/>
  <c r="T95" i="19"/>
  <c r="T96" i="19"/>
  <c r="T97" i="19"/>
  <c r="T98" i="19"/>
  <c r="T99" i="19"/>
  <c r="T100" i="19"/>
  <c r="T101" i="19"/>
  <c r="T103" i="19"/>
  <c r="T104" i="19"/>
  <c r="T105" i="19"/>
  <c r="T107" i="19"/>
  <c r="T135" i="19"/>
  <c r="T136" i="19"/>
  <c r="T137" i="19"/>
  <c r="T138" i="19"/>
  <c r="T140" i="19"/>
  <c r="T142" i="19"/>
  <c r="T143" i="19"/>
  <c r="T144" i="19"/>
  <c r="T145" i="19"/>
  <c r="T147" i="19"/>
  <c r="T148" i="19"/>
  <c r="T150" i="19"/>
  <c r="T151" i="19"/>
  <c r="T153" i="19"/>
  <c r="T154" i="19"/>
  <c r="T160" i="19"/>
  <c r="T161" i="19"/>
  <c r="T162" i="19"/>
  <c r="T163" i="19"/>
  <c r="T164" i="19"/>
  <c r="T165" i="19"/>
  <c r="T166" i="19"/>
  <c r="T167" i="19"/>
  <c r="T168" i="19"/>
  <c r="T169" i="19"/>
  <c r="T170" i="19"/>
  <c r="T171" i="19"/>
  <c r="T172" i="19"/>
  <c r="T173" i="19"/>
  <c r="T174" i="19"/>
  <c r="T175" i="19"/>
  <c r="T176" i="19"/>
  <c r="T177" i="19"/>
  <c r="T178" i="19"/>
  <c r="T180" i="19"/>
  <c r="S15" i="19"/>
  <c r="S16" i="19"/>
  <c r="S17" i="19"/>
  <c r="S18" i="19"/>
  <c r="S19" i="19"/>
  <c r="S21" i="19"/>
  <c r="S22" i="19"/>
  <c r="S23" i="19"/>
  <c r="S24" i="19"/>
  <c r="S25" i="19"/>
  <c r="S26" i="19"/>
  <c r="S27" i="19"/>
  <c r="S28" i="19"/>
  <c r="S29" i="19"/>
  <c r="S30" i="19"/>
  <c r="S31" i="19"/>
  <c r="S32" i="19"/>
  <c r="S33" i="19"/>
  <c r="S34" i="19"/>
  <c r="S35" i="19"/>
  <c r="S36" i="19"/>
  <c r="S37" i="19"/>
  <c r="S38" i="19"/>
  <c r="S40" i="19"/>
  <c r="S43" i="19"/>
  <c r="S45" i="19"/>
  <c r="S46" i="19" s="1"/>
  <c r="S47" i="19"/>
  <c r="S48" i="19" s="1"/>
  <c r="S49" i="19"/>
  <c r="S50" i="19"/>
  <c r="S51" i="19"/>
  <c r="S52" i="19"/>
  <c r="S53" i="19"/>
  <c r="S54" i="19"/>
  <c r="S55" i="19"/>
  <c r="S56" i="19"/>
  <c r="S57" i="19"/>
  <c r="S58" i="19"/>
  <c r="S59" i="19"/>
  <c r="S60" i="19"/>
  <c r="S62" i="19"/>
  <c r="S64" i="19"/>
  <c r="S65" i="19"/>
  <c r="S66" i="19"/>
  <c r="S67" i="19"/>
  <c r="S68" i="19"/>
  <c r="S69" i="19"/>
  <c r="S70" i="19"/>
  <c r="S71" i="19"/>
  <c r="S72" i="19"/>
  <c r="S74" i="19"/>
  <c r="S75" i="19"/>
  <c r="S76" i="19"/>
  <c r="S78" i="19"/>
  <c r="S87" i="19"/>
  <c r="S88" i="19"/>
  <c r="S90" i="19"/>
  <c r="S91" i="19"/>
  <c r="S92" i="19"/>
  <c r="S93" i="19"/>
  <c r="S94" i="19"/>
  <c r="S95" i="19"/>
  <c r="S96" i="19"/>
  <c r="S97" i="19"/>
  <c r="S98" i="19"/>
  <c r="S99" i="19"/>
  <c r="S100" i="19"/>
  <c r="S101" i="19"/>
  <c r="S103" i="19"/>
  <c r="S104" i="19"/>
  <c r="S105" i="19"/>
  <c r="S107" i="19"/>
  <c r="S134" i="19" s="1"/>
  <c r="S135" i="19"/>
  <c r="S136" i="19"/>
  <c r="S137" i="19"/>
  <c r="S138" i="19"/>
  <c r="S140" i="19"/>
  <c r="S142" i="19"/>
  <c r="S143" i="19"/>
  <c r="S144" i="19"/>
  <c r="S145" i="19"/>
  <c r="S147" i="19"/>
  <c r="S148" i="19"/>
  <c r="S150" i="19"/>
  <c r="S151" i="19"/>
  <c r="S153" i="19"/>
  <c r="S154" i="19"/>
  <c r="S160" i="19"/>
  <c r="S161" i="19"/>
  <c r="S162" i="19"/>
  <c r="S163" i="19"/>
  <c r="S164" i="19"/>
  <c r="S165" i="19"/>
  <c r="S166" i="19"/>
  <c r="S167" i="19"/>
  <c r="S168" i="19"/>
  <c r="S169" i="19"/>
  <c r="S170" i="19"/>
  <c r="S171" i="19"/>
  <c r="S172" i="19"/>
  <c r="S173" i="19"/>
  <c r="S174" i="19"/>
  <c r="S175" i="19"/>
  <c r="S176" i="19"/>
  <c r="S177" i="19"/>
  <c r="S178" i="19"/>
  <c r="S180" i="19"/>
  <c r="Q48" i="19"/>
  <c r="N48" i="19"/>
  <c r="L48" i="19"/>
  <c r="I48" i="19"/>
  <c r="R48" i="19"/>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T227" i="14"/>
  <c r="AE227" i="14"/>
  <c r="AP85" i="20"/>
  <c r="AT85" i="20"/>
  <c r="AP86" i="20"/>
  <c r="AT86" i="20"/>
  <c r="AP89" i="20"/>
  <c r="AT89" i="20"/>
  <c r="AP90" i="20"/>
  <c r="AT90" i="20"/>
  <c r="AP91" i="20"/>
  <c r="AT91" i="20"/>
  <c r="AP92" i="20"/>
  <c r="AT92" i="20"/>
  <c r="AP93" i="20"/>
  <c r="AT93" i="20"/>
  <c r="T225" i="14"/>
  <c r="AE225" i="14"/>
  <c r="AP84" i="20"/>
  <c r="AT84" i="20"/>
  <c r="AP82" i="20"/>
  <c r="AP83" i="20"/>
  <c r="AT82" i="20"/>
  <c r="AT83" i="20"/>
  <c r="AP87" i="20"/>
  <c r="AT87" i="20"/>
  <c r="AP88" i="20"/>
  <c r="AT88" i="20"/>
  <c r="AP95" i="20"/>
  <c r="AT95" i="20"/>
  <c r="AP94" i="20"/>
  <c r="AT94" i="20"/>
  <c r="T209" i="14"/>
  <c r="AE209" i="14"/>
  <c r="AP81" i="20"/>
  <c r="AT81" i="20"/>
  <c r="Q3" i="62"/>
  <c r="G28" i="62"/>
  <c r="CD30" i="62"/>
  <c r="AR39" i="43"/>
  <c r="X4" i="33"/>
  <c r="Z7" i="33"/>
  <c r="Z3" i="66"/>
  <c r="Y10" i="66"/>
  <c r="AI13" i="66"/>
  <c r="AI17" i="66"/>
  <c r="AI19" i="66"/>
  <c r="AI7" i="66"/>
  <c r="Y20" i="66"/>
  <c r="AI6" i="66"/>
  <c r="AG10" i="66"/>
  <c r="Z11" i="66" s="1"/>
  <c r="AG13" i="66"/>
  <c r="Z14" i="66" s="1"/>
  <c r="AG17" i="66"/>
  <c r="Z18" i="66" s="1"/>
  <c r="AG19" i="66"/>
  <c r="Z20" i="66" s="1"/>
  <c r="AG7" i="66"/>
  <c r="Z8" i="66" s="1"/>
  <c r="AG20" i="66"/>
  <c r="Z21" i="66" s="1"/>
  <c r="AG6" i="66"/>
  <c r="Z7" i="66" s="1"/>
  <c r="X10" i="66"/>
  <c r="X17" i="66"/>
  <c r="X19" i="66"/>
  <c r="X7" i="66"/>
  <c r="X20" i="66"/>
  <c r="X6" i="66"/>
  <c r="AG4" i="66"/>
  <c r="Z5" i="66" s="1"/>
  <c r="AG5" i="66"/>
  <c r="Z6" i="66" s="1"/>
  <c r="AG8" i="66"/>
  <c r="Z9" i="66" s="1"/>
  <c r="AG9" i="66"/>
  <c r="Z10" i="66" s="1"/>
  <c r="AG11" i="66"/>
  <c r="Z12" i="66" s="1"/>
  <c r="AG12" i="66"/>
  <c r="Z13" i="66" s="1"/>
  <c r="AG14" i="66"/>
  <c r="Z15" i="66" s="1"/>
  <c r="AG15" i="66"/>
  <c r="Z16" i="66" s="1"/>
  <c r="AG16" i="66"/>
  <c r="Z17" i="66" s="1"/>
  <c r="AG18" i="66"/>
  <c r="Z19" i="66" s="1"/>
  <c r="AG21" i="66"/>
  <c r="Z22" i="66" s="1"/>
  <c r="AG22" i="66"/>
  <c r="Z23" i="66" s="1"/>
  <c r="AG23" i="66"/>
  <c r="Z24" i="66" s="1"/>
  <c r="AG24" i="66"/>
  <c r="Z25" i="66" s="1"/>
  <c r="AG25" i="66"/>
  <c r="AG3" i="66"/>
  <c r="AI4" i="66"/>
  <c r="Y5" i="66"/>
  <c r="AI8" i="66"/>
  <c r="Y9" i="66"/>
  <c r="AI11" i="66"/>
  <c r="Y12" i="66"/>
  <c r="AI14" i="66"/>
  <c r="Y15" i="66"/>
  <c r="AI16" i="66"/>
  <c r="AI18" i="66"/>
  <c r="AI21" i="66"/>
  <c r="AI22" i="66"/>
  <c r="AI23" i="66"/>
  <c r="Y24" i="66"/>
  <c r="AI25" i="66"/>
  <c r="Y3" i="66"/>
  <c r="X5" i="66"/>
  <c r="X8" i="66"/>
  <c r="X9" i="66"/>
  <c r="X11" i="66"/>
  <c r="X12" i="66"/>
  <c r="X14" i="66"/>
  <c r="X15" i="66"/>
  <c r="X16" i="66"/>
  <c r="X18" i="66"/>
  <c r="X21" i="66"/>
  <c r="X22" i="66"/>
  <c r="X23" i="66"/>
  <c r="X24" i="66"/>
  <c r="X25" i="66"/>
  <c r="X4" i="66"/>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T222" i="14"/>
  <c r="AE222" i="14"/>
  <c r="T206" i="14"/>
  <c r="AE206" i="14"/>
  <c r="T208" i="14"/>
  <c r="AE208"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D267" i="14"/>
  <c r="T267" i="14"/>
  <c r="AE263" i="14"/>
  <c r="AD263" i="14"/>
  <c r="T263" i="14"/>
  <c r="AE258" i="14"/>
  <c r="AD258" i="14"/>
  <c r="T258" i="14"/>
  <c r="AE256" i="14"/>
  <c r="AD256" i="14"/>
  <c r="T256" i="14"/>
  <c r="AE255" i="14"/>
  <c r="AD255" i="14"/>
  <c r="T255" i="14"/>
  <c r="AE297" i="14"/>
  <c r="AD297" i="14"/>
  <c r="T297" i="14"/>
  <c r="AE173" i="14"/>
  <c r="AD173" i="14"/>
  <c r="T173" i="14"/>
  <c r="AE110" i="14"/>
  <c r="AD110" i="14"/>
  <c r="T110" i="14"/>
  <c r="AE148" i="14"/>
  <c r="AD148" i="14"/>
  <c r="T148" i="14"/>
  <c r="AE46" i="14"/>
  <c r="AD46" i="14"/>
  <c r="T46" i="14"/>
  <c r="AE296" i="14"/>
  <c r="AD296" i="14"/>
  <c r="T296" i="14"/>
  <c r="AE158" i="14"/>
  <c r="AD158" i="14"/>
  <c r="T158" i="14"/>
  <c r="AE38" i="14"/>
  <c r="AD38" i="14"/>
  <c r="T38" i="14"/>
  <c r="AE181" i="14"/>
  <c r="AD181" i="14"/>
  <c r="T181" i="14"/>
  <c r="AE100" i="14"/>
  <c r="AD100" i="14"/>
  <c r="T100" i="14"/>
  <c r="AE194" i="14"/>
  <c r="AD194" i="14"/>
  <c r="T194" i="14"/>
  <c r="AE215" i="14"/>
  <c r="AD215" i="14"/>
  <c r="T215" i="14"/>
  <c r="AE295" i="14"/>
  <c r="AD295" i="14"/>
  <c r="T295" i="14"/>
  <c r="AE294" i="14"/>
  <c r="AD294" i="14"/>
  <c r="T294" i="14"/>
  <c r="AE293" i="14"/>
  <c r="AD293" i="14"/>
  <c r="T293" i="14"/>
  <c r="AE292" i="14"/>
  <c r="AD292" i="14"/>
  <c r="T292" i="14"/>
  <c r="AE109" i="14"/>
  <c r="AD109" i="14"/>
  <c r="T109" i="14"/>
  <c r="AE291" i="14"/>
  <c r="AD291" i="14"/>
  <c r="T291" i="14"/>
  <c r="AE290" i="14"/>
  <c r="AD290" i="14"/>
  <c r="T290" i="14"/>
  <c r="AE289" i="14"/>
  <c r="AD289" i="14"/>
  <c r="T289" i="14"/>
  <c r="AE288" i="14"/>
  <c r="AD288" i="14"/>
  <c r="T288" i="14"/>
  <c r="AE287" i="14"/>
  <c r="AD287" i="14"/>
  <c r="T287" i="14"/>
  <c r="AE254" i="14"/>
  <c r="AD254" i="14"/>
  <c r="T254" i="14"/>
  <c r="AE285" i="14"/>
  <c r="AD285" i="14"/>
  <c r="T285" i="14"/>
  <c r="AE284" i="14"/>
  <c r="AD284" i="14"/>
  <c r="T284" i="14"/>
  <c r="AE283" i="14"/>
  <c r="AD283" i="14"/>
  <c r="T283" i="14"/>
  <c r="AE282" i="14"/>
  <c r="AD282" i="14"/>
  <c r="T282" i="14"/>
  <c r="AE252" i="14"/>
  <c r="AD252" i="14"/>
  <c r="T252" i="14"/>
  <c r="AE280" i="14"/>
  <c r="AD280" i="14"/>
  <c r="T280" i="14"/>
  <c r="AE248" i="14"/>
  <c r="AD248" i="14"/>
  <c r="T248" i="14"/>
  <c r="AE247" i="14"/>
  <c r="AD247" i="14"/>
  <c r="T247" i="14"/>
  <c r="AE277" i="14"/>
  <c r="AD277" i="14"/>
  <c r="T277" i="14"/>
  <c r="AE192" i="14"/>
  <c r="AD192" i="14"/>
  <c r="T192" i="14"/>
  <c r="AE189" i="14"/>
  <c r="AD189" i="14"/>
  <c r="T189" i="14"/>
  <c r="AE276" i="14"/>
  <c r="AD276" i="14"/>
  <c r="T276" i="14"/>
  <c r="AE246" i="14"/>
  <c r="AD246" i="14"/>
  <c r="T246" i="14"/>
  <c r="AE305" i="14"/>
  <c r="T305" i="14"/>
  <c r="AE275" i="14"/>
  <c r="T275" i="14"/>
  <c r="AE244" i="14"/>
  <c r="T244" i="14"/>
  <c r="AE243" i="14"/>
  <c r="T243" i="14"/>
  <c r="AE241" i="14"/>
  <c r="AD241" i="14"/>
  <c r="T241" i="14"/>
  <c r="AE103" i="14"/>
  <c r="AD103" i="14"/>
  <c r="T103" i="14"/>
  <c r="AE240" i="14"/>
  <c r="AD240" i="14"/>
  <c r="T240" i="14"/>
  <c r="AE239" i="14"/>
  <c r="AD239" i="14"/>
  <c r="T239" i="14"/>
  <c r="AE238" i="14"/>
  <c r="AD238" i="14"/>
  <c r="T238" i="14"/>
  <c r="AE107" i="14"/>
  <c r="AD107" i="14"/>
  <c r="T107" i="14"/>
  <c r="AE266" i="14"/>
  <c r="AD266" i="14"/>
  <c r="T266" i="14"/>
  <c r="AE101" i="14"/>
  <c r="AD101" i="14"/>
  <c r="T101" i="14"/>
  <c r="AE61" i="14"/>
  <c r="AD61" i="14"/>
  <c r="T61" i="14"/>
  <c r="AE84" i="14"/>
  <c r="AD84" i="14"/>
  <c r="T84" i="14"/>
  <c r="AE265" i="14"/>
  <c r="AD265" i="14"/>
  <c r="T265" i="14"/>
  <c r="AE264" i="14"/>
  <c r="AD264" i="14"/>
  <c r="T264" i="14"/>
  <c r="AE237" i="14"/>
  <c r="AD237" i="14"/>
  <c r="T237" i="14"/>
  <c r="AE83" i="14"/>
  <c r="AD83" i="14"/>
  <c r="T83" i="14"/>
  <c r="AE262" i="14"/>
  <c r="AD262" i="14"/>
  <c r="T262" i="14"/>
  <c r="AE261" i="14"/>
  <c r="AD261" i="14"/>
  <c r="T261" i="14"/>
  <c r="AE36" i="14"/>
  <c r="AD36" i="14"/>
  <c r="T36" i="14"/>
  <c r="AE203" i="14"/>
  <c r="AD203" i="14"/>
  <c r="T203" i="14"/>
  <c r="AE298" i="14"/>
  <c r="AD298" i="14"/>
  <c r="T298" i="14"/>
  <c r="AE202" i="14"/>
  <c r="AD202" i="14"/>
  <c r="T202" i="14"/>
  <c r="AE200" i="14"/>
  <c r="AD200" i="14"/>
  <c r="T200" i="14"/>
  <c r="AE199" i="14"/>
  <c r="AD199" i="14"/>
  <c r="T199" i="14"/>
  <c r="AE190" i="14"/>
  <c r="AD190" i="14"/>
  <c r="T190" i="14"/>
  <c r="AE198" i="14"/>
  <c r="AD198" i="14"/>
  <c r="T198" i="14"/>
  <c r="AE82" i="14"/>
  <c r="AD82" i="14"/>
  <c r="T82" i="14"/>
  <c r="AE212" i="14"/>
  <c r="AD212" i="14"/>
  <c r="T212" i="14"/>
  <c r="AE260" i="14"/>
  <c r="AD260" i="14"/>
  <c r="T260" i="14"/>
  <c r="AE210" i="14"/>
  <c r="AD210" i="14"/>
  <c r="T210" i="14"/>
  <c r="AE197" i="14"/>
  <c r="AD197" i="14"/>
  <c r="T197" i="14"/>
  <c r="AE195" i="14"/>
  <c r="AD195" i="14"/>
  <c r="T195" i="14"/>
  <c r="AE207" i="14"/>
  <c r="AD207" i="14"/>
  <c r="T207" i="14"/>
  <c r="AE193" i="14"/>
  <c r="AD193" i="14"/>
  <c r="T193" i="14"/>
  <c r="AE205" i="14"/>
  <c r="AD205" i="14"/>
  <c r="T205" i="14"/>
  <c r="AE188" i="14"/>
  <c r="AD188" i="14"/>
  <c r="T188" i="14"/>
  <c r="AE180" i="14"/>
  <c r="AD180" i="14"/>
  <c r="T180" i="14"/>
  <c r="AE178" i="14"/>
  <c r="AD178" i="14"/>
  <c r="T178" i="14"/>
  <c r="AE201" i="14"/>
  <c r="AD201" i="14"/>
  <c r="T201" i="14"/>
  <c r="AE177" i="14"/>
  <c r="AD177" i="14"/>
  <c r="T177" i="14"/>
  <c r="AE172" i="14"/>
  <c r="AD172" i="14"/>
  <c r="T172" i="14"/>
  <c r="AE169" i="14"/>
  <c r="AD169" i="14"/>
  <c r="T169" i="14"/>
  <c r="AE168" i="14"/>
  <c r="AD168" i="14"/>
  <c r="T168" i="14"/>
  <c r="AE131" i="14"/>
  <c r="AD131" i="14"/>
  <c r="T131" i="14"/>
  <c r="AE167" i="14"/>
  <c r="AD167" i="14"/>
  <c r="T167" i="14"/>
  <c r="AE179" i="14"/>
  <c r="AD179" i="14"/>
  <c r="T179" i="14"/>
  <c r="AE166" i="14"/>
  <c r="AD166" i="14"/>
  <c r="T166" i="14"/>
  <c r="AE176" i="14"/>
  <c r="AD176" i="14"/>
  <c r="T176" i="14"/>
  <c r="AE259" i="14"/>
  <c r="AD259" i="14"/>
  <c r="T259" i="14"/>
  <c r="AE236" i="14"/>
  <c r="AD236" i="14"/>
  <c r="T236" i="14"/>
  <c r="AE257" i="14"/>
  <c r="AD257" i="14"/>
  <c r="T257" i="14"/>
  <c r="AE286" i="14"/>
  <c r="AD286" i="14"/>
  <c r="T286" i="14"/>
  <c r="AE130" i="14"/>
  <c r="AD130" i="14"/>
  <c r="T130" i="14"/>
  <c r="AE19" i="14"/>
  <c r="AD19" i="14"/>
  <c r="T19" i="14"/>
  <c r="AE150" i="14"/>
  <c r="AD150" i="14"/>
  <c r="T150" i="14"/>
  <c r="AE235" i="14"/>
  <c r="AD235" i="14"/>
  <c r="T235" i="14"/>
  <c r="AE175" i="14"/>
  <c r="AD175" i="14"/>
  <c r="T175" i="14"/>
  <c r="AE211" i="14"/>
  <c r="AD211" i="14"/>
  <c r="T211" i="14"/>
  <c r="AE234" i="14"/>
  <c r="AD234" i="14"/>
  <c r="T234" i="14"/>
  <c r="AE165" i="14"/>
  <c r="AD165" i="14"/>
  <c r="T165" i="14"/>
  <c r="AE233" i="14"/>
  <c r="AD233" i="14"/>
  <c r="T233" i="14"/>
  <c r="AE164" i="14"/>
  <c r="AD164" i="14"/>
  <c r="T164" i="14"/>
  <c r="AE163" i="14"/>
  <c r="AD163" i="14"/>
  <c r="T163" i="14"/>
  <c r="AE253" i="14"/>
  <c r="AD253" i="14"/>
  <c r="T253" i="14"/>
  <c r="AE232" i="14"/>
  <c r="AD232" i="14"/>
  <c r="T232" i="14"/>
  <c r="AE59" i="14"/>
  <c r="AD59" i="14"/>
  <c r="T59" i="14"/>
  <c r="AE37" i="14"/>
  <c r="AD37" i="14"/>
  <c r="T37" i="14"/>
  <c r="AE162" i="14"/>
  <c r="AD162" i="14"/>
  <c r="T162" i="14"/>
  <c r="AE171" i="14"/>
  <c r="AD171" i="14"/>
  <c r="T171" i="14"/>
  <c r="AE170" i="14"/>
  <c r="AD170" i="14"/>
  <c r="T170" i="14"/>
  <c r="AE157" i="14"/>
  <c r="AD157" i="14"/>
  <c r="T157" i="14"/>
  <c r="AE155" i="14"/>
  <c r="AD155" i="14"/>
  <c r="T155" i="14"/>
  <c r="AE154" i="14"/>
  <c r="AD154" i="14"/>
  <c r="T154" i="14"/>
  <c r="AE151" i="14"/>
  <c r="AD151" i="14"/>
  <c r="T151" i="14"/>
  <c r="AE149" i="14"/>
  <c r="AD149" i="14"/>
  <c r="T149" i="14"/>
  <c r="AE147" i="14"/>
  <c r="AD147" i="14"/>
  <c r="T147" i="14"/>
  <c r="AE142" i="14"/>
  <c r="AD142" i="14"/>
  <c r="T142" i="14"/>
  <c r="AE141" i="14"/>
  <c r="AD141" i="14"/>
  <c r="T141" i="14"/>
  <c r="AE88" i="14"/>
  <c r="AD88" i="14"/>
  <c r="T88" i="14"/>
  <c r="AE85" i="14"/>
  <c r="AD85" i="14"/>
  <c r="T85" i="14"/>
  <c r="AE86" i="14"/>
  <c r="AD86" i="14"/>
  <c r="T86" i="14"/>
  <c r="AE89" i="14"/>
  <c r="AD89" i="14"/>
  <c r="T89" i="14"/>
  <c r="AE140" i="14"/>
  <c r="AD140" i="14"/>
  <c r="T140" i="14"/>
  <c r="AE139" i="14"/>
  <c r="AD139" i="14"/>
  <c r="T139" i="14"/>
  <c r="AE156" i="14"/>
  <c r="AD156" i="14"/>
  <c r="T156" i="14"/>
  <c r="AE138" i="14"/>
  <c r="AD138" i="14"/>
  <c r="T138" i="14"/>
  <c r="AE105" i="14"/>
  <c r="AD105" i="14"/>
  <c r="T105" i="14"/>
  <c r="AE137" i="14"/>
  <c r="AD137" i="14"/>
  <c r="T137" i="14"/>
  <c r="AE96" i="14"/>
  <c r="AD96" i="14"/>
  <c r="T96" i="14"/>
  <c r="AE99" i="14"/>
  <c r="AD99" i="14"/>
  <c r="T99" i="14"/>
  <c r="AE152" i="14"/>
  <c r="AD152" i="14"/>
  <c r="T152" i="14"/>
  <c r="AE94" i="14"/>
  <c r="AD94" i="14"/>
  <c r="T94" i="14"/>
  <c r="AE135" i="14"/>
  <c r="AD135" i="14"/>
  <c r="T135" i="14"/>
  <c r="AE98" i="14"/>
  <c r="AD98" i="14"/>
  <c r="T98" i="14"/>
  <c r="AE97" i="14"/>
  <c r="AD97" i="14"/>
  <c r="T97" i="14"/>
  <c r="AE95" i="14"/>
  <c r="AD95" i="14"/>
  <c r="T95" i="14"/>
  <c r="AE92" i="14"/>
  <c r="AD92" i="14"/>
  <c r="T92" i="14"/>
  <c r="AE134" i="14"/>
  <c r="AD134" i="14"/>
  <c r="T134" i="14"/>
  <c r="AE133" i="14"/>
  <c r="AD133" i="14"/>
  <c r="T133" i="14"/>
  <c r="AE128" i="14"/>
  <c r="AD128" i="14"/>
  <c r="T128" i="14"/>
  <c r="AE127" i="14"/>
  <c r="AD127" i="14"/>
  <c r="T127" i="14"/>
  <c r="AE126" i="14"/>
  <c r="AD126" i="14"/>
  <c r="T126" i="14"/>
  <c r="AE125" i="14"/>
  <c r="AD125" i="14"/>
  <c r="T125" i="14"/>
  <c r="AE124" i="14"/>
  <c r="AD124" i="14"/>
  <c r="T124" i="14"/>
  <c r="AE281" i="14"/>
  <c r="AD281" i="14"/>
  <c r="T281" i="14"/>
  <c r="AE123" i="14"/>
  <c r="AD123" i="14"/>
  <c r="T123" i="14"/>
  <c r="AE122" i="14"/>
  <c r="AD122" i="14"/>
  <c r="T122" i="14"/>
  <c r="AE93" i="14"/>
  <c r="AD93" i="14"/>
  <c r="T93" i="14"/>
  <c r="T60" i="14"/>
  <c r="AE116" i="14"/>
  <c r="AD116" i="14"/>
  <c r="T116" i="14"/>
  <c r="AE183" i="14"/>
  <c r="AD183" i="14"/>
  <c r="T183" i="14"/>
  <c r="AE121" i="14"/>
  <c r="AD121" i="14"/>
  <c r="T121" i="14"/>
  <c r="AE120" i="14"/>
  <c r="AD120" i="14"/>
  <c r="T120" i="14"/>
  <c r="AE119" i="14"/>
  <c r="AD119" i="14"/>
  <c r="T119" i="14"/>
  <c r="AE118" i="14"/>
  <c r="AD118" i="14"/>
  <c r="T118" i="14"/>
  <c r="AE117" i="14"/>
  <c r="AD117" i="14"/>
  <c r="T117" i="14"/>
  <c r="AE114" i="14"/>
  <c r="AD114" i="14"/>
  <c r="T114" i="14"/>
  <c r="AE113" i="14"/>
  <c r="AD113" i="14"/>
  <c r="T113" i="14"/>
  <c r="AE111" i="14"/>
  <c r="AD111" i="14"/>
  <c r="T111" i="14"/>
  <c r="AE108" i="14"/>
  <c r="AD108" i="14"/>
  <c r="T108" i="14"/>
  <c r="AE104" i="14"/>
  <c r="AD104" i="14"/>
  <c r="T104" i="14"/>
  <c r="AE102" i="14"/>
  <c r="AD102" i="14"/>
  <c r="T102" i="14"/>
  <c r="AE90" i="14"/>
  <c r="AD90" i="14"/>
  <c r="T90" i="14"/>
  <c r="AE182" i="14"/>
  <c r="AD182" i="14"/>
  <c r="T182" i="14"/>
  <c r="AE191" i="14"/>
  <c r="AD191" i="14"/>
  <c r="T191" i="14"/>
  <c r="AE279" i="14"/>
  <c r="AD279" i="14"/>
  <c r="T279" i="14"/>
  <c r="AE81" i="14"/>
  <c r="AD81" i="14"/>
  <c r="T81" i="14"/>
  <c r="AE106" i="14"/>
  <c r="AD106" i="14"/>
  <c r="T106" i="14"/>
  <c r="AE80" i="14"/>
  <c r="AD80" i="14"/>
  <c r="T80" i="14"/>
  <c r="AE129" i="14"/>
  <c r="AD129" i="14"/>
  <c r="T129" i="14"/>
  <c r="AE132" i="14"/>
  <c r="AD132" i="14"/>
  <c r="T132" i="14"/>
  <c r="AE79" i="14"/>
  <c r="AD79" i="14"/>
  <c r="T79" i="14"/>
  <c r="AE115" i="14"/>
  <c r="AD115" i="14"/>
  <c r="T115" i="14"/>
  <c r="AE174" i="14"/>
  <c r="AD174" i="14"/>
  <c r="T174" i="14"/>
  <c r="AE76" i="14"/>
  <c r="AD76" i="14"/>
  <c r="T76" i="14"/>
  <c r="AE78" i="14"/>
  <c r="AD78" i="14"/>
  <c r="T78" i="14"/>
  <c r="AE251" i="14"/>
  <c r="AD251" i="14"/>
  <c r="T251" i="14"/>
  <c r="AE77" i="14"/>
  <c r="AD77" i="14"/>
  <c r="T77" i="14"/>
  <c r="AE250" i="14"/>
  <c r="AD250" i="14"/>
  <c r="T250" i="14"/>
  <c r="AE50" i="14"/>
  <c r="AD50" i="14"/>
  <c r="T50" i="14"/>
  <c r="AE249" i="14"/>
  <c r="AD249" i="14"/>
  <c r="T249" i="14"/>
  <c r="AE231" i="14"/>
  <c r="AD231" i="14"/>
  <c r="T231" i="14"/>
  <c r="AE187" i="14"/>
  <c r="AD187" i="14"/>
  <c r="T187" i="14"/>
  <c r="AE230" i="14"/>
  <c r="AD230" i="14"/>
  <c r="T230" i="14"/>
  <c r="AE161" i="14"/>
  <c r="AD161" i="14"/>
  <c r="T161" i="14"/>
  <c r="AE229" i="14"/>
  <c r="AD229" i="14"/>
  <c r="T229" i="14"/>
  <c r="AE48" i="14"/>
  <c r="AD48" i="14"/>
  <c r="T48" i="14"/>
  <c r="AE245" i="14"/>
  <c r="AD245" i="14"/>
  <c r="T245" i="14"/>
  <c r="AE228" i="14"/>
  <c r="AD228" i="14"/>
  <c r="T228" i="14"/>
  <c r="AE75" i="14"/>
  <c r="AD75" i="14"/>
  <c r="T75" i="14"/>
  <c r="AE159" i="14"/>
  <c r="AD159" i="14"/>
  <c r="T159" i="14"/>
  <c r="AE153" i="14"/>
  <c r="AD153" i="14"/>
  <c r="T153" i="14"/>
  <c r="AE136" i="14"/>
  <c r="AD136" i="14"/>
  <c r="T136" i="14"/>
  <c r="AE87" i="14"/>
  <c r="AD87" i="14"/>
  <c r="T87" i="14"/>
  <c r="AE196" i="14"/>
  <c r="AD196" i="14"/>
  <c r="T196" i="14"/>
  <c r="AE112" i="14"/>
  <c r="AD112" i="14"/>
  <c r="T112" i="14"/>
  <c r="AE145" i="14"/>
  <c r="AD145" i="14"/>
  <c r="T145" i="14"/>
  <c r="AE160" i="14"/>
  <c r="AD160" i="14"/>
  <c r="T160" i="14"/>
  <c r="AE74" i="14"/>
  <c r="AD74" i="14"/>
  <c r="T74" i="14"/>
  <c r="AE73" i="14"/>
  <c r="AD73" i="14"/>
  <c r="T73" i="14"/>
  <c r="AE72" i="14"/>
  <c r="AD72" i="14"/>
  <c r="T72" i="14"/>
  <c r="AE71" i="14"/>
  <c r="AD71" i="14"/>
  <c r="T71" i="14"/>
  <c r="AE70" i="14"/>
  <c r="AD70" i="14"/>
  <c r="T70" i="14"/>
  <c r="AE184" i="14"/>
  <c r="AD184" i="14"/>
  <c r="T184" i="14"/>
  <c r="AE69" i="14"/>
  <c r="AD69" i="14"/>
  <c r="T69" i="14"/>
  <c r="AE68" i="14"/>
  <c r="AD68" i="14"/>
  <c r="T68" i="14"/>
  <c r="AE64" i="14"/>
  <c r="AD64" i="14"/>
  <c r="T64" i="14"/>
  <c r="AE63" i="14"/>
  <c r="AD63" i="14"/>
  <c r="T63" i="14"/>
  <c r="AE58" i="14"/>
  <c r="AD58" i="14"/>
  <c r="T58" i="14"/>
  <c r="AE56" i="14"/>
  <c r="AD56" i="14"/>
  <c r="T56" i="14"/>
  <c r="AE55" i="14"/>
  <c r="AD55" i="14"/>
  <c r="T55" i="14"/>
  <c r="AE54" i="14"/>
  <c r="AD54" i="14"/>
  <c r="T54" i="14"/>
  <c r="AE67" i="14"/>
  <c r="AD67" i="14"/>
  <c r="T67" i="14"/>
  <c r="AE66" i="14"/>
  <c r="AD66" i="14"/>
  <c r="T66" i="14"/>
  <c r="AE65" i="14"/>
  <c r="AD65" i="14"/>
  <c r="T65" i="14"/>
  <c r="AE53" i="14"/>
  <c r="AD53" i="14"/>
  <c r="T53" i="14"/>
  <c r="AE52" i="14"/>
  <c r="AD52" i="14"/>
  <c r="T52" i="14"/>
  <c r="AE62" i="14"/>
  <c r="AD62" i="14"/>
  <c r="T62" i="14"/>
  <c r="AE186" i="14"/>
  <c r="AD186" i="14"/>
  <c r="T186" i="14"/>
  <c r="AE185" i="14"/>
  <c r="AD185" i="14"/>
  <c r="T185" i="14"/>
  <c r="AE226" i="14"/>
  <c r="AD226" i="14"/>
  <c r="T226" i="14"/>
  <c r="AE51" i="14"/>
  <c r="AD51" i="14"/>
  <c r="T51" i="14"/>
  <c r="AE242" i="14"/>
  <c r="AD242" i="14"/>
  <c r="T242" i="14"/>
  <c r="AE57" i="14"/>
  <c r="AD57" i="14"/>
  <c r="T57" i="14"/>
  <c r="AE49" i="14"/>
  <c r="AD49" i="14"/>
  <c r="T49" i="14"/>
  <c r="AE45" i="14"/>
  <c r="AD45" i="14"/>
  <c r="T45" i="14"/>
  <c r="AE44" i="14"/>
  <c r="AD44" i="14"/>
  <c r="T44" i="14"/>
  <c r="AE43" i="14"/>
  <c r="AD43" i="14"/>
  <c r="T43" i="14"/>
  <c r="AE42" i="14"/>
  <c r="AD42" i="14"/>
  <c r="T42" i="14"/>
  <c r="AE41" i="14"/>
  <c r="AD41" i="14"/>
  <c r="T41" i="14"/>
  <c r="AE278" i="14"/>
  <c r="AD278" i="14"/>
  <c r="T278" i="14"/>
  <c r="AE91" i="14"/>
  <c r="AD91" i="14"/>
  <c r="T91" i="14"/>
  <c r="AE47" i="14"/>
  <c r="AD47" i="14"/>
  <c r="T47" i="14"/>
  <c r="AE143" i="14"/>
  <c r="AD143" i="14"/>
  <c r="T143" i="14"/>
  <c r="AE274" i="14"/>
  <c r="AD274" i="14"/>
  <c r="T274" i="14"/>
  <c r="AE40" i="14"/>
  <c r="AD40" i="14"/>
  <c r="T40" i="14"/>
  <c r="AE273" i="14"/>
  <c r="AD273" i="14"/>
  <c r="T273" i="14"/>
  <c r="AE272" i="14"/>
  <c r="AD272" i="14"/>
  <c r="T272" i="14"/>
  <c r="AE271" i="14"/>
  <c r="AD271" i="14"/>
  <c r="T271" i="14"/>
  <c r="AE39" i="14"/>
  <c r="AD39" i="14"/>
  <c r="T39" i="14"/>
  <c r="AE35" i="14"/>
  <c r="AD35" i="14"/>
  <c r="T35" i="14"/>
  <c r="AE224" i="14"/>
  <c r="AD224" i="14"/>
  <c r="T224" i="14"/>
  <c r="AE146" i="14"/>
  <c r="AD146" i="14"/>
  <c r="T146" i="14"/>
  <c r="AE213" i="14"/>
  <c r="AD213" i="14"/>
  <c r="T213" i="14"/>
  <c r="AE34" i="14"/>
  <c r="AD34" i="14"/>
  <c r="T34" i="14"/>
  <c r="AE33" i="14"/>
  <c r="AD33" i="14"/>
  <c r="T33" i="14"/>
  <c r="AE32" i="14"/>
  <c r="AD32" i="14"/>
  <c r="T32" i="14"/>
  <c r="AE31" i="14"/>
  <c r="AD31" i="14"/>
  <c r="T31" i="14"/>
  <c r="AE30" i="14"/>
  <c r="T30" i="14"/>
  <c r="AE29" i="14"/>
  <c r="AD29" i="14"/>
  <c r="T29" i="14"/>
  <c r="AE27" i="14"/>
  <c r="AD27" i="14"/>
  <c r="T27" i="14"/>
  <c r="AE28" i="14"/>
  <c r="AD28" i="14"/>
  <c r="T28" i="14"/>
  <c r="AE26" i="14"/>
  <c r="AD26" i="14"/>
  <c r="T26" i="14"/>
  <c r="AE25" i="14"/>
  <c r="AD25" i="14"/>
  <c r="T25" i="14"/>
  <c r="AE23" i="14"/>
  <c r="AD23" i="14"/>
  <c r="T23" i="14"/>
  <c r="AE24" i="14"/>
  <c r="AD24" i="14"/>
  <c r="T24" i="14"/>
  <c r="AE22" i="14"/>
  <c r="AD22" i="14"/>
  <c r="T22" i="14"/>
  <c r="AE21" i="14"/>
  <c r="AD21" i="14"/>
  <c r="T21" i="14"/>
  <c r="AE20" i="14"/>
  <c r="AD20" i="14"/>
  <c r="T20" i="14"/>
  <c r="AE18" i="14"/>
  <c r="AD18" i="14"/>
  <c r="T18" i="14"/>
  <c r="AE144" i="14"/>
  <c r="AD144" i="14"/>
  <c r="T144" i="14"/>
  <c r="AE17" i="14"/>
  <c r="AD17" i="14"/>
  <c r="T17" i="14"/>
  <c r="AE270" i="14"/>
  <c r="AD270" i="14"/>
  <c r="T270" i="14"/>
  <c r="AE16" i="14"/>
  <c r="AD16" i="14"/>
  <c r="T16" i="14"/>
  <c r="AE15" i="14"/>
  <c r="AD15" i="14"/>
  <c r="T15" i="14"/>
  <c r="AE14" i="14"/>
  <c r="AD14" i="14"/>
  <c r="T14" i="14"/>
  <c r="AE13" i="14"/>
  <c r="AD13" i="14"/>
  <c r="T13" i="14"/>
  <c r="AE12" i="14"/>
  <c r="AD12" i="14"/>
  <c r="T12" i="14"/>
  <c r="AE11" i="14"/>
  <c r="AD11" i="14"/>
  <c r="T11" i="14"/>
  <c r="AE10" i="14"/>
  <c r="AD10" i="14"/>
  <c r="T10" i="14"/>
  <c r="AE9" i="14"/>
  <c r="AD9" i="14"/>
  <c r="T9" i="14"/>
  <c r="AE8" i="14"/>
  <c r="AD8" i="14"/>
  <c r="T8" i="14"/>
  <c r="AE7" i="14"/>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s="1"/>
  <c r="D18" i="62"/>
  <c r="D25" i="62"/>
  <c r="D20" i="62"/>
  <c r="D27" i="62"/>
  <c r="D29" i="62"/>
  <c r="D10" i="62"/>
  <c r="D28" i="62"/>
  <c r="D21" i="62"/>
  <c r="D17" i="62"/>
  <c r="D24" i="62"/>
  <c r="D15" i="62"/>
  <c r="D13" i="62"/>
  <c r="D16" i="62"/>
  <c r="D11" i="62"/>
  <c r="D12" i="62"/>
  <c r="D19" i="62"/>
  <c r="D23" i="62"/>
  <c r="D26" i="62"/>
  <c r="D22" i="62"/>
  <c r="D14" i="62"/>
  <c r="AB11" i="43"/>
  <c r="AB16" i="43"/>
  <c r="AB13" i="43"/>
  <c r="AB15" i="43"/>
  <c r="AB19" i="43"/>
  <c r="AB10" i="43"/>
  <c r="AB14" i="43"/>
  <c r="AB12" i="43"/>
  <c r="AB17" i="43"/>
  <c r="AB18" i="43"/>
  <c r="AF24" i="14" l="1"/>
  <c r="AF34" i="14"/>
  <c r="AF161" i="14"/>
  <c r="AF249" i="14"/>
  <c r="AF251" i="14"/>
  <c r="AF115" i="14"/>
  <c r="AF80" i="14"/>
  <c r="AF191" i="14"/>
  <c r="AF104" i="14"/>
  <c r="AF114" i="14"/>
  <c r="AF120" i="14"/>
  <c r="AF122" i="14"/>
  <c r="AF125" i="14"/>
  <c r="AF133" i="14"/>
  <c r="AF97" i="14"/>
  <c r="AF152" i="14"/>
  <c r="AF105" i="14"/>
  <c r="AF140" i="14"/>
  <c r="AF88" i="14"/>
  <c r="AF149" i="14"/>
  <c r="AF157" i="14"/>
  <c r="AF37" i="14"/>
  <c r="AF163" i="14"/>
  <c r="AF234" i="14"/>
  <c r="AF150" i="14"/>
  <c r="AF257" i="14"/>
  <c r="AF166" i="14"/>
  <c r="AF168" i="14"/>
  <c r="AF201" i="14"/>
  <c r="AF205" i="14"/>
  <c r="AF197" i="14"/>
  <c r="AF82" i="14"/>
  <c r="AF200" i="14"/>
  <c r="AF36" i="14"/>
  <c r="AF237" i="14"/>
  <c r="AF61" i="14"/>
  <c r="AF238" i="14"/>
  <c r="AF241" i="14"/>
  <c r="AF244" i="14"/>
  <c r="AF305" i="14"/>
  <c r="AF192" i="14"/>
  <c r="AF280" i="14"/>
  <c r="AF284" i="14"/>
  <c r="AF288" i="14"/>
  <c r="AF109" i="14"/>
  <c r="AF295" i="14"/>
  <c r="AF181" i="14"/>
  <c r="AF46" i="14"/>
  <c r="AF297" i="14"/>
  <c r="AF263" i="14"/>
  <c r="AF226" i="14"/>
  <c r="AF69" i="14"/>
  <c r="AF72" i="14"/>
  <c r="AF228" i="14"/>
  <c r="AF15" i="14"/>
  <c r="AF143" i="14"/>
  <c r="AF56" i="14"/>
  <c r="AF87" i="14"/>
  <c r="AF75" i="14"/>
  <c r="AF229" i="14"/>
  <c r="AF174" i="14"/>
  <c r="AF113" i="14"/>
  <c r="AF119" i="14"/>
  <c r="AF116" i="14"/>
  <c r="AF124" i="14"/>
  <c r="AF94" i="14"/>
  <c r="AF85" i="14"/>
  <c r="AF253" i="14"/>
  <c r="AF165" i="14"/>
  <c r="AF235" i="14"/>
  <c r="AF177" i="14"/>
  <c r="AF188" i="14"/>
  <c r="AF199" i="14"/>
  <c r="AF189" i="14"/>
  <c r="AF291" i="14"/>
  <c r="AF206" i="14"/>
  <c r="AF268" i="14"/>
  <c r="AF29" i="14"/>
  <c r="AF271" i="14"/>
  <c r="AF274" i="14"/>
  <c r="AF186" i="14"/>
  <c r="AF74" i="14"/>
  <c r="AF76" i="14"/>
  <c r="AF81" i="14"/>
  <c r="AF118" i="14"/>
  <c r="AF183" i="14"/>
  <c r="AF281" i="14"/>
  <c r="AF127" i="14"/>
  <c r="AF92" i="14"/>
  <c r="AF135" i="14"/>
  <c r="AF96" i="14"/>
  <c r="AF156" i="14"/>
  <c r="AF86" i="14"/>
  <c r="AF142" i="14"/>
  <c r="AF154" i="14"/>
  <c r="AF171" i="14"/>
  <c r="AF232" i="14"/>
  <c r="AF233" i="14"/>
  <c r="AF175" i="14"/>
  <c r="AF130" i="14"/>
  <c r="AF259" i="14"/>
  <c r="AF167" i="14"/>
  <c r="AF172" i="14"/>
  <c r="AF180" i="14"/>
  <c r="AF207" i="14"/>
  <c r="AF260" i="14"/>
  <c r="AF190" i="14"/>
  <c r="AF298" i="14"/>
  <c r="AF262" i="14"/>
  <c r="AF265" i="14"/>
  <c r="AF266" i="14"/>
  <c r="AF240" i="14"/>
  <c r="AF243" i="14"/>
  <c r="AF275" i="14"/>
  <c r="AF276" i="14"/>
  <c r="AF247" i="14"/>
  <c r="AF282" i="14"/>
  <c r="AF254" i="14"/>
  <c r="AF290" i="14"/>
  <c r="AF293" i="14"/>
  <c r="AF194" i="14"/>
  <c r="AF158" i="14"/>
  <c r="AF110" i="14"/>
  <c r="AF256" i="14"/>
  <c r="AF8" i="14"/>
  <c r="AF12" i="14"/>
  <c r="AF16" i="14"/>
  <c r="AF18" i="14"/>
  <c r="AF28" i="14"/>
  <c r="AF30" i="14"/>
  <c r="AF35" i="14"/>
  <c r="AF273" i="14"/>
  <c r="AF47" i="14"/>
  <c r="AF42" i="14"/>
  <c r="AF49" i="14"/>
  <c r="AF52" i="14"/>
  <c r="AF67" i="14"/>
  <c r="AF58" i="14"/>
  <c r="AF145" i="14"/>
  <c r="AF136" i="14"/>
  <c r="AF7" i="14"/>
  <c r="AF11" i="14"/>
  <c r="AF144" i="14"/>
  <c r="AF22" i="14"/>
  <c r="AF26" i="14"/>
  <c r="AF33" i="14"/>
  <c r="AF224" i="14"/>
  <c r="AF272" i="14"/>
  <c r="AF41" i="14"/>
  <c r="AF45" i="14"/>
  <c r="AF51" i="14"/>
  <c r="AF62" i="14"/>
  <c r="AF66" i="14"/>
  <c r="AF68" i="14"/>
  <c r="AF71" i="14"/>
  <c r="AF160" i="14"/>
  <c r="AF231" i="14"/>
  <c r="AF77" i="14"/>
  <c r="AF129" i="14"/>
  <c r="AF279" i="14"/>
  <c r="AF102" i="14"/>
  <c r="AF93" i="14"/>
  <c r="AF128" i="14"/>
  <c r="AF95" i="14"/>
  <c r="AF137" i="14"/>
  <c r="AF139" i="14"/>
  <c r="AF147" i="14"/>
  <c r="AF155" i="14"/>
  <c r="AF162" i="14"/>
  <c r="AF286" i="14"/>
  <c r="AF176" i="14"/>
  <c r="AF131" i="14"/>
  <c r="AF195" i="14"/>
  <c r="AF212" i="14"/>
  <c r="AF203" i="14"/>
  <c r="AF83" i="14"/>
  <c r="AF84" i="14"/>
  <c r="AF107" i="14"/>
  <c r="AF103" i="14"/>
  <c r="AF248" i="14"/>
  <c r="AF283" i="14"/>
  <c r="AF287" i="14"/>
  <c r="AF294" i="14"/>
  <c r="AF100" i="14"/>
  <c r="AF296" i="14"/>
  <c r="AF173" i="14"/>
  <c r="AF258" i="14"/>
  <c r="AF204" i="14"/>
  <c r="AF10" i="14"/>
  <c r="AF14" i="14"/>
  <c r="AF17" i="14"/>
  <c r="AF21" i="14"/>
  <c r="AF25" i="14"/>
  <c r="AF32" i="14"/>
  <c r="AF146" i="14"/>
  <c r="AF278" i="14"/>
  <c r="AF44" i="14"/>
  <c r="AF242" i="14"/>
  <c r="AF65" i="14"/>
  <c r="AF55" i="14"/>
  <c r="AF64" i="14"/>
  <c r="AF70" i="14"/>
  <c r="AF196" i="14"/>
  <c r="AF159" i="14"/>
  <c r="AF48" i="14"/>
  <c r="AF187" i="14"/>
  <c r="AF250" i="14"/>
  <c r="AF132" i="14"/>
  <c r="AF90" i="14"/>
  <c r="AF111" i="14"/>
  <c r="AF9" i="14"/>
  <c r="AF13" i="14"/>
  <c r="AF270" i="14"/>
  <c r="AF20" i="14"/>
  <c r="AF23" i="14"/>
  <c r="AF27" i="14"/>
  <c r="AF31" i="14"/>
  <c r="AF213" i="14"/>
  <c r="AF39" i="14"/>
  <c r="AF40" i="14"/>
  <c r="AF91" i="14"/>
  <c r="AF43" i="14"/>
  <c r="AF57" i="14"/>
  <c r="AF185" i="14"/>
  <c r="AF53" i="14"/>
  <c r="AF54" i="14"/>
  <c r="AF63" i="14"/>
  <c r="AF184" i="14"/>
  <c r="AF73" i="14"/>
  <c r="AF112" i="14"/>
  <c r="AF153" i="14"/>
  <c r="AF245" i="14"/>
  <c r="AF230" i="14"/>
  <c r="AF50" i="14"/>
  <c r="AF78" i="14"/>
  <c r="AF79" i="14"/>
  <c r="AF106" i="14"/>
  <c r="AF182" i="14"/>
  <c r="AF108" i="14"/>
  <c r="AF117" i="14"/>
  <c r="AF121" i="14"/>
  <c r="AF123" i="14"/>
  <c r="AF126" i="14"/>
  <c r="AF134" i="14"/>
  <c r="AF98" i="14"/>
  <c r="AF99" i="14"/>
  <c r="AF138" i="14"/>
  <c r="AF89" i="14"/>
  <c r="AF141" i="14"/>
  <c r="AF151" i="14"/>
  <c r="AF170" i="14"/>
  <c r="AF59" i="14"/>
  <c r="AF164" i="14"/>
  <c r="AF211" i="14"/>
  <c r="AF19" i="14"/>
  <c r="AF236" i="14"/>
  <c r="AF179" i="14"/>
  <c r="AF169" i="14"/>
  <c r="AF178" i="14"/>
  <c r="AF193" i="14"/>
  <c r="AF210" i="14"/>
  <c r="AF198" i="14"/>
  <c r="AF202" i="14"/>
  <c r="AF261" i="14"/>
  <c r="AF264" i="14"/>
  <c r="AF101" i="14"/>
  <c r="AF239" i="14"/>
  <c r="AF246" i="14"/>
  <c r="AF277" i="14"/>
  <c r="AF252" i="14"/>
  <c r="AF285" i="14"/>
  <c r="AF289" i="14"/>
  <c r="AF292" i="14"/>
  <c r="AF215" i="14"/>
  <c r="AF38" i="14"/>
  <c r="AF148" i="14"/>
  <c r="AF255" i="14"/>
  <c r="AF267" i="14"/>
  <c r="AF208" i="14"/>
  <c r="AF222" i="14"/>
  <c r="AF209" i="14"/>
  <c r="AF225" i="14"/>
  <c r="AF227" i="14"/>
  <c r="M182" i="19"/>
  <c r="T71" i="19"/>
  <c r="T73" i="19" s="1"/>
  <c r="S106" i="19"/>
  <c r="Y48" i="19"/>
  <c r="Y182" i="19" s="1"/>
  <c r="S141" i="19"/>
  <c r="S102" i="19"/>
  <c r="S63" i="19"/>
  <c r="T14" i="19"/>
  <c r="U141" i="19"/>
  <c r="W44" i="19"/>
  <c r="V20" i="19"/>
  <c r="S181" i="19"/>
  <c r="S152" i="19"/>
  <c r="T44" i="19"/>
  <c r="W181" i="19"/>
  <c r="W152" i="19"/>
  <c r="V44" i="19"/>
  <c r="U20" i="19"/>
  <c r="W14" i="19"/>
  <c r="F25" i="62"/>
  <c r="W48" i="19"/>
  <c r="S44" i="19"/>
  <c r="T20" i="19"/>
  <c r="W141" i="19"/>
  <c r="V102" i="19"/>
  <c r="W63" i="19"/>
  <c r="U44" i="19"/>
  <c r="V14" i="19"/>
  <c r="R182" i="19"/>
  <c r="F26" i="62"/>
  <c r="F22" i="62"/>
  <c r="S155" i="19"/>
  <c r="S149" i="19"/>
  <c r="S73" i="19"/>
  <c r="S20" i="19"/>
  <c r="T141" i="19"/>
  <c r="T102" i="19"/>
  <c r="W155" i="19"/>
  <c r="W146" i="19"/>
  <c r="V141" i="19"/>
  <c r="U102" i="19"/>
  <c r="W89" i="19"/>
  <c r="W77" i="19"/>
  <c r="W73" i="19"/>
  <c r="W20" i="19"/>
  <c r="U14" i="19"/>
  <c r="S14" i="19"/>
  <c r="F27" i="62"/>
  <c r="X48" i="19"/>
  <c r="X182" i="19" s="1"/>
  <c r="Y8" i="66"/>
  <c r="U181" i="19"/>
  <c r="H182" i="19"/>
  <c r="F19" i="62"/>
  <c r="F18" i="62"/>
  <c r="AI9" i="66"/>
  <c r="H45" i="94"/>
  <c r="H49" i="94" s="1"/>
  <c r="AI3" i="66"/>
  <c r="AI15" i="66"/>
  <c r="M6" i="86"/>
  <c r="M149" i="86"/>
  <c r="M166" i="86"/>
  <c r="M142" i="86"/>
  <c r="M100" i="86"/>
  <c r="M74" i="86"/>
  <c r="M62" i="86"/>
  <c r="M80" i="86"/>
  <c r="M92" i="86"/>
  <c r="M141" i="86"/>
  <c r="M160" i="86"/>
  <c r="Y6" i="66"/>
  <c r="G45" i="94"/>
  <c r="G49" i="94" s="1"/>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Y22" i="66"/>
  <c r="Y16" i="66"/>
  <c r="AI12" i="66"/>
  <c r="Y7" i="66"/>
  <c r="AI24" i="66"/>
  <c r="C31" i="94"/>
  <c r="C41" i="94" s="1"/>
  <c r="D31" i="94"/>
  <c r="B42" i="92"/>
  <c r="Y17" i="66"/>
  <c r="Y23" i="66"/>
  <c r="B51" i="92"/>
  <c r="AI10" i="66"/>
  <c r="E31" i="94"/>
  <c r="Y11" i="66"/>
  <c r="Y25" i="66"/>
  <c r="Y4" i="66"/>
  <c r="Y14" i="66"/>
  <c r="Y21" i="66"/>
  <c r="X13" i="66"/>
  <c r="X26" i="66" s="1"/>
  <c r="AG26" i="66"/>
  <c r="Z26" i="66" s="1"/>
  <c r="Z4" i="66"/>
  <c r="D40" i="94"/>
  <c r="Y19" i="66"/>
  <c r="E40" i="94"/>
  <c r="Y13" i="66"/>
  <c r="AI20" i="66"/>
  <c r="E19" i="62"/>
  <c r="S77" i="19"/>
  <c r="E24" i="62"/>
  <c r="W149" i="19"/>
  <c r="N182" i="19"/>
  <c r="Q182" i="19"/>
  <c r="E27" i="62"/>
  <c r="E23" i="62"/>
  <c r="E21" i="62"/>
  <c r="E18" i="62"/>
  <c r="E12" i="62"/>
  <c r="F21" i="62"/>
  <c r="F15" i="62"/>
  <c r="U155" i="19"/>
  <c r="U149" i="19"/>
  <c r="U77" i="19"/>
  <c r="L182" i="19"/>
  <c r="E10" i="62"/>
  <c r="S86" i="19"/>
  <c r="T155" i="19"/>
  <c r="T149" i="19"/>
  <c r="T89" i="19"/>
  <c r="T86" i="19"/>
  <c r="V155" i="19"/>
  <c r="V149" i="19"/>
  <c r="V146" i="19"/>
  <c r="U146" i="19"/>
  <c r="V106" i="19"/>
  <c r="U106" i="19"/>
  <c r="U89" i="19"/>
  <c r="V86" i="19"/>
  <c r="U86" i="19"/>
  <c r="V77" i="19"/>
  <c r="J130" i="86"/>
  <c r="K166" i="86"/>
  <c r="K136" i="86"/>
  <c r="L162" i="86"/>
  <c r="L154" i="86"/>
  <c r="K100" i="86"/>
  <c r="K104" i="86"/>
  <c r="J100" i="86"/>
  <c r="K112" i="86"/>
  <c r="J182" i="19"/>
  <c r="J150" i="86"/>
  <c r="L134" i="86"/>
  <c r="L144" i="86"/>
  <c r="J134" i="86"/>
  <c r="J154" i="86"/>
  <c r="J152" i="86"/>
  <c r="L152" i="86"/>
  <c r="K148" i="86"/>
  <c r="L114" i="86"/>
  <c r="L90" i="86"/>
  <c r="L126" i="86"/>
  <c r="K96" i="86"/>
  <c r="L122" i="86"/>
  <c r="T134" i="19"/>
  <c r="T77" i="19"/>
  <c r="U152" i="19"/>
  <c r="U134" i="19"/>
  <c r="W106" i="19"/>
  <c r="V89" i="19"/>
  <c r="U48" i="19"/>
  <c r="L136" i="86"/>
  <c r="L158" i="86"/>
  <c r="L124" i="86"/>
  <c r="L94" i="86"/>
  <c r="J156" i="86"/>
  <c r="K94" i="86"/>
  <c r="K84" i="86"/>
  <c r="J122" i="86"/>
  <c r="J16" i="86"/>
  <c r="J138" i="86"/>
  <c r="L168" i="86"/>
  <c r="L146" i="86"/>
  <c r="K142" i="86"/>
  <c r="J112" i="86"/>
  <c r="S89" i="19"/>
  <c r="W134" i="19"/>
  <c r="W102" i="19"/>
  <c r="U73" i="19"/>
  <c r="T48" i="19"/>
  <c r="S146" i="19"/>
  <c r="T181" i="19"/>
  <c r="T152" i="19"/>
  <c r="T106" i="19"/>
  <c r="V181" i="19"/>
  <c r="V152" i="19"/>
  <c r="V134" i="19"/>
  <c r="V73" i="19"/>
  <c r="I182" i="19"/>
  <c r="E29" i="62"/>
  <c r="E26" i="62"/>
  <c r="E17" i="62"/>
  <c r="E13" i="62"/>
  <c r="F29" i="62"/>
  <c r="F24" i="62"/>
  <c r="F23" i="62"/>
  <c r="V48" i="19"/>
  <c r="F10" i="62"/>
  <c r="F20" i="62"/>
  <c r="T63" i="19"/>
  <c r="V63" i="19"/>
  <c r="U63" i="19"/>
  <c r="F11" i="62"/>
  <c r="E16" i="62"/>
  <c r="E15" i="62"/>
  <c r="E11" i="62"/>
  <c r="F16" i="62"/>
  <c r="F13" i="62"/>
  <c r="F12" i="62"/>
  <c r="E14" i="62"/>
  <c r="E25" i="62"/>
  <c r="E22" i="62"/>
  <c r="K182" i="19"/>
  <c r="E20" i="62"/>
  <c r="F17" i="62"/>
  <c r="F14" i="62"/>
  <c r="O182" i="19"/>
  <c r="P182" i="19"/>
  <c r="T146" i="19"/>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41" i="94" l="1"/>
  <c r="T182" i="19"/>
  <c r="S182" i="19"/>
  <c r="U182" i="19"/>
  <c r="V182" i="19"/>
  <c r="E30" i="62"/>
  <c r="G12" i="62"/>
  <c r="G19" i="62"/>
  <c r="B52" i="92"/>
  <c r="D41" i="94"/>
  <c r="H19" i="62"/>
  <c r="CF24" i="62" s="1"/>
  <c r="G24" i="62"/>
  <c r="Y26" i="66"/>
  <c r="AD26" i="66" s="1"/>
  <c r="I47" i="94"/>
  <c r="G18" i="62"/>
  <c r="H27" i="62"/>
  <c r="CG32" i="62" s="1"/>
  <c r="CE32" i="62" s="1"/>
  <c r="G26" i="62"/>
  <c r="H18" i="62"/>
  <c r="CF23" i="62" s="1"/>
  <c r="G29" i="62"/>
  <c r="G21" i="62"/>
  <c r="H21" i="62"/>
  <c r="CF26" i="62" s="1"/>
  <c r="H23" i="62"/>
  <c r="CF30" i="62" s="1"/>
  <c r="H29" i="62"/>
  <c r="G27" i="62"/>
  <c r="H24" i="62"/>
  <c r="CG29" i="62" s="1"/>
  <c r="CE29" i="62" s="1"/>
  <c r="G10" i="62"/>
  <c r="H10" i="62"/>
  <c r="CG17" i="62" s="1"/>
  <c r="CE17" i="62" s="1"/>
  <c r="W182" i="19"/>
  <c r="H13" i="62"/>
  <c r="H26" i="62"/>
  <c r="CG31" i="62" s="1"/>
  <c r="CE31" i="62" s="1"/>
  <c r="H12" i="62"/>
  <c r="CG19" i="62" s="1"/>
  <c r="CE19" i="62" s="1"/>
  <c r="F30" i="62"/>
  <c r="H6" i="62" s="1"/>
  <c r="G23" i="62"/>
  <c r="G17" i="62"/>
  <c r="H15" i="62"/>
  <c r="CF20" i="62" s="1"/>
  <c r="G15" i="62"/>
  <c r="G13" i="62"/>
  <c r="H22" i="62"/>
  <c r="CG27" i="62" s="1"/>
  <c r="CE27" i="62" s="1"/>
  <c r="G22" i="62"/>
  <c r="H16" i="62"/>
  <c r="CF21" i="62" s="1"/>
  <c r="G16" i="62"/>
  <c r="H25" i="62"/>
  <c r="G25" i="62"/>
  <c r="G14" i="62"/>
  <c r="H14" i="62"/>
  <c r="H17" i="62"/>
  <c r="CF22" i="62" s="1"/>
  <c r="G20" i="62"/>
  <c r="H20" i="62"/>
  <c r="CF25" i="62" s="1"/>
  <c r="G11" i="62"/>
  <c r="H11" i="62"/>
  <c r="CG18" i="62" s="1"/>
  <c r="CE18" i="62" s="1"/>
  <c r="I45" i="94" l="1"/>
  <c r="CG24" i="62"/>
  <c r="CE24" i="62" s="1"/>
  <c r="CG23" i="62"/>
  <c r="CE23" i="62" s="1"/>
  <c r="AA26" i="66"/>
  <c r="AC26" i="66"/>
  <c r="AB26" i="66"/>
  <c r="I49" i="94"/>
  <c r="I50" i="94"/>
  <c r="I46" i="94"/>
  <c r="I48" i="94"/>
  <c r="CG26" i="62"/>
  <c r="CE26" i="62" s="1"/>
  <c r="CG30" i="62"/>
  <c r="CE30" i="62" s="1"/>
  <c r="CG28" i="62"/>
  <c r="CE28" i="62" s="1"/>
  <c r="CG21" i="62"/>
  <c r="CE21" i="62" s="1"/>
  <c r="CG20" i="62"/>
  <c r="CE20" i="62" s="1"/>
  <c r="H30" i="62"/>
  <c r="G30" i="62"/>
  <c r="H7" i="62" s="1"/>
  <c r="CG25" i="62"/>
  <c r="CE25" i="62" s="1"/>
  <c r="CG22" i="62"/>
  <c r="CE22" i="62" s="1"/>
</calcChain>
</file>

<file path=xl/comments1.xml><?xml version="1.0" encoding="utf-8"?>
<comments xmlns="http://schemas.openxmlformats.org/spreadsheetml/2006/main">
  <authors>
    <author>Soe Moe Kyi</author>
    <author>Deepika Bhardwaj</author>
  </authors>
  <commentList>
    <comment ref="J32" authorId="0" shapeId="0">
      <text>
        <r>
          <rPr>
            <b/>
            <sz val="9"/>
            <color indexed="81"/>
            <rFont val="Tahoma"/>
            <family val="2"/>
          </rPr>
          <t>Soe Moe Kyi:</t>
        </r>
        <r>
          <rPr>
            <sz val="9"/>
            <color indexed="81"/>
            <rFont val="Tahoma"/>
            <family val="2"/>
          </rPr>
          <t xml:space="preserve">
0 unit in July report</t>
        </r>
      </text>
    </comment>
    <comment ref="O32" authorId="0" shapeId="0">
      <text>
        <r>
          <rPr>
            <b/>
            <sz val="9"/>
            <color indexed="81"/>
            <rFont val="Tahoma"/>
            <family val="2"/>
          </rPr>
          <t>Soe Moe Kyi:</t>
        </r>
        <r>
          <rPr>
            <sz val="9"/>
            <color indexed="81"/>
            <rFont val="Tahoma"/>
            <family val="2"/>
          </rPr>
          <t xml:space="preserve">
0 units in July report</t>
        </r>
      </text>
    </comment>
    <comment ref="H38" authorId="0" shapeId="0">
      <text>
        <r>
          <rPr>
            <b/>
            <sz val="9"/>
            <color indexed="81"/>
            <rFont val="Tahoma"/>
            <family val="2"/>
          </rPr>
          <t>Soe Moe Kyi:</t>
        </r>
        <r>
          <rPr>
            <sz val="9"/>
            <color indexed="81"/>
            <rFont val="Tahoma"/>
            <family val="2"/>
          </rPr>
          <t xml:space="preserve">
51 units in July report</t>
        </r>
      </text>
    </comment>
    <comment ref="I38" authorId="0" shapeId="0">
      <text>
        <r>
          <rPr>
            <b/>
            <sz val="9"/>
            <color indexed="81"/>
            <rFont val="Tahoma"/>
            <family val="2"/>
          </rPr>
          <t>Soe Moe Kyi:</t>
        </r>
        <r>
          <rPr>
            <sz val="9"/>
            <color indexed="81"/>
            <rFont val="Tahoma"/>
            <family val="2"/>
          </rPr>
          <t xml:space="preserve">
51 units in July report</t>
        </r>
      </text>
    </comment>
    <comment ref="H51" authorId="0" shapeId="0">
      <text>
        <r>
          <rPr>
            <b/>
            <sz val="9"/>
            <color indexed="81"/>
            <rFont val="Tahoma"/>
            <family val="2"/>
          </rPr>
          <t>Soe Moe Kyi:</t>
        </r>
        <r>
          <rPr>
            <sz val="9"/>
            <color indexed="81"/>
            <rFont val="Tahoma"/>
            <family val="2"/>
          </rPr>
          <t xml:space="preserve">
32 units in KMSS-L July report.</t>
        </r>
      </text>
    </comment>
    <comment ref="I51" authorId="0" shapeId="0">
      <text>
        <r>
          <rPr>
            <b/>
            <sz val="9"/>
            <color indexed="81"/>
            <rFont val="Tahoma"/>
            <family val="2"/>
          </rPr>
          <t>Soe Moe Kyi:</t>
        </r>
        <r>
          <rPr>
            <sz val="9"/>
            <color indexed="81"/>
            <rFont val="Tahoma"/>
            <family val="2"/>
          </rPr>
          <t xml:space="preserve">
32 units in KMSS-L July report.</t>
        </r>
      </text>
    </comment>
    <comment ref="M51" authorId="0" shapeId="0">
      <text>
        <r>
          <rPr>
            <b/>
            <sz val="9"/>
            <color indexed="81"/>
            <rFont val="Tahoma"/>
            <family val="2"/>
          </rPr>
          <t>Soe Moe Kyi:</t>
        </r>
        <r>
          <rPr>
            <sz val="9"/>
            <color indexed="81"/>
            <rFont val="Tahoma"/>
            <family val="2"/>
          </rPr>
          <t xml:space="preserve">
July report.</t>
        </r>
      </text>
    </comment>
    <comment ref="N51" authorId="0" shapeId="0">
      <text>
        <r>
          <rPr>
            <b/>
            <sz val="9"/>
            <color indexed="81"/>
            <rFont val="Tahoma"/>
            <family val="2"/>
          </rPr>
          <t>Soe Moe Kyi:</t>
        </r>
        <r>
          <rPr>
            <sz val="9"/>
            <color indexed="81"/>
            <rFont val="Tahoma"/>
            <family val="2"/>
          </rPr>
          <t xml:space="preserve">
July report.</t>
        </r>
      </text>
    </comment>
    <comment ref="H52" authorId="0" shapeId="0">
      <text>
        <r>
          <rPr>
            <b/>
            <sz val="9"/>
            <color indexed="81"/>
            <rFont val="Tahoma"/>
            <family val="2"/>
          </rPr>
          <t>Soe Moe Kyi:</t>
        </r>
        <r>
          <rPr>
            <sz val="9"/>
            <color indexed="81"/>
            <rFont val="Tahoma"/>
            <family val="2"/>
          </rPr>
          <t xml:space="preserve">
7 units in July report</t>
        </r>
      </text>
    </comment>
    <comment ref="I52" authorId="0" shapeId="0">
      <text>
        <r>
          <rPr>
            <b/>
            <sz val="9"/>
            <color indexed="81"/>
            <rFont val="Tahoma"/>
            <family val="2"/>
          </rPr>
          <t>Soe Moe Kyi:</t>
        </r>
        <r>
          <rPr>
            <sz val="9"/>
            <color indexed="81"/>
            <rFont val="Tahoma"/>
            <family val="2"/>
          </rPr>
          <t xml:space="preserve">
7 units in July report</t>
        </r>
      </text>
    </comment>
    <comment ref="M52" authorId="0" shapeId="0">
      <text>
        <r>
          <rPr>
            <b/>
            <sz val="9"/>
            <color indexed="81"/>
            <rFont val="Tahoma"/>
            <family val="2"/>
          </rPr>
          <t>Soe Moe Kyi:</t>
        </r>
        <r>
          <rPr>
            <sz val="9"/>
            <color indexed="81"/>
            <rFont val="Tahoma"/>
            <family val="2"/>
          </rPr>
          <t xml:space="preserve">
7 units in July report</t>
        </r>
      </text>
    </comment>
    <comment ref="N52" authorId="0" shapeId="0">
      <text>
        <r>
          <rPr>
            <b/>
            <sz val="9"/>
            <color indexed="81"/>
            <rFont val="Tahoma"/>
            <family val="2"/>
          </rPr>
          <t>Soe Moe Kyi:</t>
        </r>
        <r>
          <rPr>
            <sz val="9"/>
            <color indexed="81"/>
            <rFont val="Tahoma"/>
            <family val="2"/>
          </rPr>
          <t xml:space="preserve">
7 units in July report</t>
        </r>
      </text>
    </comment>
    <comment ref="H56" authorId="0" shapeId="0">
      <text>
        <r>
          <rPr>
            <b/>
            <sz val="9"/>
            <color indexed="81"/>
            <rFont val="Tahoma"/>
            <family val="2"/>
          </rPr>
          <t>Soe Moe Kyi:</t>
        </r>
        <r>
          <rPr>
            <sz val="9"/>
            <color indexed="81"/>
            <rFont val="Tahoma"/>
            <family val="2"/>
          </rPr>
          <t xml:space="preserve">
KBC June report</t>
        </r>
      </text>
    </comment>
    <comment ref="I56" authorId="0" shapeId="0">
      <text>
        <r>
          <rPr>
            <b/>
            <sz val="9"/>
            <color indexed="81"/>
            <rFont val="Tahoma"/>
            <family val="2"/>
          </rPr>
          <t>Soe Moe Kyi:</t>
        </r>
        <r>
          <rPr>
            <sz val="9"/>
            <color indexed="81"/>
            <rFont val="Tahoma"/>
            <family val="2"/>
          </rPr>
          <t xml:space="preserve">
KBC June report</t>
        </r>
      </text>
    </comment>
    <comment ref="J57" authorId="0" shapeId="0">
      <text>
        <r>
          <rPr>
            <b/>
            <sz val="9"/>
            <color indexed="81"/>
            <rFont val="Tahoma"/>
            <family val="2"/>
          </rPr>
          <t>Soe Moe Kyi:</t>
        </r>
        <r>
          <rPr>
            <sz val="9"/>
            <color indexed="81"/>
            <rFont val="Tahoma"/>
            <family val="2"/>
          </rPr>
          <t xml:space="preserve">
NSS June cluster minutes</t>
        </r>
      </text>
    </comment>
    <comment ref="H60" authorId="0" shapeId="0">
      <text>
        <r>
          <rPr>
            <b/>
            <sz val="9"/>
            <color indexed="81"/>
            <rFont val="Tahoma"/>
            <family val="2"/>
          </rPr>
          <t>Soe Moe Kyi:</t>
        </r>
        <r>
          <rPr>
            <sz val="9"/>
            <color indexed="81"/>
            <rFont val="Tahoma"/>
            <family val="2"/>
          </rPr>
          <t xml:space="preserve">
12 units gaps in KBC's July report</t>
        </r>
      </text>
    </comment>
    <comment ref="I60" authorId="0" shapeId="0">
      <text>
        <r>
          <rPr>
            <b/>
            <sz val="9"/>
            <color indexed="81"/>
            <rFont val="Tahoma"/>
            <family val="2"/>
          </rPr>
          <t>Soe Moe Kyi:</t>
        </r>
        <r>
          <rPr>
            <sz val="9"/>
            <color indexed="81"/>
            <rFont val="Tahoma"/>
            <family val="2"/>
          </rPr>
          <t xml:space="preserve">
12 units gaps in KBC July report</t>
        </r>
      </text>
    </comment>
    <comment ref="M60" authorId="0" shapeId="0">
      <text>
        <r>
          <rPr>
            <b/>
            <sz val="9"/>
            <color indexed="81"/>
            <rFont val="Tahoma"/>
            <family val="2"/>
          </rPr>
          <t>Soe Moe Kyi:</t>
        </r>
        <r>
          <rPr>
            <sz val="9"/>
            <color indexed="81"/>
            <rFont val="Tahoma"/>
            <family val="2"/>
          </rPr>
          <t xml:space="preserve">
0 unit in July report</t>
        </r>
      </text>
    </comment>
    <comment ref="N60" authorId="0" shapeId="0">
      <text>
        <r>
          <rPr>
            <b/>
            <sz val="9"/>
            <color indexed="81"/>
            <rFont val="Tahoma"/>
            <family val="2"/>
          </rPr>
          <t>Soe Moe Kyi:</t>
        </r>
        <r>
          <rPr>
            <sz val="9"/>
            <color indexed="81"/>
            <rFont val="Tahoma"/>
            <family val="2"/>
          </rPr>
          <t xml:space="preserve">
0 units in July report</t>
        </r>
      </text>
    </comment>
    <comment ref="M65" authorId="0" shapeId="0">
      <text>
        <r>
          <rPr>
            <b/>
            <sz val="9"/>
            <color indexed="81"/>
            <rFont val="Tahoma"/>
            <family val="2"/>
          </rPr>
          <t>Soe Moe Kyi:</t>
        </r>
        <r>
          <rPr>
            <sz val="9"/>
            <color indexed="81"/>
            <rFont val="Tahoma"/>
            <family val="2"/>
          </rPr>
          <t xml:space="preserve">
completed</t>
        </r>
      </text>
    </comment>
    <comment ref="N65" authorId="0" shapeId="0">
      <text>
        <r>
          <rPr>
            <b/>
            <sz val="9"/>
            <color indexed="81"/>
            <rFont val="Tahoma"/>
            <family val="2"/>
          </rPr>
          <t>Soe Moe Kyi:</t>
        </r>
        <r>
          <rPr>
            <sz val="9"/>
            <color indexed="81"/>
            <rFont val="Tahoma"/>
            <family val="2"/>
          </rPr>
          <t xml:space="preserve">
completed</t>
        </r>
      </text>
    </comment>
    <comment ref="H66" authorId="0" shapeId="0">
      <text>
        <r>
          <rPr>
            <b/>
            <sz val="9"/>
            <color indexed="81"/>
            <rFont val="Tahoma"/>
            <family val="2"/>
          </rPr>
          <t>Soe Moe Kyi:</t>
        </r>
        <r>
          <rPr>
            <sz val="9"/>
            <color indexed="81"/>
            <rFont val="Tahoma"/>
            <family val="2"/>
          </rPr>
          <t xml:space="preserve">
0 units in July report</t>
        </r>
      </text>
    </comment>
    <comment ref="H68" authorId="0" shapeId="0">
      <text>
        <r>
          <rPr>
            <b/>
            <sz val="9"/>
            <color indexed="81"/>
            <rFont val="Tahoma"/>
            <family val="2"/>
          </rPr>
          <t>Soe Moe Kyi:</t>
        </r>
        <r>
          <rPr>
            <sz val="9"/>
            <color indexed="81"/>
            <rFont val="Tahoma"/>
            <family val="2"/>
          </rPr>
          <t xml:space="preserve">
30 units in July report.</t>
        </r>
      </text>
    </comment>
    <comment ref="I68" authorId="0" shapeId="0">
      <text>
        <r>
          <rPr>
            <b/>
            <sz val="9"/>
            <color indexed="81"/>
            <rFont val="Tahoma"/>
            <family val="2"/>
          </rPr>
          <t>Soe Moe Kyi:</t>
        </r>
        <r>
          <rPr>
            <sz val="9"/>
            <color indexed="81"/>
            <rFont val="Tahoma"/>
            <family val="2"/>
          </rPr>
          <t xml:space="preserve">
30 units in July report.</t>
        </r>
      </text>
    </comment>
    <comment ref="K68" authorId="0" shapeId="0">
      <text>
        <r>
          <rPr>
            <b/>
            <sz val="9"/>
            <color indexed="81"/>
            <rFont val="Tahoma"/>
            <family val="2"/>
          </rPr>
          <t>Soe Moe Kyi:</t>
        </r>
        <r>
          <rPr>
            <sz val="9"/>
            <color indexed="81"/>
            <rFont val="Tahoma"/>
            <family val="2"/>
          </rPr>
          <t xml:space="preserve">
76 unit in July report</t>
        </r>
      </text>
    </comment>
    <comment ref="M71" authorId="0" shapeId="0">
      <text>
        <r>
          <rPr>
            <b/>
            <sz val="9"/>
            <color indexed="81"/>
            <rFont val="Tahoma"/>
            <family val="2"/>
          </rPr>
          <t>Soe Moe Kyi:</t>
        </r>
        <r>
          <rPr>
            <sz val="9"/>
            <color indexed="81"/>
            <rFont val="Tahoma"/>
            <family val="2"/>
          </rPr>
          <t xml:space="preserve">
231 unit in July report</t>
        </r>
      </text>
    </comment>
    <comment ref="N71" authorId="0" shapeId="0">
      <text>
        <r>
          <rPr>
            <b/>
            <sz val="9"/>
            <color indexed="81"/>
            <rFont val="Tahoma"/>
            <family val="2"/>
          </rPr>
          <t>Soe Moe Kyi:</t>
        </r>
        <r>
          <rPr>
            <sz val="9"/>
            <color indexed="81"/>
            <rFont val="Tahoma"/>
            <family val="2"/>
          </rPr>
          <t xml:space="preserve">
231 in July report</t>
        </r>
      </text>
    </comment>
    <comment ref="K72" authorId="0" shapeId="0">
      <text>
        <r>
          <rPr>
            <b/>
            <sz val="9"/>
            <color indexed="81"/>
            <rFont val="Tahoma"/>
            <family val="2"/>
          </rPr>
          <t>Soe Moe Kyi:</t>
        </r>
        <r>
          <rPr>
            <sz val="9"/>
            <color indexed="81"/>
            <rFont val="Tahoma"/>
            <family val="2"/>
          </rPr>
          <t xml:space="preserve">
gaps in July report</t>
        </r>
      </text>
    </comment>
    <comment ref="V78" authorId="0" shapeId="0">
      <text>
        <r>
          <rPr>
            <b/>
            <sz val="9"/>
            <color indexed="81"/>
            <rFont val="Tahoma"/>
            <family val="2"/>
          </rPr>
          <t>Soe Moe Kyi:</t>
        </r>
        <r>
          <rPr>
            <sz val="9"/>
            <color indexed="81"/>
            <rFont val="Tahoma"/>
            <family val="2"/>
          </rPr>
          <t xml:space="preserve">
0 units in July report</t>
        </r>
      </text>
    </comment>
    <comment ref="L90" authorId="0" shapeId="0">
      <text>
        <r>
          <rPr>
            <b/>
            <sz val="9"/>
            <color indexed="81"/>
            <rFont val="Tahoma"/>
            <family val="2"/>
          </rPr>
          <t>Soe Moe Kyi:</t>
        </r>
        <r>
          <rPr>
            <sz val="9"/>
            <color indexed="81"/>
            <rFont val="Tahoma"/>
            <family val="2"/>
          </rPr>
          <t xml:space="preserve">
gap for ware house.
Reported by KMSS-M in June report.</t>
        </r>
      </text>
    </comment>
    <comment ref="J91" authorId="0" shapeId="0">
      <text>
        <r>
          <rPr>
            <b/>
            <sz val="9"/>
            <color indexed="81"/>
            <rFont val="Tahoma"/>
            <family val="2"/>
          </rPr>
          <t>Soe Moe Kyi:</t>
        </r>
        <r>
          <rPr>
            <sz val="9"/>
            <color indexed="81"/>
            <rFont val="Tahoma"/>
            <family val="2"/>
          </rPr>
          <t xml:space="preserve">
0 units in KMSS-M's June report.</t>
        </r>
      </text>
    </comment>
    <comment ref="M91" authorId="0" shapeId="0">
      <text>
        <r>
          <rPr>
            <b/>
            <sz val="9"/>
            <color indexed="81"/>
            <rFont val="Tahoma"/>
            <family val="2"/>
          </rPr>
          <t>Soe Moe Kyi:</t>
        </r>
        <r>
          <rPr>
            <sz val="9"/>
            <color indexed="81"/>
            <rFont val="Tahoma"/>
            <family val="2"/>
          </rPr>
          <t xml:space="preserve">
0 units in July</t>
        </r>
      </text>
    </comment>
    <comment ref="O91" authorId="0" shapeId="0">
      <text>
        <r>
          <rPr>
            <b/>
            <sz val="9"/>
            <color indexed="81"/>
            <rFont val="Tahoma"/>
            <family val="2"/>
          </rPr>
          <t>Soe Moe Kyi:</t>
        </r>
        <r>
          <rPr>
            <sz val="9"/>
            <color indexed="81"/>
            <rFont val="Tahoma"/>
            <family val="2"/>
          </rPr>
          <t xml:space="preserve">
0 unit in July</t>
        </r>
      </text>
    </comment>
    <comment ref="L92" authorId="0" shapeId="0">
      <text>
        <r>
          <rPr>
            <b/>
            <sz val="9"/>
            <color indexed="81"/>
            <rFont val="Tahoma"/>
            <family val="2"/>
          </rPr>
          <t>Soe Moe Kyi:</t>
        </r>
        <r>
          <rPr>
            <sz val="9"/>
            <color indexed="81"/>
            <rFont val="Tahoma"/>
            <family val="2"/>
          </rPr>
          <t xml:space="preserve">
sub offices with kitchen attached.
KMSS-M's June report.</t>
        </r>
      </text>
    </comment>
    <comment ref="M92"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N92"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M99" authorId="1" shapeId="0">
      <text>
        <r>
          <rPr>
            <b/>
            <sz val="9"/>
            <color indexed="81"/>
            <rFont val="Tahoma"/>
            <family val="2"/>
          </rPr>
          <t>Deepika Bhardwaj:</t>
        </r>
        <r>
          <rPr>
            <sz val="9"/>
            <color indexed="81"/>
            <rFont val="Tahoma"/>
            <family val="2"/>
          </rPr>
          <t xml:space="preserve">
19 by CordAid and rest by Metta</t>
        </r>
      </text>
    </comment>
    <comment ref="H105" authorId="0" shapeId="0">
      <text>
        <r>
          <rPr>
            <b/>
            <sz val="9"/>
            <color indexed="81"/>
            <rFont val="Tahoma"/>
            <family val="2"/>
          </rPr>
          <t>Soe Moe Kyi:</t>
        </r>
        <r>
          <rPr>
            <sz val="9"/>
            <color indexed="81"/>
            <rFont val="Tahoma"/>
            <family val="2"/>
          </rPr>
          <t xml:space="preserve">
90 gaps
NSS June cluster minutes</t>
        </r>
      </text>
    </comment>
    <comment ref="P112" authorId="0" shapeId="0">
      <text>
        <r>
          <rPr>
            <b/>
            <sz val="9"/>
            <color indexed="81"/>
            <rFont val="Tahoma"/>
            <family val="2"/>
          </rPr>
          <t>Soe Moe Kyi:</t>
        </r>
        <r>
          <rPr>
            <sz val="9"/>
            <color indexed="81"/>
            <rFont val="Tahoma"/>
            <family val="2"/>
          </rPr>
          <t xml:space="preserve">
completed</t>
        </r>
      </text>
    </comment>
    <comment ref="I113" authorId="0" shapeId="0">
      <text>
        <r>
          <rPr>
            <b/>
            <sz val="9"/>
            <color indexed="81"/>
            <rFont val="Tahoma"/>
            <family val="2"/>
          </rPr>
          <t>Soe Moe Kyi:</t>
        </r>
        <r>
          <rPr>
            <sz val="9"/>
            <color indexed="81"/>
            <rFont val="Tahoma"/>
            <family val="2"/>
          </rPr>
          <t xml:space="preserve">
0 unit in KBC's June report.</t>
        </r>
      </text>
    </comment>
    <comment ref="J124" authorId="1" shapeId="0">
      <text>
        <r>
          <rPr>
            <b/>
            <sz val="9"/>
            <color indexed="81"/>
            <rFont val="Tahoma"/>
            <family val="2"/>
          </rPr>
          <t>Deepika Bhardwaj:</t>
        </r>
        <r>
          <rPr>
            <sz val="9"/>
            <color indexed="81"/>
            <rFont val="Tahoma"/>
            <family val="2"/>
          </rPr>
          <t xml:space="preserve">
KBC? Gaps??</t>
        </r>
      </text>
    </comment>
    <comment ref="X126" authorId="1" shapeId="0">
      <text>
        <r>
          <rPr>
            <b/>
            <sz val="9"/>
            <color indexed="81"/>
            <rFont val="Tahoma"/>
            <family val="2"/>
          </rPr>
          <t>Deepika Bhardwaj:</t>
        </r>
        <r>
          <rPr>
            <sz val="9"/>
            <color indexed="81"/>
            <rFont val="Tahoma"/>
            <family val="2"/>
          </rPr>
          <t xml:space="preserve">
out of church compound 70 -ICRC, 100- KMSS/HARP</t>
        </r>
      </text>
    </comment>
    <comment ref="Y126" authorId="1" shapeId="0">
      <text>
        <r>
          <rPr>
            <b/>
            <sz val="9"/>
            <color indexed="81"/>
            <rFont val="Tahoma"/>
            <family val="2"/>
          </rPr>
          <t>Deepika Bhardwaj:</t>
        </r>
        <r>
          <rPr>
            <sz val="9"/>
            <color indexed="81"/>
            <rFont val="Tahoma"/>
            <family val="2"/>
          </rPr>
          <t xml:space="preserve">
in church compound/ICRC</t>
        </r>
      </text>
    </comment>
    <comment ref="H143" authorId="0" shapeId="0">
      <text>
        <r>
          <rPr>
            <b/>
            <sz val="9"/>
            <color indexed="81"/>
            <rFont val="Tahoma"/>
            <family val="2"/>
          </rPr>
          <t>Soe Moe Kyi:</t>
        </r>
        <r>
          <rPr>
            <sz val="9"/>
            <color indexed="81"/>
            <rFont val="Tahoma"/>
            <family val="2"/>
          </rPr>
          <t xml:space="preserve">
0 units in KMSS-L's June report.</t>
        </r>
      </text>
    </comment>
    <comment ref="K143" authorId="0" shapeId="0">
      <text>
        <r>
          <rPr>
            <b/>
            <sz val="9"/>
            <color indexed="81"/>
            <rFont val="Tahoma"/>
            <family val="2"/>
          </rPr>
          <t>Soe Moe Kyi:</t>
        </r>
        <r>
          <rPr>
            <sz val="9"/>
            <color indexed="81"/>
            <rFont val="Tahoma"/>
            <family val="2"/>
          </rPr>
          <t xml:space="preserve">
0 units in KMSS-L's June report.</t>
        </r>
      </text>
    </comment>
    <comment ref="H144" authorId="0" shapeId="0">
      <text>
        <r>
          <rPr>
            <b/>
            <sz val="9"/>
            <color indexed="81"/>
            <rFont val="Tahoma"/>
            <family val="2"/>
          </rPr>
          <t>Soe Moe Kyi:</t>
        </r>
        <r>
          <rPr>
            <sz val="9"/>
            <color indexed="81"/>
            <rFont val="Tahoma"/>
            <family val="2"/>
          </rPr>
          <t xml:space="preserve">
32 units in KBC's June report.</t>
        </r>
      </text>
    </comment>
    <comment ref="I144" authorId="0" shapeId="0">
      <text>
        <r>
          <rPr>
            <b/>
            <sz val="9"/>
            <color indexed="81"/>
            <rFont val="Tahoma"/>
            <family val="2"/>
          </rPr>
          <t>Soe Moe Kyi:</t>
        </r>
        <r>
          <rPr>
            <sz val="9"/>
            <color indexed="81"/>
            <rFont val="Tahoma"/>
            <family val="2"/>
          </rPr>
          <t xml:space="preserve">
32 units in KBC's June report.</t>
        </r>
      </text>
    </comment>
    <comment ref="H154" authorId="0" shapeId="0">
      <text>
        <r>
          <rPr>
            <b/>
            <sz val="9"/>
            <color indexed="81"/>
            <rFont val="Tahoma"/>
            <family val="2"/>
          </rPr>
          <t>Soe Moe Kyi:</t>
        </r>
        <r>
          <rPr>
            <sz val="9"/>
            <color indexed="81"/>
            <rFont val="Tahoma"/>
            <family val="2"/>
          </rPr>
          <t xml:space="preserve">
68 units in July report</t>
        </r>
      </text>
    </comment>
    <comment ref="I154" authorId="0" shapeId="0">
      <text>
        <r>
          <rPr>
            <b/>
            <sz val="9"/>
            <color indexed="81"/>
            <rFont val="Tahoma"/>
            <family val="2"/>
          </rPr>
          <t>Soe Moe Kyi:</t>
        </r>
        <r>
          <rPr>
            <sz val="9"/>
            <color indexed="81"/>
            <rFont val="Tahoma"/>
            <family val="2"/>
          </rPr>
          <t xml:space="preserve">
68 units in July report</t>
        </r>
      </text>
    </comment>
    <comment ref="H166" authorId="1" shapeId="0">
      <text>
        <r>
          <rPr>
            <b/>
            <sz val="9"/>
            <color indexed="81"/>
            <rFont val="Tahoma"/>
            <family val="2"/>
          </rPr>
          <t>Deepika Bhardwaj:</t>
        </r>
        <r>
          <rPr>
            <sz val="9"/>
            <color indexed="81"/>
            <rFont val="Tahoma"/>
            <family val="2"/>
          </rPr>
          <t xml:space="preserve">
New Arrival gap</t>
        </r>
      </text>
    </comment>
    <comment ref="I166" authorId="1" shapeId="0">
      <text>
        <r>
          <rPr>
            <b/>
            <sz val="9"/>
            <color indexed="81"/>
            <rFont val="Tahoma"/>
            <family val="2"/>
          </rPr>
          <t>Deepika Bhardwaj:</t>
        </r>
        <r>
          <rPr>
            <sz val="9"/>
            <color indexed="81"/>
            <rFont val="Tahoma"/>
            <family val="2"/>
          </rPr>
          <t xml:space="preserve">
New Arrival Gap</t>
        </r>
      </text>
    </comment>
    <comment ref="M167" authorId="0" shapeId="0">
      <text>
        <r>
          <rPr>
            <b/>
            <sz val="9"/>
            <color indexed="81"/>
            <rFont val="Tahoma"/>
            <family val="2"/>
          </rPr>
          <t>Soe Moe Kyi:</t>
        </r>
        <r>
          <rPr>
            <sz val="9"/>
            <color indexed="81"/>
            <rFont val="Tahoma"/>
            <family val="2"/>
          </rPr>
          <t xml:space="preserve">
0 units in July report</t>
        </r>
      </text>
    </comment>
    <comment ref="N167" authorId="0" shapeId="0">
      <text>
        <r>
          <rPr>
            <b/>
            <sz val="9"/>
            <color indexed="81"/>
            <rFont val="Tahoma"/>
            <family val="2"/>
          </rPr>
          <t>Soe Moe Kyi:</t>
        </r>
        <r>
          <rPr>
            <sz val="9"/>
            <color indexed="81"/>
            <rFont val="Tahoma"/>
            <family val="2"/>
          </rPr>
          <t xml:space="preserve">
0 units in July report</t>
        </r>
      </text>
    </comment>
    <comment ref="H180" authorId="0" shapeId="0">
      <text>
        <r>
          <rPr>
            <b/>
            <sz val="9"/>
            <color indexed="81"/>
            <rFont val="Tahoma"/>
            <family val="2"/>
          </rPr>
          <t>Soe Moe Kyi:</t>
        </r>
        <r>
          <rPr>
            <sz val="9"/>
            <color indexed="81"/>
            <rFont val="Tahoma"/>
            <family val="2"/>
          </rPr>
          <t xml:space="preserve">
700 HH host family living in host couldn’t afford the room rental any more.</t>
        </r>
      </text>
    </comment>
    <comment ref="I180" authorId="0" shapeId="0">
      <text>
        <r>
          <rPr>
            <b/>
            <sz val="9"/>
            <color indexed="81"/>
            <rFont val="Tahoma"/>
            <family val="2"/>
          </rPr>
          <t>Soe Moe Kyi:</t>
        </r>
        <r>
          <rPr>
            <sz val="9"/>
            <color indexed="81"/>
            <rFont val="Tahoma"/>
            <family val="2"/>
          </rPr>
          <t xml:space="preserve">
733 units in KMSS-M's June report.</t>
        </r>
      </text>
    </comment>
    <comment ref="J180" authorId="0" shapeId="0">
      <text>
        <r>
          <rPr>
            <b/>
            <sz val="9"/>
            <color indexed="81"/>
            <rFont val="Tahoma"/>
            <family val="2"/>
          </rPr>
          <t>Soe Moe Kyi:</t>
        </r>
        <r>
          <rPr>
            <sz val="9"/>
            <color indexed="81"/>
            <rFont val="Tahoma"/>
            <family val="2"/>
          </rPr>
          <t xml:space="preserve">
Camp Office renovation.
(As per KMSS-M's June report)</t>
        </r>
      </text>
    </comment>
  </commentList>
</comments>
</file>

<file path=xl/comments2.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18 metta plan</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10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0" authorId="0" shapeId="0">
      <text>
        <r>
          <rPr>
            <b/>
            <sz val="9"/>
            <color indexed="81"/>
            <rFont val="Tahoma"/>
            <family val="2"/>
          </rPr>
          <t>Deepika Bhardwaj:</t>
        </r>
        <r>
          <rPr>
            <sz val="9"/>
            <color indexed="81"/>
            <rFont val="Tahoma"/>
            <family val="2"/>
          </rPr>
          <t xml:space="preserve">
9 by Metta and 32 by Cordaid</t>
        </r>
      </text>
    </comment>
    <comment ref="J60" authorId="0" shapeId="0">
      <text>
        <r>
          <rPr>
            <b/>
            <sz val="9"/>
            <color indexed="81"/>
            <rFont val="Tahoma"/>
            <family val="2"/>
          </rPr>
          <t>Deepika Bhardwaj:</t>
        </r>
        <r>
          <rPr>
            <sz val="9"/>
            <color indexed="81"/>
            <rFont val="Tahoma"/>
            <family val="2"/>
          </rPr>
          <t xml:space="preserve">
9 by Metta and 32 by Cordaid</t>
        </r>
      </text>
    </comment>
    <comment ref="H64" authorId="0" shapeId="0">
      <text>
        <r>
          <rPr>
            <b/>
            <sz val="9"/>
            <color indexed="81"/>
            <rFont val="Tahoma"/>
            <family val="2"/>
          </rPr>
          <t>Deepika Bhardwaj:</t>
        </r>
        <r>
          <rPr>
            <sz val="9"/>
            <color indexed="81"/>
            <rFont val="Tahoma"/>
            <family val="2"/>
          </rPr>
          <t xml:space="preserve">
30 completed</t>
        </r>
      </text>
    </comment>
    <comment ref="J64" authorId="0" shapeId="0">
      <text>
        <r>
          <rPr>
            <b/>
            <sz val="9"/>
            <color indexed="81"/>
            <rFont val="Tahoma"/>
            <family val="2"/>
          </rPr>
          <t>Deepika Bhardwaj:</t>
        </r>
        <r>
          <rPr>
            <sz val="9"/>
            <color indexed="81"/>
            <rFont val="Tahoma"/>
            <family val="2"/>
          </rPr>
          <t xml:space="preserve">
30 completed</t>
        </r>
      </text>
    </comment>
    <comment ref="L69" authorId="1" shapeId="0">
      <text>
        <r>
          <rPr>
            <b/>
            <sz val="9"/>
            <color indexed="81"/>
            <rFont val="Tahoma"/>
            <family val="2"/>
          </rPr>
          <t>Soe Moe 
72 completed Metta</t>
        </r>
      </text>
    </comment>
    <comment ref="H70"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1" authorId="1" shapeId="0">
      <text>
        <r>
          <rPr>
            <b/>
            <sz val="9"/>
            <color indexed="81"/>
            <rFont val="Tahoma"/>
            <family val="2"/>
          </rPr>
          <t>Soe Moe Kyi:</t>
        </r>
        <r>
          <rPr>
            <sz val="9"/>
            <color indexed="81"/>
            <rFont val="Tahoma"/>
            <family val="2"/>
          </rPr>
          <t xml:space="preserve">
NSS cluster minutes/completed</t>
        </r>
      </text>
    </comment>
    <comment ref="N75" authorId="1" shapeId="0">
      <text>
        <r>
          <rPr>
            <b/>
            <sz val="9"/>
            <color indexed="81"/>
            <rFont val="Tahoma"/>
            <family val="2"/>
          </rPr>
          <t>Soe Moe Kyi:</t>
        </r>
        <r>
          <rPr>
            <sz val="9"/>
            <color indexed="81"/>
            <rFont val="Tahoma"/>
            <family val="2"/>
          </rPr>
          <t xml:space="preserve">
20 completed UNHCR</t>
        </r>
      </text>
    </comment>
    <comment ref="H87" authorId="0" shapeId="0">
      <text>
        <r>
          <rPr>
            <b/>
            <sz val="9"/>
            <color indexed="81"/>
            <rFont val="Tahoma"/>
            <family val="2"/>
          </rPr>
          <t>Deepika Bhardwaj:</t>
        </r>
        <r>
          <rPr>
            <sz val="9"/>
            <color indexed="81"/>
            <rFont val="Tahoma"/>
            <family val="2"/>
          </rPr>
          <t xml:space="preserve">
11 completed</t>
        </r>
      </text>
    </comment>
    <comment ref="J87" authorId="0" shapeId="0">
      <text>
        <r>
          <rPr>
            <b/>
            <sz val="9"/>
            <color indexed="81"/>
            <rFont val="Tahoma"/>
            <family val="2"/>
          </rPr>
          <t>Deepika Bhardwaj:</t>
        </r>
        <r>
          <rPr>
            <sz val="9"/>
            <color indexed="81"/>
            <rFont val="Tahoma"/>
            <family val="2"/>
          </rPr>
          <t xml:space="preserve">
11 completed</t>
        </r>
      </text>
    </comment>
    <comment ref="H90" authorId="1" shapeId="0">
      <text>
        <r>
          <rPr>
            <b/>
            <sz val="9"/>
            <color indexed="81"/>
            <rFont val="Tahoma"/>
            <family val="2"/>
          </rPr>
          <t>Soe Moe Kyi:</t>
        </r>
        <r>
          <rPr>
            <sz val="9"/>
            <color indexed="81"/>
            <rFont val="Tahoma"/>
            <family val="2"/>
          </rPr>
          <t xml:space="preserve">
0 unit cover in KMSS-M's June report.</t>
        </r>
      </text>
    </comment>
    <comment ref="L90" authorId="1" shapeId="0">
      <text>
        <r>
          <rPr>
            <b/>
            <sz val="9"/>
            <color indexed="81"/>
            <rFont val="Tahoma"/>
            <family val="2"/>
          </rPr>
          <t>Soe Moe Kyi:</t>
        </r>
        <r>
          <rPr>
            <sz val="9"/>
            <color indexed="81"/>
            <rFont val="Tahoma"/>
            <family val="2"/>
          </rPr>
          <t xml:space="preserve">
0 units in KMSS-M's June report.</t>
        </r>
      </text>
    </comment>
    <comment ref="H91" authorId="1" shapeId="0">
      <text>
        <r>
          <rPr>
            <b/>
            <sz val="9"/>
            <color indexed="81"/>
            <rFont val="Tahoma"/>
            <family val="2"/>
          </rPr>
          <t>Soe Moe Kyi:</t>
        </r>
        <r>
          <rPr>
            <sz val="9"/>
            <color indexed="81"/>
            <rFont val="Tahoma"/>
            <family val="2"/>
          </rPr>
          <t xml:space="preserve">
29 units KMSS/UNHCR- ongoing
</t>
        </r>
      </text>
    </comment>
    <comment ref="J91" authorId="0" shapeId="0">
      <text>
        <r>
          <rPr>
            <b/>
            <sz val="9"/>
            <color indexed="81"/>
            <rFont val="Tahoma"/>
            <family val="2"/>
          </rPr>
          <t>Deepika Bhardwaj:</t>
        </r>
        <r>
          <rPr>
            <sz val="9"/>
            <color indexed="81"/>
            <rFont val="Tahoma"/>
            <family val="2"/>
          </rPr>
          <t xml:space="preserve">
29 UNHCR ongoing
</t>
        </r>
      </text>
    </comment>
    <comment ref="L91" authorId="1" shapeId="0">
      <text>
        <r>
          <rPr>
            <b/>
            <sz val="9"/>
            <color indexed="81"/>
            <rFont val="Tahoma"/>
            <family val="2"/>
          </rPr>
          <t>Soe Moe Kyi:</t>
        </r>
        <r>
          <rPr>
            <sz val="9"/>
            <color indexed="81"/>
            <rFont val="Tahoma"/>
            <family val="2"/>
          </rPr>
          <t xml:space="preserve">
ICRC will cover 532 units as per KMSS June report</t>
        </r>
      </text>
    </comment>
    <comment ref="H93" authorId="0" shapeId="0">
      <text>
        <r>
          <rPr>
            <b/>
            <sz val="9"/>
            <color indexed="81"/>
            <rFont val="Tahoma"/>
            <family val="2"/>
          </rPr>
          <t>Deepika Bhardwaj:</t>
        </r>
        <r>
          <rPr>
            <sz val="9"/>
            <color indexed="81"/>
            <rFont val="Tahoma"/>
            <family val="2"/>
          </rPr>
          <t xml:space="preserve">
20 completed</t>
        </r>
      </text>
    </comment>
    <comment ref="J93" authorId="0" shapeId="0">
      <text>
        <r>
          <rPr>
            <b/>
            <sz val="9"/>
            <color indexed="81"/>
            <rFont val="Tahoma"/>
            <family val="2"/>
          </rPr>
          <t>Deepika Bhardwaj:</t>
        </r>
        <r>
          <rPr>
            <sz val="9"/>
            <color indexed="81"/>
            <rFont val="Tahoma"/>
            <family val="2"/>
          </rPr>
          <t xml:space="preserve">
20 completed</t>
        </r>
      </text>
    </comment>
    <comment ref="H94" authorId="1" shapeId="0">
      <text>
        <r>
          <rPr>
            <b/>
            <sz val="9"/>
            <color indexed="81"/>
            <rFont val="Tahoma"/>
            <family val="2"/>
          </rPr>
          <t>Soe Moe Kyi:</t>
        </r>
        <r>
          <rPr>
            <sz val="9"/>
            <color indexed="81"/>
            <rFont val="Tahoma"/>
            <family val="2"/>
          </rPr>
          <t xml:space="preserve">
52 completed-DRC/MHF</t>
        </r>
      </text>
    </comment>
    <comment ref="L94" authorId="0" shapeId="0">
      <text>
        <r>
          <rPr>
            <b/>
            <sz val="9"/>
            <color indexed="81"/>
            <rFont val="Tahoma"/>
            <family val="2"/>
          </rPr>
          <t>Deepika Bhardwaj:</t>
        </r>
        <r>
          <rPr>
            <sz val="9"/>
            <color indexed="81"/>
            <rFont val="Tahoma"/>
            <family val="2"/>
          </rPr>
          <t xml:space="preserve">
12 completed-UNHCR</t>
        </r>
      </text>
    </comment>
    <comment ref="L95" authorId="0" shapeId="0">
      <text>
        <r>
          <rPr>
            <b/>
            <sz val="9"/>
            <color indexed="81"/>
            <rFont val="Tahoma"/>
            <family val="2"/>
          </rPr>
          <t>Deepika Bhardwaj:</t>
        </r>
        <r>
          <rPr>
            <sz val="9"/>
            <color indexed="81"/>
            <rFont val="Tahoma"/>
            <family val="2"/>
          </rPr>
          <t xml:space="preserve">
3 completed</t>
        </r>
      </text>
    </comment>
    <comment ref="L97" authorId="1" shapeId="0">
      <text>
        <r>
          <rPr>
            <b/>
            <sz val="9"/>
            <color indexed="81"/>
            <rFont val="Tahoma"/>
            <family val="2"/>
          </rPr>
          <t>Soe Moe Kyi:</t>
        </r>
        <r>
          <rPr>
            <sz val="9"/>
            <color indexed="81"/>
            <rFont val="Tahoma"/>
            <family val="2"/>
          </rPr>
          <t xml:space="preserve">
KBC 20 units- completed
Metta 86 units- completed</t>
        </r>
      </text>
    </comment>
    <comment ref="M97" authorId="0" shapeId="0">
      <text>
        <r>
          <rPr>
            <b/>
            <sz val="9"/>
            <color indexed="81"/>
            <rFont val="Tahoma"/>
            <family val="2"/>
          </rPr>
          <t>Deepika Bhardwaj:</t>
        </r>
        <r>
          <rPr>
            <sz val="9"/>
            <color indexed="81"/>
            <rFont val="Tahoma"/>
            <family val="2"/>
          </rPr>
          <t xml:space="preserve">
by KBC</t>
        </r>
      </text>
    </comment>
    <comment ref="H99" authorId="0" shapeId="0">
      <text>
        <r>
          <rPr>
            <b/>
            <sz val="9"/>
            <color indexed="81"/>
            <rFont val="Tahoma"/>
            <family val="2"/>
          </rPr>
          <t>Deepika Bhardwaj:</t>
        </r>
        <r>
          <rPr>
            <sz val="9"/>
            <color indexed="81"/>
            <rFont val="Tahoma"/>
            <family val="2"/>
          </rPr>
          <t xml:space="preserve">
15 completed</t>
        </r>
      </text>
    </comment>
    <comment ref="J99" authorId="0" shapeId="0">
      <text>
        <r>
          <rPr>
            <b/>
            <sz val="9"/>
            <color indexed="81"/>
            <rFont val="Tahoma"/>
            <family val="2"/>
          </rPr>
          <t>Deepika Bhardwaj:</t>
        </r>
        <r>
          <rPr>
            <sz val="9"/>
            <color indexed="81"/>
            <rFont val="Tahoma"/>
            <family val="2"/>
          </rPr>
          <t xml:space="preserve">
15 completed</t>
        </r>
      </text>
    </comment>
    <comment ref="H104" authorId="1" shapeId="0">
      <text>
        <r>
          <rPr>
            <b/>
            <sz val="9"/>
            <color indexed="81"/>
            <rFont val="Tahoma"/>
            <family val="2"/>
          </rPr>
          <t>Soe Moe Kyi:</t>
        </r>
        <r>
          <rPr>
            <sz val="9"/>
            <color indexed="81"/>
            <rFont val="Tahoma"/>
            <family val="2"/>
          </rPr>
          <t xml:space="preserve">
METTA covered.
NSS June cluster minutes</t>
        </r>
      </text>
    </comment>
    <comment ref="H107" authorId="0" shapeId="0">
      <text>
        <r>
          <rPr>
            <b/>
            <sz val="9"/>
            <color indexed="81"/>
            <rFont val="Tahoma"/>
            <family val="2"/>
          </rPr>
          <t>Deepika Bhardwaj:</t>
        </r>
        <r>
          <rPr>
            <sz val="9"/>
            <color indexed="81"/>
            <rFont val="Tahoma"/>
            <family val="2"/>
          </rPr>
          <t xml:space="preserve">
23 planned/ICRC</t>
        </r>
      </text>
    </comment>
    <comment ref="J107" authorId="0" shapeId="0">
      <text>
        <r>
          <rPr>
            <b/>
            <sz val="9"/>
            <color indexed="81"/>
            <rFont val="Tahoma"/>
            <family val="2"/>
          </rPr>
          <t>Deepika Bhardwaj:</t>
        </r>
        <r>
          <rPr>
            <sz val="9"/>
            <color indexed="81"/>
            <rFont val="Tahoma"/>
            <family val="2"/>
          </rPr>
          <t xml:space="preserve">
23 Completed/ICRC</t>
        </r>
      </text>
    </comment>
    <comment ref="N107" authorId="0" shapeId="0">
      <text>
        <r>
          <rPr>
            <b/>
            <sz val="9"/>
            <color indexed="81"/>
            <rFont val="Tahoma"/>
            <family val="2"/>
          </rPr>
          <t>Deepika Bhardwaj:</t>
        </r>
        <r>
          <rPr>
            <sz val="9"/>
            <color indexed="81"/>
            <rFont val="Tahoma"/>
            <family val="2"/>
          </rPr>
          <t xml:space="preserve">
UNHCR</t>
        </r>
      </text>
    </comment>
    <comment ref="N111" authorId="0" shapeId="0">
      <text>
        <r>
          <rPr>
            <b/>
            <sz val="9"/>
            <color indexed="81"/>
            <rFont val="Tahoma"/>
            <family val="2"/>
          </rPr>
          <t>Deepika Bhardwaj:</t>
        </r>
        <r>
          <rPr>
            <sz val="9"/>
            <color indexed="81"/>
            <rFont val="Tahoma"/>
            <family val="2"/>
          </rPr>
          <t xml:space="preserve">
60 completed</t>
        </r>
      </text>
    </comment>
    <comment ref="H112" authorId="0" shapeId="0">
      <text>
        <r>
          <rPr>
            <b/>
            <sz val="9"/>
            <color indexed="81"/>
            <rFont val="Tahoma"/>
            <family val="2"/>
          </rPr>
          <t>Deepika Bhardwaj:</t>
        </r>
        <r>
          <rPr>
            <sz val="9"/>
            <color indexed="81"/>
            <rFont val="Tahoma"/>
            <family val="2"/>
          </rPr>
          <t xml:space="preserve">
planned ICRC</t>
        </r>
      </text>
    </comment>
    <comment ref="N113" authorId="0" shapeId="0">
      <text>
        <r>
          <rPr>
            <b/>
            <sz val="9"/>
            <color indexed="81"/>
            <rFont val="Tahoma"/>
            <family val="2"/>
          </rPr>
          <t>Deepika Bhardwaj:</t>
        </r>
        <r>
          <rPr>
            <sz val="9"/>
            <color indexed="81"/>
            <rFont val="Tahoma"/>
            <family val="2"/>
          </rPr>
          <t xml:space="preserve">
46 completed</t>
        </r>
      </text>
    </comment>
    <comment ref="N114" authorId="0" shapeId="0">
      <text>
        <r>
          <rPr>
            <b/>
            <sz val="9"/>
            <color indexed="81"/>
            <rFont val="Tahoma"/>
            <family val="2"/>
          </rPr>
          <t>Deepika Bhardwaj:</t>
        </r>
        <r>
          <rPr>
            <sz val="9"/>
            <color indexed="81"/>
            <rFont val="Tahoma"/>
            <family val="2"/>
          </rPr>
          <t xml:space="preserve">
20 completed</t>
        </r>
      </text>
    </comment>
    <comment ref="N116" authorId="0" shapeId="0">
      <text>
        <r>
          <rPr>
            <b/>
            <sz val="9"/>
            <color indexed="81"/>
            <rFont val="Tahoma"/>
            <family val="2"/>
          </rPr>
          <t>Deepika Bhardwaj:</t>
        </r>
        <r>
          <rPr>
            <sz val="9"/>
            <color indexed="81"/>
            <rFont val="Tahoma"/>
            <family val="2"/>
          </rPr>
          <t xml:space="preserve">
58 completed</t>
        </r>
      </text>
    </comment>
    <comment ref="H118" authorId="0" shapeId="0">
      <text>
        <r>
          <rPr>
            <b/>
            <sz val="9"/>
            <color indexed="81"/>
            <rFont val="Tahoma"/>
            <family val="2"/>
          </rPr>
          <t>Deepika Bhardwaj
ICRC/Completed</t>
        </r>
      </text>
    </comment>
    <comment ref="J118" authorId="0" shapeId="0">
      <text>
        <r>
          <rPr>
            <b/>
            <sz val="9"/>
            <color indexed="81"/>
            <rFont val="Tahoma"/>
            <family val="2"/>
          </rPr>
          <t>Deepika Bhardwaj:</t>
        </r>
        <r>
          <rPr>
            <sz val="9"/>
            <color indexed="81"/>
            <rFont val="Tahoma"/>
            <family val="2"/>
          </rPr>
          <t xml:space="preserve">
ICRC/Completed</t>
        </r>
      </text>
    </comment>
    <comment ref="N118" authorId="0" shapeId="0">
      <text>
        <r>
          <rPr>
            <b/>
            <sz val="9"/>
            <color indexed="81"/>
            <rFont val="Tahoma"/>
            <family val="2"/>
          </rPr>
          <t>Deepika Bhardwaj:</t>
        </r>
        <r>
          <rPr>
            <sz val="9"/>
            <color indexed="81"/>
            <rFont val="Tahoma"/>
            <family val="2"/>
          </rPr>
          <t xml:space="preserve">
40 completed-UNHCR</t>
        </r>
      </text>
    </comment>
    <comment ref="N120" authorId="0" shapeId="0">
      <text>
        <r>
          <rPr>
            <b/>
            <sz val="9"/>
            <color indexed="81"/>
            <rFont val="Tahoma"/>
            <family val="2"/>
          </rPr>
          <t>Deepika Bhardwaj:</t>
        </r>
        <r>
          <rPr>
            <sz val="9"/>
            <color indexed="81"/>
            <rFont val="Tahoma"/>
            <family val="2"/>
          </rPr>
          <t xml:space="preserve">
14 completed</t>
        </r>
      </text>
    </comment>
    <comment ref="N123" authorId="0" shapeId="0">
      <text>
        <r>
          <rPr>
            <b/>
            <sz val="9"/>
            <color indexed="81"/>
            <rFont val="Tahoma"/>
            <family val="2"/>
          </rPr>
          <t>Deepika Bhardwaj:</t>
        </r>
        <r>
          <rPr>
            <sz val="9"/>
            <color indexed="81"/>
            <rFont val="Tahoma"/>
            <family val="2"/>
          </rPr>
          <t xml:space="preserve">
7 completed</t>
        </r>
      </text>
    </comment>
    <comment ref="S124" authorId="0" shapeId="0">
      <text>
        <r>
          <rPr>
            <b/>
            <sz val="9"/>
            <color indexed="81"/>
            <rFont val="Tahoma"/>
            <family val="2"/>
          </rPr>
          <t>Deepika Bhardwaj:</t>
        </r>
        <r>
          <rPr>
            <sz val="9"/>
            <color indexed="81"/>
            <rFont val="Tahoma"/>
            <family val="2"/>
          </rPr>
          <t xml:space="preserve">
out of church compound /ICRC</t>
        </r>
      </text>
    </comment>
    <comment ref="T124" authorId="0" shapeId="0">
      <text>
        <r>
          <rPr>
            <b/>
            <sz val="9"/>
            <color indexed="81"/>
            <rFont val="Tahoma"/>
            <family val="2"/>
          </rPr>
          <t>Deepika Bhardwaj:</t>
        </r>
        <r>
          <rPr>
            <sz val="9"/>
            <color indexed="81"/>
            <rFont val="Tahoma"/>
            <family val="2"/>
          </rPr>
          <t xml:space="preserve">
in church compound/ICRC</t>
        </r>
      </text>
    </comment>
    <comment ref="L126" authorId="0" shapeId="0">
      <text>
        <r>
          <rPr>
            <b/>
            <sz val="9"/>
            <color indexed="81"/>
            <rFont val="Tahoma"/>
            <family val="2"/>
          </rPr>
          <t>Deepika Bhardwaj:</t>
        </r>
        <r>
          <rPr>
            <sz val="9"/>
            <color indexed="81"/>
            <rFont val="Tahoma"/>
            <family val="2"/>
          </rPr>
          <t xml:space="preserve">
5 completed</t>
        </r>
      </text>
    </comment>
    <comment ref="N127" authorId="0" shapeId="0">
      <text>
        <r>
          <rPr>
            <b/>
            <sz val="9"/>
            <color indexed="81"/>
            <rFont val="Tahoma"/>
            <family val="2"/>
          </rPr>
          <t>Deepika Bhardwaj:</t>
        </r>
        <r>
          <rPr>
            <sz val="9"/>
            <color indexed="81"/>
            <rFont val="Tahoma"/>
            <family val="2"/>
          </rPr>
          <t xml:space="preserve">
26 completed</t>
        </r>
      </text>
    </comment>
    <comment ref="L141" authorId="1" shapeId="0">
      <text>
        <r>
          <rPr>
            <b/>
            <sz val="9"/>
            <color indexed="81"/>
            <rFont val="Tahoma"/>
            <family val="2"/>
          </rPr>
          <t>Soe Moe Kyi:</t>
        </r>
        <r>
          <rPr>
            <sz val="9"/>
            <color indexed="81"/>
            <rFont val="Tahoma"/>
            <family val="2"/>
          </rPr>
          <t xml:space="preserve">
don't know which agency cover for this.</t>
        </r>
      </text>
    </comment>
    <comment ref="N141" authorId="1" shapeId="0">
      <text>
        <r>
          <rPr>
            <b/>
            <sz val="9"/>
            <color indexed="81"/>
            <rFont val="Tahoma"/>
            <family val="2"/>
          </rPr>
          <t>Soe Moe Kyi:</t>
        </r>
        <r>
          <rPr>
            <sz val="9"/>
            <color indexed="81"/>
            <rFont val="Tahoma"/>
            <family val="2"/>
          </rPr>
          <t xml:space="preserve">
20 Completed UNHCR</t>
        </r>
      </text>
    </comment>
    <comment ref="H142" authorId="1" shapeId="0">
      <text>
        <r>
          <rPr>
            <b/>
            <sz val="9"/>
            <color indexed="81"/>
            <rFont val="Tahoma"/>
            <family val="2"/>
          </rPr>
          <t>Soe Moe Kyi:</t>
        </r>
        <r>
          <rPr>
            <sz val="9"/>
            <color indexed="81"/>
            <rFont val="Tahoma"/>
            <family val="2"/>
          </rPr>
          <t xml:space="preserve">
June NSS cluster report</t>
        </r>
      </text>
    </comment>
    <comment ref="L143" authorId="0" shapeId="0">
      <text>
        <r>
          <rPr>
            <b/>
            <sz val="9"/>
            <color indexed="81"/>
            <rFont val="Tahoma"/>
            <family val="2"/>
          </rPr>
          <t>Deepika Bhardwaj:</t>
        </r>
        <r>
          <rPr>
            <sz val="9"/>
            <color indexed="81"/>
            <rFont val="Tahoma"/>
            <family val="2"/>
          </rPr>
          <t xml:space="preserve">
26 completed</t>
        </r>
      </text>
    </comment>
    <comment ref="H161" authorId="0" shapeId="0">
      <text>
        <r>
          <rPr>
            <b/>
            <sz val="9"/>
            <color indexed="81"/>
            <rFont val="Tahoma"/>
            <family val="2"/>
          </rPr>
          <t>Deepika Bhardwaj:</t>
        </r>
        <r>
          <rPr>
            <sz val="9"/>
            <color indexed="81"/>
            <rFont val="Tahoma"/>
            <family val="2"/>
          </rPr>
          <t xml:space="preserve">
30 Planned ICRC</t>
        </r>
      </text>
    </comment>
    <comment ref="J161" authorId="0" shapeId="0">
      <text>
        <r>
          <rPr>
            <b/>
            <sz val="9"/>
            <color indexed="81"/>
            <rFont val="Tahoma"/>
            <family val="2"/>
          </rPr>
          <t>Deepika Bhardwaj:</t>
        </r>
        <r>
          <rPr>
            <sz val="9"/>
            <color indexed="81"/>
            <rFont val="Tahoma"/>
            <family val="2"/>
          </rPr>
          <t xml:space="preserve">
90 kitchen planned ICRC</t>
        </r>
      </text>
    </comment>
    <comment ref="N166" authorId="0" shapeId="0">
      <text>
        <r>
          <rPr>
            <b/>
            <sz val="9"/>
            <color indexed="81"/>
            <rFont val="Tahoma"/>
            <family val="2"/>
          </rPr>
          <t>Deepika Bhardwaj:</t>
        </r>
        <r>
          <rPr>
            <sz val="9"/>
            <color indexed="81"/>
            <rFont val="Tahoma"/>
            <family val="2"/>
          </rPr>
          <t xml:space="preserve">
26 completed</t>
        </r>
      </text>
    </comment>
    <comment ref="N171" authorId="1" shapeId="0">
      <text>
        <r>
          <rPr>
            <b/>
            <sz val="9"/>
            <color indexed="81"/>
            <rFont val="Tahoma"/>
            <family val="2"/>
          </rPr>
          <t>Soe Moe Kyi:</t>
        </r>
        <r>
          <rPr>
            <sz val="9"/>
            <color indexed="81"/>
            <rFont val="Tahoma"/>
            <family val="2"/>
          </rPr>
          <t xml:space="preserve">
15 completed</t>
        </r>
      </text>
    </comment>
    <comment ref="P172" authorId="0" shapeId="0">
      <text>
        <r>
          <rPr>
            <b/>
            <sz val="9"/>
            <color indexed="81"/>
            <rFont val="Tahoma"/>
            <family val="2"/>
          </rPr>
          <t>Deepika Bhardwaj:</t>
        </r>
        <r>
          <rPr>
            <sz val="9"/>
            <color indexed="81"/>
            <rFont val="Tahoma"/>
            <family val="2"/>
          </rPr>
          <t xml:space="preserve">
2 completed</t>
        </r>
      </text>
    </comment>
  </commentList>
</comments>
</file>

<file path=xl/sharedStrings.xml><?xml version="1.0" encoding="utf-8"?>
<sst xmlns="http://schemas.openxmlformats.org/spreadsheetml/2006/main" count="16445" uniqueCount="1925">
  <si>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</si>
  <si>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</si>
  <si>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</si>
  <si>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</si>
  <si>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</si>
  <si>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</si>
  <si>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</si>
  <si>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</si>
  <si>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</si>
  <si>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</si>
  <si>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</si>
  <si>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</si>
  <si>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</si>
  <si>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</si>
  <si>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</si>
  <si>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</si>
  <si>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</si>
  <si>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</si>
  <si>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</si>
  <si>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</si>
  <si>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</si>
  <si>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</si>
  <si>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</si>
  <si>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</si>
  <si>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</si>
  <si>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</si>
  <si>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</si>
  <si>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</si>
  <si>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</si>
  <si>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</si>
  <si>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</si>
  <si>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</si>
  <si>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</si>
  <si>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</si>
  <si>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</si>
  <si>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</si>
  <si>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</si>
  <si>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</si>
  <si>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</si>
  <si>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</si>
  <si>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</si>
  <si>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</si>
  <si>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</si>
  <si>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</si>
  <si>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</si>
  <si>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</si>
  <si>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</si>
  <si>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</si>
  <si>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</si>
  <si>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</si>
  <si>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</si>
  <si>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</si>
  <si>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</si>
  <si>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</si>
  <si>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</si>
  <si>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</si>
  <si>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</si>
  <si>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</si>
  <si>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</si>
  <si>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</si>
  <si>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</si>
  <si>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</si>
  <si>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</si>
  <si>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</si>
  <si>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</si>
  <si>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</si>
  <si>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</si>
  <si>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</si>
  <si>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</si>
  <si>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</si>
  <si>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</si>
  <si>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</si>
  <si>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</si>
  <si>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</si>
  <si>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</si>
  <si>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</si>
  <si>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</si>
  <si>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</si>
  <si>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</si>
  <si>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</si>
  <si>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</si>
  <si>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</si>
  <si>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</si>
  <si>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</si>
  <si>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</si>
  <si>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</si>
  <si>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</si>
  <si>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</si>
  <si>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</si>
  <si>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</si>
  <si>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</si>
  <si>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</si>
  <si>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</si>
  <si>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</si>
  <si>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</si>
  <si>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</si>
  <si>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</si>
  <si>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</si>
  <si>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</si>
  <si>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</si>
  <si>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</si>
  <si>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</si>
  <si>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</si>
  <si>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</si>
  <si>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</si>
  <si>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</si>
  <si>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</si>
  <si>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</si>
  <si>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</si>
  <si>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</si>
  <si>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</si>
  <si>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</si>
  <si>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</si>
  <si>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</si>
  <si>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</si>
  <si>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</si>
  <si>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</si>
  <si>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</si>
  <si>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</si>
  <si>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</si>
  <si>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</si>
  <si>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</si>
  <si>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</si>
  <si>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</si>
  <si>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</si>
  <si>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</si>
  <si>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</si>
  <si>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</si>
  <si>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</si>
  <si>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</si>
  <si>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</si>
  <si>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</si>
  <si>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</si>
  <si>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</si>
  <si>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</si>
  <si>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</si>
  <si>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</si>
  <si>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</si>
  <si>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</si>
  <si>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</si>
  <si>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</si>
  <si>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</si>
  <si>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</si>
  <si>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</si>
  <si>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</si>
  <si>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</si>
  <si>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</si>
  <si>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</si>
  <si>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</si>
  <si>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</si>
  <si>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</si>
  <si>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</si>
  <si>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</si>
  <si>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</si>
  <si>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</si>
  <si>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</si>
  <si>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</si>
  <si>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</si>
  <si>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</si>
  <si>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</si>
  <si>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</si>
  <si>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</si>
  <si>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</si>
  <si>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</si>
  <si>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</si>
  <si>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</si>
  <si>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</si>
  <si>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</si>
  <si>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</si>
  <si>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</si>
  <si>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</si>
  <si>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</si>
  <si>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</si>
  <si>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</si>
  <si>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</si>
  <si>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</si>
  <si>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</si>
  <si>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</si>
  <si>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</si>
  <si>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</si>
  <si>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</si>
  <si>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</si>
  <si>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</si>
  <si>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</si>
  <si>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</si>
  <si>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</si>
  <si>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</si>
  <si>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</si>
  <si>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</si>
  <si>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</si>
  <si>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</si>
  <si>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</si>
  <si>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</si>
  <si>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</si>
  <si>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</si>
  <si>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</si>
  <si>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</si>
  <si>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</si>
  <si>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</si>
  <si>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</si>
  <si>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</si>
  <si>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</si>
  <si>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</si>
  <si>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</si>
  <si>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</si>
  <si>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</si>
  <si>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</si>
  <si>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</si>
  <si>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</si>
  <si>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</si>
  <si>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</si>
  <si>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</si>
  <si>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</si>
  <si>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</si>
  <si>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</si>
  <si>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</si>
  <si>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</si>
  <si>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</si>
  <si>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</si>
  <si>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</si>
  <si>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</si>
  <si>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</si>
  <si>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</si>
  <si>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</si>
  <si>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</si>
  <si>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</si>
  <si>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</si>
  <si>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</si>
  <si>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</si>
  <si>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</si>
  <si>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</si>
  <si>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</si>
  <si>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</si>
  <si>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</si>
  <si>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</si>
  <si>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</si>
  <si>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</si>
  <si>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</si>
  <si>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</si>
  <si>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</si>
  <si>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</si>
  <si>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</si>
  <si>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</si>
  <si>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</si>
  <si>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</si>
  <si>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</si>
  <si>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</si>
  <si>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</si>
  <si>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</si>
  <si>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</si>
  <si>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</si>
  <si>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</si>
  <si>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</si>
  <si>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</si>
  <si>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</si>
  <si>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</si>
  <si>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</si>
  <si>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</si>
  <si>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</si>
  <si>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</si>
  <si>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</si>
  <si>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</si>
  <si>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</si>
  <si>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</si>
  <si>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</si>
  <si>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</si>
  <si>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</si>
  <si>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</si>
  <si>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</si>
  <si>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</si>
  <si>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</si>
  <si>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</si>
  <si>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</si>
  <si>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</si>
  <si>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</si>
  <si>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</si>
  <si>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</si>
  <si>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</si>
  <si>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</si>
  <si>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</si>
  <si>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</si>
  <si>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</si>
  <si>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</si>
  <si>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</si>
  <si>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</si>
  <si>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</si>
  <si>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</si>
  <si>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</si>
  <si>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</si>
  <si>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</si>
  <si>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</si>
  <si>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</si>
  <si>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</si>
  <si>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</si>
  <si>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</si>
  <si>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</si>
  <si>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</si>
  <si>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</si>
  <si>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</si>
  <si>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</si>
  <si>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</si>
  <si>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</si>
  <si>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</si>
  <si>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</si>
  <si>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</si>
  <si>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</si>
  <si>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</si>
  <si>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</si>
  <si>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</si>
  <si>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</si>
  <si>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</si>
  <si>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</si>
  <si>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</si>
  <si>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</si>
  <si>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</si>
  <si>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</si>
  <si>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</si>
  <si>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</si>
  <si>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</si>
  <si>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</si>
  <si>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</si>
  <si>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</si>
  <si>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</si>
  <si>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</si>
  <si>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</si>
  <si>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</si>
  <si>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</si>
  <si>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</si>
  <si>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</si>
  <si>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</si>
  <si>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</si>
  <si>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</si>
  <si>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</si>
  <si>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</si>
  <si>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</si>
  <si>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</si>
  <si>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</si>
  <si>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</si>
  <si>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</si>
  <si>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</si>
  <si>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</si>
  <si>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</si>
  <si>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</si>
  <si>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</si>
  <si>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</si>
  <si>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</si>
  <si>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</si>
  <si>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</si>
  <si>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</si>
  <si>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</si>
  <si>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</si>
  <si>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</si>
  <si>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</si>
  <si>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</si>
  <si>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</si>
  <si>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</si>
  <si>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</si>
  <si>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</si>
  <si>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</si>
  <si>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</si>
  <si>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</si>
  <si>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</si>
  <si>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</si>
  <si>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</si>
  <si>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</si>
  <si>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</si>
  <si>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</si>
  <si>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</si>
  <si>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</si>
  <si>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</si>
  <si>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</si>
  <si>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</si>
  <si>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</si>
  <si>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</si>
  <si>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</si>
  <si>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</si>
  <si>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</si>
  <si>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</si>
  <si>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</si>
  <si>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</si>
  <si>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</si>
  <si>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</si>
  <si>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</si>
  <si>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</si>
  <si>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</si>
  <si>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</si>
  <si>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</si>
  <si>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</si>
  <si>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</si>
  <si>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</si>
  <si>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</si>
  <si>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</si>
  <si>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</si>
  <si>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</si>
  <si>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</si>
  <si>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</si>
  <si>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</si>
  <si>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</si>
  <si>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</si>
  <si>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</si>
  <si>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</si>
  <si>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</si>
  <si>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</si>
  <si>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</si>
  <si>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</si>
  <si>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</si>
  <si>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</si>
  <si>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</si>
  <si>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</si>
  <si>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</si>
  <si>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</si>
  <si>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</si>
  <si>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</si>
  <si>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</si>
  <si>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</si>
  <si>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</si>
  <si>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</si>
  <si>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</si>
  <si>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</si>
  <si>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</si>
  <si>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</si>
  <si>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</si>
  <si>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</si>
  <si>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</si>
  <si>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</si>
  <si>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</si>
  <si>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</si>
  <si>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</si>
  <si>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</si>
  <si>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</si>
  <si>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</si>
  <si>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</si>
  <si>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</si>
  <si>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</si>
  <si>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</si>
  <si>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</si>
  <si>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</si>
  <si>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</si>
  <si>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</si>
  <si>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</si>
  <si>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</si>
  <si>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</si>
  <si>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</si>
  <si>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</si>
  <si>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</si>
  <si>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</si>
  <si>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</si>
  <si>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</si>
  <si>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</si>
  <si>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</si>
  <si>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</si>
  <si>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</si>
  <si>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</si>
  <si>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</si>
  <si>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</si>
  <si>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</si>
  <si>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</si>
  <si>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</si>
  <si>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</si>
  <si>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</si>
  <si>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</si>
  <si>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</si>
  <si>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</si>
  <si>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</si>
  <si>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</si>
  <si>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</si>
  <si>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</si>
  <si>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</si>
  <si>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</si>
  <si>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</si>
  <si>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</si>
  <si>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</si>
  <si>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</si>
  <si>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</si>
  <si>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</si>
  <si>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</si>
  <si>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</si>
  <si>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</si>
  <si>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</si>
  <si>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</si>
  <si>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</si>
  <si>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</si>
  <si>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</si>
  <si>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</si>
  <si>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</si>
  <si>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</si>
  <si>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</si>
  <si>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</si>
  <si>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</si>
  <si>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</si>
  <si>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</si>
  <si>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</si>
  <si>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</si>
  <si>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</si>
  <si>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</si>
  <si>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</si>
  <si>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</si>
  <si>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</si>
  <si>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</si>
  <si>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</si>
  <si>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</si>
  <si>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</si>
  <si>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</si>
  <si>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</si>
  <si>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</si>
  <si>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</si>
  <si>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</si>
  <si>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</si>
  <si>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</si>
  <si>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</si>
  <si>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</si>
  <si>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</si>
  <si>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</si>
  <si>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</si>
  <si>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</si>
  <si>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</si>
  <si>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</si>
  <si>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</si>
  <si>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</si>
  <si>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</si>
  <si>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</si>
  <si>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</si>
  <si>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</si>
  <si>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</si>
  <si>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</si>
  <si>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</si>
  <si>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</si>
  <si>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</si>
  <si>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</si>
  <si>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</si>
  <si>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</si>
  <si>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</si>
  <si>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</si>
  <si>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</si>
  <si>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</si>
  <si>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</si>
  <si>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</si>
  <si>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</si>
  <si>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</si>
  <si>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</si>
  <si>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</si>
  <si>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</si>
  <si>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</si>
  <si>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</si>
  <si>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</si>
  <si>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</si>
  <si>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</si>
  <si>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</si>
  <si>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</si>
  <si>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</si>
  <si>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</si>
  <si>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</si>
  <si>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</si>
  <si>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</si>
  <si>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</si>
  <si>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</si>
  <si>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</si>
  <si>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</si>
  <si>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</si>
  <si>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</si>
  <si>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</si>
  <si>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</si>
  <si>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</si>
  <si>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</si>
  <si>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</si>
  <si>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</si>
  <si>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</si>
  <si>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</si>
  <si>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</si>
  <si>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</si>
  <si>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</si>
  <si>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</si>
  <si>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</si>
  <si>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</si>
  <si>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</si>
  <si>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</si>
  <si>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</si>
  <si>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</si>
  <si>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</si>
  <si>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</si>
  <si>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</si>
  <si>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</si>
  <si>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</si>
  <si>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</si>
  <si>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</si>
  <si>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</si>
  <si>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</si>
  <si>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</si>
  <si>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</si>
  <si>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</si>
  <si>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</si>
  <si>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</si>
  <si>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</si>
  <si>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</si>
  <si>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</si>
  <si>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</si>
  <si>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</si>
  <si>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</si>
  <si>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</si>
  <si>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</si>
  <si>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</si>
  <si>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</si>
  <si>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</si>
  <si>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</si>
  <si>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</si>
  <si>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</si>
  <si>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</si>
  <si>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</si>
  <si>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</si>
  <si>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</si>
  <si>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</si>
  <si>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</si>
  <si>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</si>
  <si>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</si>
  <si>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</si>
  <si>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</si>
  <si>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</si>
  <si>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</si>
  <si>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</si>
  <si>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</si>
  <si>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</si>
  <si>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</si>
  <si>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</si>
  <si>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</si>
  <si>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</si>
  <si>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</si>
  <si>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</si>
  <si>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</si>
  <si>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</si>
  <si>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</si>
  <si>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</si>
  <si>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</si>
  <si>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</si>
  <si>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</si>
  <si>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</si>
  <si>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</si>
  <si>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</si>
  <si>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</si>
  <si>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</si>
  <si>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</si>
  <si>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</si>
  <si>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</si>
  <si>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</si>
  <si>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</si>
  <si>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</si>
  <si>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</si>
  <si>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</si>
  <si>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</si>
  <si>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</si>
  <si>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</si>
  <si>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</si>
  <si>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</si>
  <si>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</si>
  <si>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</si>
  <si>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</si>
  <si>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</si>
  <si>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</si>
  <si>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</si>
  <si>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</si>
  <si>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</si>
  <si>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</si>
  <si>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</si>
  <si>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</si>
  <si>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</si>
  <si>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</si>
  <si>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</si>
  <si>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</si>
  <si>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</si>
  <si>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</si>
  <si>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</si>
  <si>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</si>
  <si>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</si>
  <si>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</si>
  <si>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</si>
  <si>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</si>
  <si>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</si>
  <si>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</si>
  <si>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</si>
  <si>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</si>
  <si>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</si>
  <si>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</si>
  <si>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</si>
  <si>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</si>
  <si>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</si>
  <si>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</si>
  <si>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</si>
  <si>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</si>
  <si>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</si>
  <si>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</si>
  <si>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</si>
  <si>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</si>
  <si>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</si>
  <si>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</si>
  <si>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</si>
  <si>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</si>
  <si>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</si>
  <si>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</si>
  <si>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</si>
  <si>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</si>
  <si>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</si>
  <si>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</si>
  <si>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</si>
  <si>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</si>
  <si>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</si>
  <si>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</si>
  <si>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</si>
  <si>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</si>
  <si>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</si>
  <si>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</si>
  <si>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</si>
  <si>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</si>
  <si>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</si>
  <si>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</si>
  <si>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</si>
  <si>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</si>
  <si>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</si>
  <si>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</si>
  <si>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</si>
  <si>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</si>
  <si>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</si>
  <si>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</si>
  <si>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</si>
  <si>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</si>
  <si>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</si>
  <si>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</si>
  <si>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</si>
  <si>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</si>
  <si>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</si>
  <si>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</si>
  <si>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</si>
  <si>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</si>
  <si>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</si>
  <si>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</si>
  <si>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</si>
  <si>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</si>
  <si>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</si>
  <si>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</si>
  <si>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</si>
  <si>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</si>
  <si>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</si>
  <si>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</si>
  <si>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</si>
  <si>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</si>
  <si>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</si>
  <si>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</si>
  <si>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</si>
  <si>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</si>
  <si>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</si>
  <si>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</si>
  <si>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</si>
  <si>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</si>
  <si>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</si>
  <si>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</si>
  <si>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</si>
  <si>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</si>
  <si>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</si>
  <si>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</si>
  <si>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</si>
  <si>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</si>
  <si>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</si>
  <si>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</si>
  <si>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</si>
  <si>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</si>
  <si>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</si>
  <si>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</si>
  <si>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</si>
  <si>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</si>
  <si>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</si>
  <si>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</si>
  <si>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</si>
  <si>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</si>
  <si>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</si>
  <si>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</si>
  <si>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</si>
  <si>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</si>
  <si>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</si>
  <si>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</si>
  <si>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</si>
  <si>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</si>
  <si>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</si>
  <si>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</si>
  <si>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</si>
  <si>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</si>
  <si>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</si>
  <si>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</si>
  <si>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</si>
  <si>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</si>
  <si>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</si>
  <si>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</si>
  <si>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</si>
  <si>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</si>
  <si>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</si>
  <si>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</si>
  <si>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</si>
  <si>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</si>
  <si>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</si>
  <si>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</si>
  <si>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</si>
  <si>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</si>
  <si>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</si>
  <si>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</si>
  <si>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</si>
  <si>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</si>
  <si>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</si>
  <si>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</si>
  <si>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</si>
  <si>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</si>
  <si>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</si>
  <si>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</si>
  <si>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</si>
  <si>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</si>
  <si>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</si>
  <si>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</si>
  <si>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</si>
  <si>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</si>
  <si>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</si>
  <si>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</si>
  <si>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</si>
  <si>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</si>
  <si>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</si>
  <si>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</si>
  <si>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</si>
  <si>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</si>
  <si>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</si>
  <si>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</si>
  <si>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</si>
  <si>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</si>
  <si>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</si>
  <si>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</si>
  <si>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</si>
  <si>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</si>
  <si>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</si>
  <si>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</si>
  <si>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</si>
  <si>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</si>
  <si>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</si>
  <si>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</si>
  <si>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</si>
  <si>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</si>
  <si>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</si>
  <si>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</si>
  <si>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</si>
  <si>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</si>
  <si>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</si>
  <si>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</si>
  <si>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</si>
  <si>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</si>
  <si>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</si>
  <si>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</si>
  <si>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</si>
  <si>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</si>
  <si>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</si>
  <si>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</si>
  <si>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</si>
  <si>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</si>
  <si>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</si>
  <si>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</si>
  <si>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</si>
  <si>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</si>
  <si>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</si>
  <si>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</si>
  <si>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</si>
  <si>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</si>
  <si>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</si>
  <si>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</si>
  <si>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</si>
  <si>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</si>
  <si>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</si>
  <si>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</si>
  <si>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</si>
  <si>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</si>
  <si>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</si>
  <si>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</si>
  <si>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</si>
  <si>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</si>
  <si>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</si>
  <si>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</si>
  <si>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</si>
  <si>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</si>
  <si>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</si>
  <si>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</si>
  <si>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</si>
  <si>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</si>
  <si>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</si>
  <si>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</si>
  <si>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</si>
  <si>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</si>
  <si>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</si>
  <si>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</si>
  <si>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</si>
  <si>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</si>
  <si>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</si>
  <si>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</si>
  <si>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</si>
  <si>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</si>
  <si>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</si>
  <si>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</si>
  <si>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</si>
  <si>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</si>
  <si>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</si>
  <si>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</si>
  <si>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</si>
  <si>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</si>
  <si>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</si>
  <si>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</si>
  <si>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</si>
  <si>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</si>
  <si>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</si>
  <si>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</si>
  <si>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</si>
  <si>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</si>
  <si>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</si>
  <si>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</si>
  <si>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</si>
  <si>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</si>
  <si>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</si>
  <si>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</si>
  <si>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</si>
  <si>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</si>
  <si>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</si>
  <si>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</si>
  <si>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</si>
  <si>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</si>
  <si>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</si>
  <si>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</si>
  <si>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</si>
  <si>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</si>
  <si>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</si>
  <si>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</si>
  <si>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</si>
  <si>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</si>
  <si>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</si>
  <si>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</si>
  <si>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</si>
  <si>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</si>
  <si>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</si>
  <si>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</si>
  <si>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</si>
  <si>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</si>
  <si>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</si>
  <si>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</si>
  <si>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</si>
  <si>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</si>
  <si>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</si>
  <si>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</si>
  <si>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</si>
  <si>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</si>
  <si>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</si>
  <si>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</si>
  <si>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</si>
  <si>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</si>
  <si>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</si>
  <si>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</si>
  <si>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</si>
  <si>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</si>
  <si>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</si>
  <si>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</si>
  <si>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</si>
  <si>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</si>
  <si>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</si>
  <si>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</si>
  <si>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</si>
  <si>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</si>
  <si>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</si>
  <si>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</si>
  <si>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</si>
  <si>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</si>
  <si>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</si>
  <si>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</si>
  <si>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</si>
  <si>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</si>
  <si>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</si>
  <si>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</si>
  <si>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</si>
  <si>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</si>
  <si>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</si>
  <si>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</si>
  <si>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</si>
  <si>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</si>
  <si>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</si>
  <si>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</si>
  <si>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</si>
  <si>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</si>
  <si>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</si>
  <si>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</si>
  <si>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</si>
  <si>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</si>
  <si>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</si>
  <si>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</si>
  <si>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</si>
  <si>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</si>
  <si>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</si>
  <si>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</si>
  <si>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</si>
  <si>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</si>
  <si>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</si>
  <si>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</si>
  <si>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</si>
  <si>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</si>
  <si>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</si>
  <si>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</si>
  <si>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</si>
  <si>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</si>
  <si>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</si>
  <si>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</si>
  <si>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</si>
  <si>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</si>
  <si>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</si>
  <si>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</si>
  <si>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</si>
  <si>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</si>
  <si>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</si>
  <si>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</si>
  <si>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</si>
  <si>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</si>
  <si>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</si>
  <si>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</si>
  <si>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</si>
  <si>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</si>
  <si>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</si>
  <si>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</si>
  <si>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</si>
  <si>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</si>
  <si>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</si>
  <si>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</si>
  <si>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</si>
  <si>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</si>
  <si>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</si>
  <si>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</si>
  <si>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</si>
  <si>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</si>
  <si>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</si>
  <si>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</si>
  <si>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</si>
  <si>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</si>
  <si>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</si>
  <si>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</si>
  <si>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</si>
  <si>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</si>
  <si>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</si>
  <si>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</si>
  <si>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</si>
  <si>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</si>
  <si>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</si>
  <si>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</si>
  <si>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</si>
  <si>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</si>
  <si>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</si>
  <si>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</si>
  <si>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</si>
  <si>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</si>
  <si>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</si>
  <si>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</si>
  <si>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</si>
  <si>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</si>
  <si>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</si>
  <si>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</si>
  <si>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</si>
  <si>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</si>
  <si>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</si>
  <si>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</si>
  <si>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</si>
  <si>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</si>
  <si>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</si>
  <si>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</si>
  <si>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</si>
  <si>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</si>
  <si>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</si>
  <si>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</si>
  <si>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</si>
  <si>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</si>
  <si>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</si>
  <si>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</si>
  <si>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</si>
  <si>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</si>
  <si>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</si>
  <si>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</si>
  <si>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</si>
  <si>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</si>
  <si>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</si>
  <si>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</si>
  <si>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</si>
  <si>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</si>
  <si>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</si>
  <si>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</si>
  <si>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</si>
  <si>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</si>
  <si>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</si>
  <si>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</si>
  <si>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</si>
  <si>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</si>
  <si>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</si>
  <si>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</si>
  <si>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</si>
  <si>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</si>
  <si>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</si>
  <si>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</si>
  <si>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</si>
  <si>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</si>
  <si>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</si>
  <si>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</si>
  <si>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</si>
  <si>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</si>
  <si>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</si>
  <si>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</si>
  <si>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</si>
  <si>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</si>
  <si>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</si>
  <si>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</si>
  <si>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</si>
  <si>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</si>
  <si>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</si>
  <si>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</si>
  <si>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</si>
  <si>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</si>
  <si>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</si>
  <si>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</si>
  <si>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</si>
  <si>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</si>
  <si>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</si>
  <si>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</si>
  <si>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</si>
  <si>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</si>
  <si>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</si>
  <si>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</si>
  <si>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</si>
  <si>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</si>
  <si>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</si>
  <si>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</si>
  <si>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</si>
  <si>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</si>
  <si>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</si>
  <si>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</si>
  <si>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</si>
  <si>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</si>
  <si>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</si>
  <si>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</si>
  <si>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</si>
  <si>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</si>
  <si>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</si>
  <si>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</si>
  <si>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</si>
  <si>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</si>
  <si>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</si>
  <si>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</si>
  <si>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</si>
  <si>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</si>
  <si>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</si>
  <si>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</si>
  <si>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</si>
  <si>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</si>
  <si>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</si>
  <si>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</si>
  <si>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</si>
  <si>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</si>
  <si>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</si>
  <si>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</si>
  <si>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</si>
  <si>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</si>
  <si>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</si>
  <si>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</si>
  <si>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</si>
  <si>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</si>
  <si>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</si>
  <si>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</si>
  <si>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</si>
  <si>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</si>
  <si>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</si>
  <si>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</si>
  <si>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</si>
  <si>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</si>
  <si>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</si>
  <si>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</si>
  <si>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</si>
  <si>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</si>
  <si>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</si>
  <si>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</si>
  <si>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</si>
  <si>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</si>
  <si>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</si>
  <si>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</si>
  <si>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</si>
  <si>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</si>
  <si>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</si>
  <si>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</si>
  <si>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</si>
  <si>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</si>
  <si>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</si>
  <si>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</si>
  <si>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</si>
  <si>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</si>
  <si>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</si>
  <si>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</si>
  <si>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</si>
  <si>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</si>
  <si>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</si>
  <si>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</si>
  <si>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</si>
  <si>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</si>
  <si>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</si>
  <si>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</si>
  <si>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</si>
  <si>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</si>
  <si>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</si>
  <si>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</si>
  <si>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</si>
  <si>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</si>
  <si>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</si>
  <si>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</si>
  <si>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</si>
  <si>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</si>
  <si>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</si>
  <si>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</si>
  <si>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</si>
  <si>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</si>
  <si>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</si>
  <si>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</si>
  <si>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</si>
  <si>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</si>
  <si>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</si>
  <si>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</si>
  <si>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</si>
  <si>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</si>
  <si>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</si>
  <si>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</si>
  <si>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</si>
  <si>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</si>
  <si>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</si>
  <si>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</si>
  <si>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</si>
  <si>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</si>
  <si>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</si>
  <si>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</si>
  <si>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</si>
  <si>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</si>
  <si>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</si>
  <si>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</si>
  <si>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</si>
  <si>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</si>
  <si>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</si>
  <si>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</si>
  <si>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</si>
  <si>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</si>
  <si>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</si>
  <si>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</si>
  <si>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</si>
  <si>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</si>
  <si>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</si>
  <si>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</si>
  <si>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</si>
  <si>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</si>
  <si>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</si>
  <si>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</si>
  <si>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</si>
  <si>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</si>
  <si>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</si>
  <si>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</si>
  <si>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</si>
  <si>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</si>
  <si>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</si>
  <si>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</si>
  <si>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</si>
  <si>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</si>
  <si>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</si>
  <si>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</si>
  <si>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</si>
  <si>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</si>
  <si>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</si>
  <si>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</si>
  <si>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</si>
  <si>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</si>
  <si>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</si>
  <si>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</si>
  <si>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</si>
  <si>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</si>
  <si>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</si>
  <si>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</si>
  <si>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</si>
  <si>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</si>
  <si>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</si>
  <si>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</si>
  <si>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</si>
  <si>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</si>
  <si>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</si>
  <si>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</si>
  <si>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</si>
  <si>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</si>
  <si>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</si>
  <si>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</si>
  <si>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</si>
  <si>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</si>
  <si>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</si>
  <si>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</si>
  <si>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</si>
  <si>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</si>
  <si>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</si>
  <si>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</si>
  <si>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</si>
  <si>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</si>
  <si>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</si>
  <si>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</si>
  <si>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</si>
  <si>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</si>
  <si>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</si>
  <si>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</si>
  <si>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</si>
  <si>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</si>
  <si>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</si>
  <si>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</si>
  <si>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</si>
  <si>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</si>
  <si>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</si>
  <si>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</si>
  <si>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</si>
  <si>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</si>
  <si>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</si>
  <si>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</si>
  <si>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</si>
  <si>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</si>
  <si>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</si>
  <si>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</si>
  <si>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</si>
  <si>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</si>
  <si>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</si>
  <si>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</si>
  <si>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</si>
  <si>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</si>
  <si>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</si>
  <si>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</si>
  <si>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</si>
  <si>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</si>
  <si>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</si>
  <si>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</si>
  <si>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</si>
  <si>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</si>
  <si>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</si>
  <si>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</si>
  <si>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</si>
  <si>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</si>
  <si>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</si>
  <si>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</si>
  <si>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</si>
  <si>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</si>
  <si>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</si>
  <si>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</si>
  <si>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</si>
  <si>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</si>
  <si>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</si>
  <si>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</si>
  <si>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</si>
  <si>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</si>
  <si>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</si>
  <si>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</si>
  <si>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</si>
  <si>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</si>
  <si>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</si>
  <si>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</si>
  <si>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</si>
  <si>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</si>
  <si>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</si>
  <si>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</si>
  <si>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</si>
  <si>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</si>
  <si>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</si>
  <si>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</si>
  <si>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</si>
  <si>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</si>
  <si>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</si>
  <si>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</si>
  <si>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</si>
  <si>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</si>
  <si>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</si>
  <si>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</si>
  <si>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</si>
  <si>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</si>
  <si>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</si>
  <si>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</si>
  <si>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</si>
  <si>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</si>
  <si>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</si>
  <si>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</si>
  <si>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</si>
  <si>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</si>
  <si>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</si>
  <si>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</si>
  <si>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</si>
  <si>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</si>
  <si>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</si>
  <si>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</si>
  <si>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</si>
  <si>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</si>
  <si>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</si>
  <si>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</si>
  <si>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</si>
  <si>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</si>
  <si>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</si>
  <si>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</si>
  <si>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</si>
  <si>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</si>
  <si>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</si>
  <si>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</si>
  <si>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</si>
  <si>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</si>
  <si>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</si>
  <si>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</si>
  <si>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</si>
  <si>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</si>
  <si>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</si>
  <si>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</si>
  <si>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</si>
  <si>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</si>
  <si>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</si>
  <si>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</si>
  <si>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</si>
  <si>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</si>
  <si>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</si>
  <si>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</si>
  <si>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</si>
  <si>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</si>
  <si>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</si>
  <si>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</si>
  <si>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</si>
  <si>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</si>
  <si>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</si>
  <si>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</si>
  <si>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</si>
  <si>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</si>
  <si>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</si>
  <si>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</si>
  <si>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</si>
  <si>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</si>
  <si>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</si>
  <si>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</si>
  <si>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</si>
  <si>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</si>
  <si>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</si>
  <si>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</si>
  <si>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</si>
  <si>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</si>
  <si>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</si>
  <si>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</si>
  <si>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</si>
  <si>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</si>
  <si>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</si>
  <si>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</si>
  <si>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</si>
  <si>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</si>
  <si>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</si>
  <si>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</si>
  <si>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</si>
  <si>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</si>
  <si>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</si>
  <si>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</si>
  <si>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</si>
  <si>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</si>
  <si>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</si>
  <si>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</si>
  <si>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</si>
  <si>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</si>
  <si>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</si>
  <si>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</si>
  <si>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</si>
  <si>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</si>
  <si>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</si>
  <si>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</si>
  <si>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</si>
  <si>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</si>
  <si>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</si>
  <si>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</si>
  <si>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</si>
  <si>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</si>
  <si>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</si>
  <si>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</si>
  <si>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</si>
  <si>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</si>
  <si>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</si>
  <si>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</si>
  <si>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</si>
  <si>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</si>
  <si>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</si>
  <si>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</si>
  <si>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</si>
  <si>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</si>
  <si>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</si>
  <si>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</si>
  <si>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</si>
  <si>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</si>
  <si>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</si>
  <si>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</si>
  <si>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</si>
  <si>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</si>
  <si>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</si>
  <si>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</si>
  <si>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</si>
  <si>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</si>
  <si>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</si>
  <si>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</si>
  <si>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</si>
  <si>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</si>
  <si>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</si>
  <si>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</si>
  <si>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</si>
  <si>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</si>
  <si>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</si>
  <si>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</si>
  <si>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</si>
  <si>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</si>
  <si>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</si>
  <si>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</si>
  <si>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</si>
  <si>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</si>
  <si>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</si>
  <si>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</si>
  <si>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</si>
  <si>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</si>
  <si>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</si>
  <si>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</si>
  <si>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</si>
  <si>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</si>
  <si>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</si>
  <si>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</si>
  <si>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</si>
  <si>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</si>
  <si>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</si>
  <si>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</si>
  <si>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</si>
  <si>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</si>
  <si>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</si>
  <si>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</si>
  <si>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</si>
  <si>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</si>
  <si>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</si>
  <si>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</si>
  <si>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</si>
  <si>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</si>
  <si>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</si>
  <si>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</si>
  <si>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</si>
  <si>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</si>
  <si>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</si>
  <si>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</si>
  <si>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</si>
  <si>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</si>
  <si>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</si>
  <si>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</si>
  <si>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</si>
  <si>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</si>
  <si>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</si>
  <si>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</si>
  <si>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</si>
  <si>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</si>
  <si>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</si>
  <si>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</si>
  <si>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</si>
  <si>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</si>
  <si>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</si>
  <si>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</si>
  <si>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</si>
  <si>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</si>
  <si>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</si>
  <si>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</si>
  <si>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</si>
  <si>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</si>
  <si>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</si>
  <si>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</si>
  <si>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</si>
  <si>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</si>
  <si>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</si>
  <si>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</si>
  <si>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</si>
  <si>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</si>
  <si>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</si>
  <si>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</si>
  <si>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</si>
  <si>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</si>
  <si>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</si>
  <si>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</si>
  <si>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DRC/Metta</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</si>
  <si>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</si>
  <si>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</si>
  <si>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</si>
  <si>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</si>
  <si>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</si>
  <si>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</si>
  <si>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</si>
  <si>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</si>
  <si>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</si>
  <si>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</si>
  <si>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</si>
  <si>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</si>
  <si>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</si>
  <si>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</si>
  <si>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</si>
  <si>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</si>
  <si>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</si>
  <si>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</si>
  <si>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</si>
  <si>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</si>
  <si>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</si>
  <si>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</si>
  <si>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</si>
  <si>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</si>
  <si>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</si>
  <si>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</si>
  <si>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</si>
  <si>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</si>
  <si>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</si>
  <si>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</si>
  <si>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</si>
  <si>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</si>
  <si>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</si>
  <si>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</si>
  <si>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</si>
  <si>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</si>
  <si>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</si>
  <si>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</si>
  <si>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</si>
  <si>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</si>
  <si>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</si>
  <si>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</si>
  <si>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</si>
  <si>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</si>
  <si>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</si>
  <si>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</si>
  <si>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</si>
  <si>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</si>
  <si>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</si>
  <si>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</si>
  <si>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</si>
  <si>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</si>
  <si>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</si>
  <si>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</si>
  <si>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</si>
  <si>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</si>
  <si>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</si>
  <si>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</si>
  <si>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</si>
  <si>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</si>
  <si>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</si>
  <si>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</si>
  <si>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</si>
  <si>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</si>
  <si>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</si>
  <si>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</si>
  <si>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</si>
  <si>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</si>
  <si>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</si>
  <si>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</si>
  <si>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</si>
  <si>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</si>
  <si>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</si>
  <si>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</si>
  <si>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</si>
  <si>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</si>
  <si>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</si>
  <si>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</si>
  <si>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</si>
  <si>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</si>
  <si>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</si>
  <si>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</si>
  <si>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</si>
  <si>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</si>
  <si>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</si>
  <si>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</si>
  <si>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</si>
  <si>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</si>
  <si>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</si>
  <si>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</si>
  <si>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</si>
  <si>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</si>
  <si>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</si>
  <si>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</si>
  <si>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</si>
  <si>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</si>
  <si>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</si>
  <si>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</si>
  <si>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</si>
  <si>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</si>
  <si>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</si>
  <si>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</si>
  <si>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</si>
  <si>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</si>
  <si>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</si>
  <si>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</si>
  <si>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</si>
  <si>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</si>
  <si>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</si>
  <si>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</si>
  <si>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</si>
  <si>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</si>
  <si>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</si>
  <si>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</si>
  <si>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</si>
  <si>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Nawng Nan, Jaw Ma Sat KBC Church</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</si>
  <si>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</si>
  <si>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</si>
  <si>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</si>
  <si>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</si>
  <si>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</si>
  <si>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</si>
  <si>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</si>
  <si>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</si>
  <si>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</si>
  <si>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</si>
  <si>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</si>
  <si>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</si>
  <si>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</si>
  <si>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</si>
  <si>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</si>
  <si>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</si>
  <si>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</si>
  <si>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</si>
  <si>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</si>
  <si>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</si>
  <si>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</si>
  <si>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</si>
  <si>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</si>
  <si>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</si>
  <si>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</si>
  <si>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</si>
  <si>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</si>
  <si>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</si>
  <si>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</si>
  <si>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</si>
  <si>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</si>
  <si>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</si>
  <si>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</si>
  <si>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</si>
  <si>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</si>
  <si>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</si>
  <si>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</si>
  <si>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METTA</t>
  </si>
  <si>
    <t>Tanai KBC Camp</t>
  </si>
  <si>
    <t>Namti Labraw Yang KBC Camp</t>
  </si>
  <si>
    <t>Trinity Camp</t>
  </si>
  <si>
    <t>Jaw Ma Sat Camp</t>
  </si>
  <si>
    <t>KMSS-L/MHF</t>
  </si>
  <si>
    <t xml:space="preserve">DDM </t>
  </si>
  <si>
    <t>KMSS/ICRC/UNHCR</t>
  </si>
  <si>
    <t>KMSS-M/UNHCR/ICRC</t>
  </si>
  <si>
    <t>KBC/UNHCR/Metta</t>
  </si>
  <si>
    <t>Completed</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</si>
  <si>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</si>
  <si>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</si>
  <si>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</si>
  <si>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</si>
  <si>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</si>
  <si>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</si>
  <si>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</si>
  <si>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</si>
  <si>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</si>
  <si>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</si>
  <si>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</si>
  <si>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</si>
  <si>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</si>
  <si>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</si>
  <si>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</si>
  <si>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</si>
  <si>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</si>
  <si>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</si>
  <si>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</si>
  <si>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</si>
  <si>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Shalom/UNHCR</t>
  </si>
  <si>
    <t>31/July/2018: Data Source (UNHCR-LSH)
6/June/2018: Data Source ( IRC, KMSS-Lsh)
11/Jul/2017: Updated from UNOCHA, visited on March 2017 
9/Nov/15. New added camp. Data source: UNHCR CCCM officer NSS mission 8-12 July 2015.</t>
  </si>
  <si>
    <t>31/July/2018: Data Source (UNHCR-LSH)
6/June/2018: Data source ( DRC- NSS)
25/Jul/2016: Added as new camp according to KBC data.</t>
  </si>
  <si>
    <t>31/July/2018: Data Source (UNHCR-LSH)
5/Jun/2018: Population update. Data source: DRC, SCI
2/Jun/2017: Population update. Data source: WASH cluster.
25/Jul/2016: Added as new camp according to KBC data. Data was given by Jade</t>
  </si>
  <si>
    <t>Manlun-Tsanlun</t>
  </si>
  <si>
    <t>Hu Hku</t>
  </si>
  <si>
    <t>KMSS-L/CordAid</t>
  </si>
  <si>
    <t>NRC/KMSS-M</t>
  </si>
  <si>
    <t>Jaw Masat Camp</t>
  </si>
  <si>
    <t>shalom/UNHCR/ICRC</t>
  </si>
  <si>
    <t>Kutkai Downtown (RC Church)</t>
  </si>
  <si>
    <t>KMSS-L/Cordaid</t>
  </si>
  <si>
    <t>KMSS-M/UNHCR/ICRC/CordAid</t>
  </si>
  <si>
    <t>KMSS-LSO/UNHCR/NRC</t>
  </si>
  <si>
    <t>Solar Lamp 119</t>
  </si>
  <si>
    <t>Shelter gap analysis August 2018</t>
  </si>
  <si>
    <t>Shelter gap analysis August</t>
  </si>
  <si>
    <t>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</si>
  <si>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</si>
  <si>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</si>
  <si>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</si>
  <si>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</si>
  <si>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</si>
  <si>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</si>
  <si>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</si>
  <si>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</si>
  <si>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</si>
  <si>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</si>
  <si>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</si>
  <si>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</si>
  <si>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</si>
  <si>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</si>
  <si>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</si>
  <si>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</si>
  <si>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</si>
  <si>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</si>
  <si>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</si>
  <si>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</si>
  <si>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</si>
  <si>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</si>
  <si>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</si>
  <si>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</si>
  <si>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</si>
  <si>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</si>
  <si>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</si>
  <si>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</si>
  <si>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</si>
  <si>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</si>
  <si>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</si>
  <si>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</si>
  <si>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</si>
  <si>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</si>
  <si>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31/August/2018: Population update. Data source: KMSS_Myitkyina
31/July /2018: Population update. Data source: KMSS M</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</si>
  <si>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</si>
  <si>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</si>
  <si>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</si>
  <si>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</si>
  <si>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</si>
  <si>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</si>
  <si>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</si>
  <si>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</si>
  <si>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</si>
  <si>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</si>
  <si>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</si>
  <si>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</si>
  <si>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</si>
  <si>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</si>
  <si>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</si>
  <si>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</si>
  <si>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</si>
  <si>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</si>
  <si>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</si>
  <si>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</si>
  <si>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</si>
  <si>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</si>
  <si>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</si>
  <si>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</si>
  <si>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</si>
  <si>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</si>
  <si>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</si>
  <si>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</si>
  <si>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</si>
  <si>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</si>
  <si>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</si>
  <si>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</si>
  <si>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</si>
  <si>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</si>
  <si>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</si>
  <si>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</si>
  <si>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</si>
  <si>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</si>
  <si>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</si>
  <si>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</si>
  <si>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</si>
  <si>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</si>
  <si>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</si>
  <si>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</si>
  <si>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</si>
  <si>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</si>
  <si>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</si>
  <si>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</si>
  <si>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</si>
  <si>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</si>
  <si>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</si>
  <si>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</si>
  <si>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</si>
  <si>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</si>
  <si>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</si>
  <si>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</si>
  <si>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</si>
  <si>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</si>
  <si>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</si>
  <si>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</si>
  <si>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</si>
  <si>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</si>
  <si>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</si>
  <si>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</si>
  <si>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</si>
  <si>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</si>
  <si>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</si>
  <si>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</si>
  <si>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</si>
  <si>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</si>
  <si>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</si>
  <si>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r>
      <t xml:space="preserve">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</si>
  <si>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</si>
  <si>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</si>
  <si>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</si>
  <si>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</si>
  <si>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</si>
  <si>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</si>
  <si>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</si>
  <si>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</si>
  <si>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</si>
  <si>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</si>
  <si>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</si>
  <si>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</si>
  <si>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</si>
  <si>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</si>
  <si>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</si>
  <si>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</si>
  <si>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</si>
  <si>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 xml:space="preserve">St. Joseph Tanai RC camp </t>
  </si>
  <si>
    <t>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</si>
  <si>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</si>
  <si>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</si>
  <si>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</si>
  <si>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</si>
  <si>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</si>
  <si>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</si>
  <si>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</si>
  <si>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</si>
  <si>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</si>
  <si>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</si>
  <si>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</si>
  <si>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KMSS-B/Cordaid/MHF</t>
  </si>
  <si>
    <t>31/August/2018: Data Source (KMSSLSH)
31/July/2018: Data Source (UNHCR-LSH)
5/June/2018: Data Source: IRC
No update information since Jul/2016, KBC to follow up
25/Jul/2016: Added as new camp according to KBC data.</t>
  </si>
  <si>
    <t>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</si>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</sst>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6" formatCode="m/d/yyyy"/>
  </numFmts>
  <fonts count="78"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indexed="81"/>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92D050"/>
        <bgColor indexed="64"/>
      </patternFill>
    </fill>
    <fill>
      <patternFill patternType="solid">
        <fgColor rgb="FFCC3300"/>
        <bgColor indexed="64"/>
      </patternFill>
    </fill>
    <fill>
      <patternFill patternType="solid">
        <fgColor rgb="FF6CA62C"/>
        <bgColor indexed="64"/>
      </patternFill>
    </fill>
    <fill>
      <patternFill patternType="solid">
        <fgColor theme="2" tint="-0.249977111117893"/>
        <bgColor indexed="64"/>
      </patternFill>
    </fill>
    <fill>
      <patternFill patternType="solid">
        <fgColor rgb="FFFF00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theme="4" tint="0.79998168889431442"/>
      </top>
      <bottom style="thin">
        <color theme="4" tint="0.79998168889431442"/>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858">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164"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3" fillId="0" borderId="0" xfId="0" applyFont="1" applyFill="1" applyAlignment="1">
      <alignment vertical="center"/>
    </xf>
    <xf numFmtId="0" fontId="71" fillId="0" borderId="0" xfId="0" applyNumberFormat="1" applyFont="1" applyBorder="1"/>
    <xf numFmtId="0" fontId="74" fillId="0" borderId="0" xfId="0" applyFont="1" applyFill="1" applyBorder="1" applyAlignment="1">
      <alignment vertical="center"/>
    </xf>
    <xf numFmtId="1" fontId="74" fillId="0" borderId="0" xfId="0" applyNumberFormat="1" applyFon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0" xfId="0" applyNumberFormat="1" applyFont="1" applyFill="1" applyBorder="1" applyAlignment="1">
      <alignment horizontal="right" vertical="center"/>
    </xf>
    <xf numFmtId="1" fontId="74" fillId="0" borderId="0" xfId="0" applyNumberFormat="1" applyFont="1" applyFill="1" applyBorder="1" applyAlignment="1">
      <alignment horizontal="right" vertical="center"/>
    </xf>
    <xf numFmtId="0" fontId="74"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7" borderId="0" xfId="0" applyFont="1" applyFill="1" applyAlignment="1">
      <alignment horizontal="right" vertical="center"/>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5" fillId="0" borderId="0" xfId="0" applyFont="1" applyAlignment="1"/>
    <xf numFmtId="0" fontId="75"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9" fillId="26" borderId="0" xfId="0" applyNumberFormat="1" applyFont="1" applyFill="1" applyBorder="1" applyAlignment="1">
      <alignment horizontal="right" vertical="center"/>
    </xf>
    <xf numFmtId="1" fontId="9" fillId="26" borderId="0" xfId="0" applyNumberFormat="1" applyFont="1" applyFill="1" applyBorder="1" applyAlignment="1">
      <alignment horizontal="right" vertical="center"/>
    </xf>
    <xf numFmtId="0" fontId="76" fillId="0" borderId="17" xfId="0" applyFont="1" applyFill="1" applyBorder="1" applyProtection="1">
      <protection locked="0"/>
    </xf>
    <xf numFmtId="0" fontId="0" fillId="0" borderId="78" xfId="0" applyFont="1" applyBorder="1" applyAlignment="1">
      <alignment vertical="center"/>
    </xf>
    <xf numFmtId="0" fontId="19" fillId="0" borderId="1" xfId="0" applyFont="1" applyFill="1" applyBorder="1" applyProtection="1"/>
    <xf numFmtId="9" fontId="52" fillId="0" borderId="3" xfId="0" applyNumberFormat="1" applyFont="1" applyFill="1" applyBorder="1" applyProtection="1">
      <protection locked="0"/>
    </xf>
    <xf numFmtId="9" fontId="52" fillId="0" borderId="1" xfId="0" applyNumberFormat="1" applyFont="1" applyFill="1" applyBorder="1" applyProtection="1">
      <protection locked="0"/>
    </xf>
    <xf numFmtId="0" fontId="9" fillId="28" borderId="0" xfId="0" applyFont="1" applyFill="1" applyAlignment="1">
      <alignment horizontal="right" vertical="center"/>
    </xf>
    <xf numFmtId="0" fontId="9" fillId="28" borderId="0" xfId="0" applyFont="1" applyFill="1" applyAlignment="1">
      <alignment vertical="center"/>
    </xf>
    <xf numFmtId="1" fontId="9" fillId="28" borderId="0" xfId="0" applyNumberFormat="1" applyFont="1" applyFill="1" applyAlignment="1">
      <alignment vertical="center"/>
    </xf>
    <xf numFmtId="0" fontId="76" fillId="0" borderId="1" xfId="0" applyFont="1" applyFill="1" applyBorder="1" applyProtection="1">
      <protection locked="0"/>
    </xf>
    <xf numFmtId="0" fontId="76" fillId="0" borderId="1" xfId="0" applyFont="1" applyFill="1" applyBorder="1" applyAlignment="1" applyProtection="1">
      <alignment horizontal="right" vertical="center"/>
      <protection locked="0"/>
    </xf>
    <xf numFmtId="0" fontId="76" fillId="0" borderId="18" xfId="0" applyFont="1" applyFill="1" applyBorder="1" applyAlignment="1" applyProtection="1">
      <alignment horizontal="right" vertical="center"/>
      <protection locked="0"/>
    </xf>
    <xf numFmtId="0" fontId="9" fillId="26" borderId="0" xfId="0" applyFont="1" applyFill="1" applyAlignment="1">
      <alignment horizontal="right" vertical="center"/>
    </xf>
    <xf numFmtId="0" fontId="9" fillId="30" borderId="0" xfId="0" applyFont="1" applyFill="1" applyAlignment="1">
      <alignment horizontal="right" vertical="center"/>
    </xf>
    <xf numFmtId="1" fontId="73" fillId="27" borderId="0" xfId="0" applyNumberFormat="1" applyFont="1" applyFill="1" applyAlignment="1">
      <alignment vertical="center"/>
    </xf>
    <xf numFmtId="1" fontId="9" fillId="27" borderId="0" xfId="0" applyNumberFormat="1" applyFont="1" applyFill="1" applyBorder="1" applyAlignment="1">
      <alignment horizontal="right" vertical="center"/>
    </xf>
    <xf numFmtId="0" fontId="76" fillId="0" borderId="17" xfId="0" applyFont="1" applyFill="1" applyBorder="1" applyAlignment="1" applyProtection="1">
      <alignment horizontal="right" vertical="center"/>
      <protection locked="0"/>
    </xf>
    <xf numFmtId="0" fontId="19" fillId="0" borderId="1" xfId="0" applyFont="1" applyFill="1" applyBorder="1" applyAlignment="1">
      <alignment vertical="center"/>
    </xf>
    <xf numFmtId="0" fontId="19" fillId="0" borderId="1" xfId="0" applyFont="1" applyBorder="1" applyAlignment="1">
      <alignment vertical="center"/>
    </xf>
    <xf numFmtId="0" fontId="19" fillId="0" borderId="2" xfId="0" applyFont="1" applyFill="1" applyBorder="1" applyAlignment="1">
      <alignmen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6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11"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xf numFmtId="0" fontId="19" fillId="0" borderId="8" xfId="0" applyFont="1" applyFill="1" applyBorder="1" applyProtection="1">
      <protection locked="0"/>
    </xf>
    <xf numFmtId="0" fontId="19" fillId="0" borderId="6" xfId="0" applyFont="1" applyFill="1" applyBorder="1" applyProtection="1">
      <protection locked="0"/>
    </xf>
    <xf numFmtId="0" fontId="19" fillId="0" borderId="6" xfId="0" applyFont="1" applyFill="1" applyBorder="1" applyAlignment="1">
      <alignment vertical="center"/>
    </xf>
    <xf numFmtId="0" fontId="52" fillId="0" borderId="3" xfId="0" applyFont="1" applyFill="1" applyBorder="1" applyProtection="1"/>
    <xf numFmtId="0" fontId="19" fillId="0" borderId="5" xfId="0" applyFont="1" applyFill="1" applyBorder="1" applyProtection="1">
      <protection locked="0"/>
    </xf>
    <xf numFmtId="0" fontId="52" fillId="0" borderId="5" xfId="0" applyFont="1" applyFill="1" applyBorder="1" applyProtection="1">
      <protection locked="0"/>
    </xf>
    <xf numFmtId="0" fontId="53" fillId="17" borderId="1" xfId="0" applyFont="1" applyFill="1" applyBorder="1" applyAlignment="1" applyProtection="1"/>
    <xf numFmtId="0" fontId="19" fillId="29" borderId="1" xfId="0" applyFont="1" applyFill="1" applyBorder="1" applyProtection="1">
      <protection locked="0"/>
    </xf>
    <xf numFmtId="0" fontId="19" fillId="0" borderId="1" xfId="0" applyFont="1" applyFill="1" applyBorder="1" applyAlignment="1" applyProtection="1">
      <alignment horizontal="right" vertical="center"/>
      <protection locked="0"/>
    </xf>
    <xf numFmtId="0" fontId="19" fillId="0" borderId="17" xfId="0" applyFont="1" applyFill="1" applyBorder="1" applyAlignment="1" applyProtection="1">
      <alignment horizontal="right" vertical="center"/>
      <protection locked="0"/>
    </xf>
    <xf numFmtId="0" fontId="9" fillId="0" borderId="0" xfId="11" applyFont="1" applyFill="1" applyAlignment="1">
      <alignment horizontal="left" vertical="center" wrapText="1"/>
    </xf>
    <xf numFmtId="176"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994">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fgColor rgb="FF92D050"/>
          <bgColor rgb="FF000000"/>
        </patternFill>
      </fill>
    </dxf>
    <dxf>
      <fill>
        <patternFill patternType="solid">
          <fgColor rgb="FF92D050"/>
          <bgColor rgb="FF000000"/>
        </patternFill>
      </fill>
    </dxf>
    <dxf>
      <fill>
        <patternFill>
          <bgColor rgb="FF92D050"/>
        </patternFill>
      </fill>
    </dxf>
    <dxf>
      <fill>
        <patternFill>
          <bgColor rgb="FFFF0000"/>
        </patternFill>
      </fill>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s>
  <tableStyles count="0" defaultTableStyle="TableStyleMedium2" defaultPivotStyle="PivotStyleLight16"/>
  <colors>
    <mruColors>
      <color rgb="FFFFFF00"/>
      <color rgb="FFCC3300"/>
      <color rgb="FF6CA62C"/>
      <color rgb="FFFF0000"/>
      <color rgb="FFFD2361"/>
      <color rgb="FF993300"/>
      <color rgb="FF588824"/>
      <color rgb="FFCC0000"/>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ustomXml" Target="../customXml/item1.xml"/><Relationship Id="rId43" Type="http://schemas.openxmlformats.org/officeDocument/2006/relationships/customXml" Target="../customXml/item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[shelter-nfi-cccm_kachin_northern_shan_cluster_analysis_report_August_2018.xlsx]IDP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7758</c:v>
                </c:pt>
                <c:pt idx="1">
                  <c:v>3010</c:v>
                </c:pt>
                <c:pt idx="2">
                  <c:v>3981</c:v>
                </c:pt>
                <c:pt idx="3">
                  <c:v>170</c:v>
                </c:pt>
                <c:pt idx="4">
                  <c:v>120</c:v>
                </c:pt>
                <c:pt idx="5">
                  <c:v>4085</c:v>
                </c:pt>
                <c:pt idx="6">
                  <c:v>13197</c:v>
                </c:pt>
                <c:pt idx="7">
                  <c:v>538</c:v>
                </c:pt>
                <c:pt idx="8">
                  <c:v>1557</c:v>
                </c:pt>
                <c:pt idx="9">
                  <c:v>356</c:v>
                </c:pt>
                <c:pt idx="10">
                  <c:v>26874</c:v>
                </c:pt>
                <c:pt idx="11">
                  <c:v>1058</c:v>
                </c:pt>
                <c:pt idx="12">
                  <c:v>13045</c:v>
                </c:pt>
                <c:pt idx="13">
                  <c:v>2001</c:v>
                </c:pt>
                <c:pt idx="14">
                  <c:v>731</c:v>
                </c:pt>
                <c:pt idx="15">
                  <c:v>412</c:v>
                </c:pt>
                <c:pt idx="16">
                  <c:v>541</c:v>
                </c:pt>
                <c:pt idx="17">
                  <c:v>1001</c:v>
                </c:pt>
                <c:pt idx="18">
                  <c:v>1285</c:v>
                </c:pt>
                <c:pt idx="19">
                  <c:v>25414</c:v>
                </c:pt>
              </c:numCache>
            </c:numRef>
          </c:val>
        </c:ser>
        <c:dLbls>
          <c:showLegendKey val="0"/>
          <c:showVal val="0"/>
          <c:showCatName val="0"/>
          <c:showSerName val="0"/>
          <c:showPercent val="0"/>
          <c:showBubbleSize val="0"/>
        </c:dLbls>
        <c:gapWidth val="150"/>
        <c:axId val="243211136"/>
        <c:axId val="243211520"/>
      </c:barChart>
      <c:catAx>
        <c:axId val="243211136"/>
        <c:scaling>
          <c:orientation val="minMax"/>
        </c:scaling>
        <c:delete val="0"/>
        <c:axPos val="l"/>
        <c:numFmt formatCode="General" sourceLinked="0"/>
        <c:majorTickMark val="out"/>
        <c:minorTickMark val="none"/>
        <c:tickLblPos val="nextTo"/>
        <c:crossAx val="243211520"/>
        <c:crosses val="autoZero"/>
        <c:auto val="1"/>
        <c:lblAlgn val="ctr"/>
        <c:lblOffset val="100"/>
        <c:noMultiLvlLbl val="1"/>
      </c:catAx>
      <c:valAx>
        <c:axId val="243211520"/>
        <c:scaling>
          <c:orientation val="minMax"/>
        </c:scaling>
        <c:delete val="0"/>
        <c:axPos val="b"/>
        <c:majorGridlines/>
        <c:numFmt formatCode="General" sourceLinked="1"/>
        <c:majorTickMark val="out"/>
        <c:minorTickMark val="none"/>
        <c:tickLblPos val="nextTo"/>
        <c:crossAx val="243211136"/>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234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393</c:v>
                </c:pt>
              </c:numCache>
            </c:numRef>
          </c:val>
        </c:ser>
        <c:dLbls>
          <c:showLegendKey val="0"/>
          <c:showVal val="0"/>
          <c:showCatName val="0"/>
          <c:showSerName val="0"/>
          <c:showPercent val="0"/>
          <c:showBubbleSize val="0"/>
        </c:dLbls>
        <c:gapWidth val="500"/>
        <c:overlap val="-71"/>
        <c:axId val="244172320"/>
        <c:axId val="245471536"/>
      </c:barChart>
      <c:catAx>
        <c:axId val="244172320"/>
        <c:scaling>
          <c:orientation val="minMax"/>
        </c:scaling>
        <c:delete val="1"/>
        <c:axPos val="b"/>
        <c:majorTickMark val="none"/>
        <c:minorTickMark val="none"/>
        <c:tickLblPos val="nextTo"/>
        <c:crossAx val="245471536"/>
        <c:crosses val="autoZero"/>
        <c:auto val="1"/>
        <c:lblAlgn val="ctr"/>
        <c:lblOffset val="100"/>
        <c:noMultiLvlLbl val="0"/>
      </c:catAx>
      <c:valAx>
        <c:axId val="2454715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41723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151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246</c:v>
                </c:pt>
              </c:numCache>
            </c:numRef>
          </c:val>
        </c:ser>
        <c:dLbls>
          <c:showLegendKey val="0"/>
          <c:showVal val="0"/>
          <c:showCatName val="0"/>
          <c:showSerName val="0"/>
          <c:showPercent val="0"/>
          <c:showBubbleSize val="0"/>
        </c:dLbls>
        <c:gapWidth val="500"/>
        <c:overlap val="-71"/>
        <c:axId val="245472320"/>
        <c:axId val="245472712"/>
      </c:barChart>
      <c:catAx>
        <c:axId val="245472320"/>
        <c:scaling>
          <c:orientation val="minMax"/>
        </c:scaling>
        <c:delete val="1"/>
        <c:axPos val="b"/>
        <c:numFmt formatCode="General" sourceLinked="1"/>
        <c:majorTickMark val="none"/>
        <c:minorTickMark val="none"/>
        <c:tickLblPos val="nextTo"/>
        <c:crossAx val="245472712"/>
        <c:crosses val="autoZero"/>
        <c:auto val="1"/>
        <c:lblAlgn val="ctr"/>
        <c:lblOffset val="100"/>
        <c:noMultiLvlLbl val="0"/>
      </c:catAx>
      <c:valAx>
        <c:axId val="2454727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54723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296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544</c:v>
                </c:pt>
              </c:numCache>
            </c:numRef>
          </c:val>
        </c:ser>
        <c:dLbls>
          <c:showLegendKey val="0"/>
          <c:showVal val="0"/>
          <c:showCatName val="0"/>
          <c:showSerName val="0"/>
          <c:showPercent val="0"/>
          <c:showBubbleSize val="0"/>
        </c:dLbls>
        <c:gapWidth val="500"/>
        <c:overlap val="-71"/>
        <c:axId val="245473496"/>
        <c:axId val="245433144"/>
      </c:barChart>
      <c:catAx>
        <c:axId val="245473496"/>
        <c:scaling>
          <c:orientation val="minMax"/>
        </c:scaling>
        <c:delete val="1"/>
        <c:axPos val="b"/>
        <c:numFmt formatCode="General" sourceLinked="1"/>
        <c:majorTickMark val="none"/>
        <c:minorTickMark val="none"/>
        <c:tickLblPos val="nextTo"/>
        <c:crossAx val="245433144"/>
        <c:crosses val="autoZero"/>
        <c:auto val="1"/>
        <c:lblAlgn val="ctr"/>
        <c:lblOffset val="100"/>
        <c:noMultiLvlLbl val="0"/>
      </c:catAx>
      <c:valAx>
        <c:axId val="245433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54734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229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364</c:v>
                </c:pt>
              </c:numCache>
            </c:numRef>
          </c:val>
        </c:ser>
        <c:dLbls>
          <c:showLegendKey val="0"/>
          <c:showVal val="0"/>
          <c:showCatName val="0"/>
          <c:showSerName val="0"/>
          <c:showPercent val="0"/>
          <c:showBubbleSize val="0"/>
        </c:dLbls>
        <c:gapWidth val="500"/>
        <c:overlap val="-71"/>
        <c:axId val="245433928"/>
        <c:axId val="245434320"/>
      </c:barChart>
      <c:catAx>
        <c:axId val="245433928"/>
        <c:scaling>
          <c:orientation val="minMax"/>
        </c:scaling>
        <c:delete val="1"/>
        <c:axPos val="b"/>
        <c:numFmt formatCode="General" sourceLinked="1"/>
        <c:majorTickMark val="none"/>
        <c:minorTickMark val="none"/>
        <c:tickLblPos val="nextTo"/>
        <c:crossAx val="245434320"/>
        <c:crosses val="autoZero"/>
        <c:auto val="1"/>
        <c:lblAlgn val="ctr"/>
        <c:lblOffset val="100"/>
        <c:noMultiLvlLbl val="0"/>
      </c:catAx>
      <c:valAx>
        <c:axId val="245434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5433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590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1009</c:v>
                </c:pt>
              </c:numCache>
            </c:numRef>
          </c:val>
        </c:ser>
        <c:dLbls>
          <c:showLegendKey val="0"/>
          <c:showVal val="0"/>
          <c:showCatName val="0"/>
          <c:showSerName val="0"/>
          <c:showPercent val="0"/>
          <c:showBubbleSize val="0"/>
        </c:dLbls>
        <c:gapWidth val="500"/>
        <c:overlap val="-71"/>
        <c:axId val="245435104"/>
        <c:axId val="245435496"/>
      </c:barChart>
      <c:catAx>
        <c:axId val="245435104"/>
        <c:scaling>
          <c:orientation val="minMax"/>
        </c:scaling>
        <c:delete val="1"/>
        <c:axPos val="b"/>
        <c:numFmt formatCode="General" sourceLinked="1"/>
        <c:majorTickMark val="none"/>
        <c:minorTickMark val="none"/>
        <c:tickLblPos val="nextTo"/>
        <c:crossAx val="245435496"/>
        <c:crosses val="autoZero"/>
        <c:auto val="1"/>
        <c:lblAlgn val="ctr"/>
        <c:lblOffset val="100"/>
        <c:noMultiLvlLbl val="0"/>
      </c:catAx>
      <c:valAx>
        <c:axId val="245435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5435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245436280"/>
        <c:axId val="245436672"/>
      </c:barChart>
      <c:catAx>
        <c:axId val="245436280"/>
        <c:scaling>
          <c:orientation val="minMax"/>
        </c:scaling>
        <c:delete val="1"/>
        <c:axPos val="b"/>
        <c:numFmt formatCode="General" sourceLinked="1"/>
        <c:majorTickMark val="none"/>
        <c:minorTickMark val="none"/>
        <c:tickLblPos val="nextTo"/>
        <c:crossAx val="245436672"/>
        <c:crosses val="autoZero"/>
        <c:auto val="1"/>
        <c:lblAlgn val="ctr"/>
        <c:lblOffset val="100"/>
        <c:noMultiLvlLbl val="0"/>
      </c:catAx>
      <c:valAx>
        <c:axId val="2454366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45436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271</c:v>
                </c:pt>
              </c:numCache>
            </c:numRef>
          </c:val>
        </c:ser>
        <c:dLbls>
          <c:showLegendKey val="0"/>
          <c:showVal val="0"/>
          <c:showCatName val="0"/>
          <c:showSerName val="0"/>
          <c:showPercent val="0"/>
          <c:showBubbleSize val="0"/>
        </c:dLbls>
        <c:gapWidth val="500"/>
        <c:overlap val="-71"/>
        <c:axId val="285154664"/>
        <c:axId val="285155056"/>
      </c:barChart>
      <c:catAx>
        <c:axId val="285154664"/>
        <c:scaling>
          <c:orientation val="minMax"/>
        </c:scaling>
        <c:delete val="1"/>
        <c:axPos val="b"/>
        <c:numFmt formatCode="General" sourceLinked="1"/>
        <c:majorTickMark val="none"/>
        <c:minorTickMark val="none"/>
        <c:tickLblPos val="nextTo"/>
        <c:crossAx val="285155056"/>
        <c:crosses val="autoZero"/>
        <c:auto val="1"/>
        <c:lblAlgn val="ctr"/>
        <c:lblOffset val="100"/>
        <c:noMultiLvlLbl val="0"/>
      </c:catAx>
      <c:valAx>
        <c:axId val="2851550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1546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285155840"/>
        <c:axId val="285156232"/>
      </c:barChart>
      <c:catAx>
        <c:axId val="285155840"/>
        <c:scaling>
          <c:orientation val="minMax"/>
        </c:scaling>
        <c:delete val="1"/>
        <c:axPos val="b"/>
        <c:numFmt formatCode="General" sourceLinked="1"/>
        <c:majorTickMark val="none"/>
        <c:minorTickMark val="none"/>
        <c:tickLblPos val="nextTo"/>
        <c:crossAx val="285156232"/>
        <c:crosses val="autoZero"/>
        <c:auto val="1"/>
        <c:lblAlgn val="ctr"/>
        <c:lblOffset val="100"/>
        <c:noMultiLvlLbl val="0"/>
      </c:catAx>
      <c:valAx>
        <c:axId val="2851562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1558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991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2064</c:v>
                </c:pt>
              </c:numCache>
            </c:numRef>
          </c:val>
        </c:ser>
        <c:dLbls>
          <c:showLegendKey val="0"/>
          <c:showVal val="0"/>
          <c:showCatName val="0"/>
          <c:showSerName val="0"/>
          <c:showPercent val="0"/>
          <c:showBubbleSize val="0"/>
        </c:dLbls>
        <c:gapWidth val="500"/>
        <c:overlap val="-71"/>
        <c:axId val="285157016"/>
        <c:axId val="285157408"/>
      </c:barChart>
      <c:catAx>
        <c:axId val="285157016"/>
        <c:scaling>
          <c:orientation val="minMax"/>
        </c:scaling>
        <c:delete val="1"/>
        <c:axPos val="b"/>
        <c:numFmt formatCode="General" sourceLinked="1"/>
        <c:majorTickMark val="none"/>
        <c:minorTickMark val="none"/>
        <c:tickLblPos val="nextTo"/>
        <c:crossAx val="285157408"/>
        <c:crosses val="autoZero"/>
        <c:auto val="1"/>
        <c:lblAlgn val="ctr"/>
        <c:lblOffset val="100"/>
        <c:noMultiLvlLbl val="0"/>
      </c:catAx>
      <c:valAx>
        <c:axId val="2851574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1570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285552744"/>
        <c:axId val="285553136"/>
      </c:barChart>
      <c:catAx>
        <c:axId val="285552744"/>
        <c:scaling>
          <c:orientation val="minMax"/>
        </c:scaling>
        <c:delete val="1"/>
        <c:axPos val="b"/>
        <c:numFmt formatCode="General" sourceLinked="1"/>
        <c:majorTickMark val="none"/>
        <c:minorTickMark val="none"/>
        <c:tickLblPos val="nextTo"/>
        <c:crossAx val="285553136"/>
        <c:crosses val="autoZero"/>
        <c:auto val="1"/>
        <c:lblAlgn val="ctr"/>
        <c:lblOffset val="100"/>
        <c:noMultiLvlLbl val="0"/>
      </c:catAx>
      <c:valAx>
        <c:axId val="2855531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527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39096</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475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1266</c:v>
                </c:pt>
              </c:numCache>
            </c:numRef>
          </c:val>
        </c:ser>
        <c:dLbls>
          <c:showLegendKey val="0"/>
          <c:showVal val="0"/>
          <c:showCatName val="0"/>
          <c:showSerName val="0"/>
          <c:showPercent val="0"/>
          <c:showBubbleSize val="0"/>
        </c:dLbls>
        <c:gapWidth val="500"/>
        <c:overlap val="-71"/>
        <c:axId val="285553920"/>
        <c:axId val="285554312"/>
      </c:barChart>
      <c:catAx>
        <c:axId val="285553920"/>
        <c:scaling>
          <c:orientation val="minMax"/>
        </c:scaling>
        <c:delete val="1"/>
        <c:axPos val="b"/>
        <c:numFmt formatCode="General" sourceLinked="1"/>
        <c:majorTickMark val="none"/>
        <c:minorTickMark val="none"/>
        <c:tickLblPos val="nextTo"/>
        <c:crossAx val="285554312"/>
        <c:crosses val="autoZero"/>
        <c:auto val="1"/>
        <c:lblAlgn val="ctr"/>
        <c:lblOffset val="100"/>
        <c:noMultiLvlLbl val="0"/>
      </c:catAx>
      <c:valAx>
        <c:axId val="2855543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539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218</c:v>
                </c:pt>
              </c:numCache>
            </c:numRef>
          </c:val>
        </c:ser>
        <c:dLbls>
          <c:showLegendKey val="0"/>
          <c:showVal val="0"/>
          <c:showCatName val="0"/>
          <c:showSerName val="0"/>
          <c:showPercent val="0"/>
          <c:showBubbleSize val="0"/>
        </c:dLbls>
        <c:gapWidth val="500"/>
        <c:overlap val="-71"/>
        <c:axId val="285555096"/>
        <c:axId val="285555488"/>
      </c:barChart>
      <c:catAx>
        <c:axId val="285555096"/>
        <c:scaling>
          <c:orientation val="minMax"/>
        </c:scaling>
        <c:delete val="1"/>
        <c:axPos val="b"/>
        <c:numFmt formatCode="General" sourceLinked="1"/>
        <c:majorTickMark val="none"/>
        <c:minorTickMark val="none"/>
        <c:tickLblPos val="nextTo"/>
        <c:crossAx val="285555488"/>
        <c:crosses val="autoZero"/>
        <c:auto val="1"/>
        <c:lblAlgn val="ctr"/>
        <c:lblOffset val="100"/>
        <c:noMultiLvlLbl val="0"/>
      </c:catAx>
      <c:valAx>
        <c:axId val="2855554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550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181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246</c:v>
                </c:pt>
              </c:numCache>
            </c:numRef>
          </c:val>
        </c:ser>
        <c:dLbls>
          <c:showLegendKey val="0"/>
          <c:showVal val="0"/>
          <c:showCatName val="0"/>
          <c:showSerName val="0"/>
          <c:showPercent val="0"/>
          <c:showBubbleSize val="0"/>
        </c:dLbls>
        <c:gapWidth val="500"/>
        <c:overlap val="-71"/>
        <c:axId val="285556272"/>
        <c:axId val="285700216"/>
      </c:barChart>
      <c:catAx>
        <c:axId val="285556272"/>
        <c:scaling>
          <c:orientation val="minMax"/>
        </c:scaling>
        <c:delete val="1"/>
        <c:axPos val="b"/>
        <c:numFmt formatCode="General" sourceLinked="1"/>
        <c:majorTickMark val="none"/>
        <c:minorTickMark val="none"/>
        <c:tickLblPos val="nextTo"/>
        <c:crossAx val="285700216"/>
        <c:crosses val="autoZero"/>
        <c:auto val="1"/>
        <c:lblAlgn val="ctr"/>
        <c:lblOffset val="100"/>
        <c:noMultiLvlLbl val="0"/>
      </c:catAx>
      <c:valAx>
        <c:axId val="2857002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5562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285701000"/>
        <c:axId val="285701392"/>
      </c:barChart>
      <c:catAx>
        <c:axId val="285701000"/>
        <c:scaling>
          <c:orientation val="minMax"/>
        </c:scaling>
        <c:delete val="1"/>
        <c:axPos val="b"/>
        <c:numFmt formatCode="General" sourceLinked="1"/>
        <c:majorTickMark val="none"/>
        <c:minorTickMark val="none"/>
        <c:tickLblPos val="nextTo"/>
        <c:crossAx val="285701392"/>
        <c:crosses val="autoZero"/>
        <c:auto val="1"/>
        <c:lblAlgn val="ctr"/>
        <c:lblOffset val="100"/>
        <c:noMultiLvlLbl val="0"/>
      </c:catAx>
      <c:valAx>
        <c:axId val="2857013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701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159</c:v>
                </c:pt>
              </c:numCache>
            </c:numRef>
          </c:val>
        </c:ser>
        <c:dLbls>
          <c:showLegendKey val="0"/>
          <c:showVal val="0"/>
          <c:showCatName val="0"/>
          <c:showSerName val="0"/>
          <c:showPercent val="0"/>
          <c:showBubbleSize val="0"/>
        </c:dLbls>
        <c:gapWidth val="500"/>
        <c:overlap val="-71"/>
        <c:axId val="285702176"/>
        <c:axId val="285702568"/>
      </c:barChart>
      <c:catAx>
        <c:axId val="285702176"/>
        <c:scaling>
          <c:orientation val="minMax"/>
        </c:scaling>
        <c:delete val="1"/>
        <c:axPos val="b"/>
        <c:numFmt formatCode="General" sourceLinked="1"/>
        <c:majorTickMark val="none"/>
        <c:minorTickMark val="none"/>
        <c:tickLblPos val="nextTo"/>
        <c:crossAx val="285702568"/>
        <c:crosses val="autoZero"/>
        <c:auto val="1"/>
        <c:lblAlgn val="ctr"/>
        <c:lblOffset val="100"/>
        <c:noMultiLvlLbl val="0"/>
      </c:catAx>
      <c:valAx>
        <c:axId val="2857025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7021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370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1686</c:v>
                </c:pt>
              </c:numCache>
            </c:numRef>
          </c:val>
        </c:ser>
        <c:dLbls>
          <c:showLegendKey val="0"/>
          <c:showVal val="0"/>
          <c:showCatName val="0"/>
          <c:showSerName val="0"/>
          <c:showPercent val="0"/>
          <c:showBubbleSize val="0"/>
        </c:dLbls>
        <c:gapWidth val="500"/>
        <c:overlap val="-71"/>
        <c:axId val="285703352"/>
        <c:axId val="285703744"/>
      </c:barChart>
      <c:catAx>
        <c:axId val="285703352"/>
        <c:scaling>
          <c:orientation val="minMax"/>
        </c:scaling>
        <c:delete val="1"/>
        <c:axPos val="b"/>
        <c:numFmt formatCode="General" sourceLinked="1"/>
        <c:majorTickMark val="none"/>
        <c:minorTickMark val="none"/>
        <c:tickLblPos val="nextTo"/>
        <c:crossAx val="285703744"/>
        <c:crosses val="autoZero"/>
        <c:auto val="1"/>
        <c:lblAlgn val="ctr"/>
        <c:lblOffset val="100"/>
        <c:noMultiLvlLbl val="0"/>
      </c:catAx>
      <c:valAx>
        <c:axId val="2857037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57033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286151160"/>
        <c:axId val="286151552"/>
      </c:barChart>
      <c:catAx>
        <c:axId val="286151160"/>
        <c:scaling>
          <c:orientation val="minMax"/>
        </c:scaling>
        <c:delete val="1"/>
        <c:axPos val="b"/>
        <c:numFmt formatCode="General" sourceLinked="1"/>
        <c:majorTickMark val="none"/>
        <c:minorTickMark val="none"/>
        <c:tickLblPos val="nextTo"/>
        <c:crossAx val="286151552"/>
        <c:crosses val="autoZero"/>
        <c:auto val="1"/>
        <c:lblAlgn val="ctr"/>
        <c:lblOffset val="100"/>
        <c:noMultiLvlLbl val="0"/>
      </c:catAx>
      <c:valAx>
        <c:axId val="2861515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1511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numCache>
            </c:numRef>
          </c:val>
        </c:ser>
        <c:dLbls>
          <c:showLegendKey val="0"/>
          <c:showVal val="0"/>
          <c:showCatName val="0"/>
          <c:showSerName val="0"/>
          <c:showPercent val="0"/>
          <c:showBubbleSize val="0"/>
        </c:dLbls>
        <c:gapWidth val="500"/>
        <c:overlap val="-71"/>
        <c:axId val="286152728"/>
        <c:axId val="286153120"/>
      </c:barChart>
      <c:catAx>
        <c:axId val="286152728"/>
        <c:scaling>
          <c:orientation val="minMax"/>
        </c:scaling>
        <c:delete val="1"/>
        <c:axPos val="b"/>
        <c:numFmt formatCode="General" sourceLinked="1"/>
        <c:majorTickMark val="none"/>
        <c:minorTickMark val="none"/>
        <c:tickLblPos val="nextTo"/>
        <c:crossAx val="286153120"/>
        <c:crosses val="autoZero"/>
        <c:auto val="1"/>
        <c:lblAlgn val="ctr"/>
        <c:lblOffset val="100"/>
        <c:noMultiLvlLbl val="0"/>
      </c:catAx>
      <c:valAx>
        <c:axId val="2861531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1527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286153512"/>
        <c:axId val="286153904"/>
      </c:barChart>
      <c:catAx>
        <c:axId val="286153512"/>
        <c:scaling>
          <c:orientation val="minMax"/>
        </c:scaling>
        <c:delete val="1"/>
        <c:axPos val="b"/>
        <c:numFmt formatCode="General" sourceLinked="1"/>
        <c:majorTickMark val="none"/>
        <c:minorTickMark val="none"/>
        <c:tickLblPos val="nextTo"/>
        <c:crossAx val="286153904"/>
        <c:crosses val="autoZero"/>
        <c:auto val="1"/>
        <c:lblAlgn val="ctr"/>
        <c:lblOffset val="100"/>
        <c:noMultiLvlLbl val="0"/>
      </c:catAx>
      <c:valAx>
        <c:axId val="2861539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861535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[shelter-nfi-cccm_kachin_northern_shan_cluster_analysis_report_August_2018.xlsx]NFI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-June</a:t>
            </a: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7</c:v>
                </c:pt>
                <c:pt idx="3">
                  <c:v>18</c:v>
                </c:pt>
                <c:pt idx="4">
                  <c:v>2</c:v>
                </c:pt>
                <c:pt idx="5">
                  <c:v>11</c:v>
                </c:pt>
                <c:pt idx="6">
                  <c:v>2</c:v>
                </c:pt>
                <c:pt idx="7">
                  <c:v>38</c:v>
                </c:pt>
                <c:pt idx="8">
                  <c:v>1</c:v>
                </c:pt>
                <c:pt idx="9">
                  <c:v>11</c:v>
                </c:pt>
                <c:pt idx="10">
                  <c:v>4</c:v>
                </c:pt>
                <c:pt idx="11">
                  <c:v>2</c:v>
                </c:pt>
              </c:numCache>
            </c:numRef>
          </c:val>
        </c:ser>
        <c:dLbls>
          <c:showLegendKey val="0"/>
          <c:showVal val="0"/>
          <c:showCatName val="0"/>
          <c:showSerName val="0"/>
          <c:showPercent val="0"/>
          <c:showBubbleSize val="0"/>
        </c:dLbls>
        <c:gapWidth val="219"/>
        <c:overlap val="-27"/>
        <c:axId val="286466296"/>
        <c:axId val="286466688"/>
      </c:barChart>
      <c:catAx>
        <c:axId val="28646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6466688"/>
        <c:crosses val="autoZero"/>
        <c:auto val="1"/>
        <c:lblAlgn val="ctr"/>
        <c:lblOffset val="100"/>
        <c:noMultiLvlLbl val="0"/>
      </c:catAx>
      <c:valAx>
        <c:axId val="286466688"/>
        <c:scaling>
          <c:orientation val="minMax"/>
        </c:scaling>
        <c:delete val="1"/>
        <c:axPos val="l"/>
        <c:numFmt formatCode="General" sourceLinked="1"/>
        <c:majorTickMark val="none"/>
        <c:minorTickMark val="none"/>
        <c:tickLblPos val="nextTo"/>
        <c:crossAx val="286466296"/>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98388</c:v>
                </c:pt>
                <c:pt idx="1">
                  <c:v>8515</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[shelter-nfi-cccm_kachin_northern_shan_cluster_analysis_report_August_2018.xlsx]NFI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438</c:v>
                </c:pt>
                <c:pt idx="1">
                  <c:v>1598</c:v>
                </c:pt>
                <c:pt idx="2">
                  <c:v>3540</c:v>
                </c:pt>
                <c:pt idx="3">
                  <c:v>6095</c:v>
                </c:pt>
                <c:pt idx="4">
                  <c:v>2051</c:v>
                </c:pt>
                <c:pt idx="5">
                  <c:v>11250</c:v>
                </c:pt>
                <c:pt idx="6">
                  <c:v>3205</c:v>
                </c:pt>
                <c:pt idx="7">
                  <c:v>1808</c:v>
                </c:pt>
                <c:pt idx="8">
                  <c:v>6472</c:v>
                </c:pt>
                <c:pt idx="9">
                  <c:v>2138</c:v>
                </c:pt>
              </c:numCache>
            </c:numRef>
          </c:val>
        </c:ser>
        <c:dLbls>
          <c:dLblPos val="outEnd"/>
          <c:showLegendKey val="0"/>
          <c:showVal val="1"/>
          <c:showCatName val="0"/>
          <c:showSerName val="0"/>
          <c:showPercent val="0"/>
          <c:showBubbleSize val="0"/>
        </c:dLbls>
        <c:gapWidth val="219"/>
        <c:overlap val="-27"/>
        <c:axId val="286467472"/>
        <c:axId val="286467864"/>
      </c:barChart>
      <c:catAx>
        <c:axId val="28646747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6467864"/>
        <c:crosses val="autoZero"/>
        <c:auto val="1"/>
        <c:lblAlgn val="ctr"/>
        <c:lblOffset val="100"/>
        <c:noMultiLvlLbl val="0"/>
      </c:catAx>
      <c:valAx>
        <c:axId val="286467864"/>
        <c:scaling>
          <c:orientation val="minMax"/>
        </c:scaling>
        <c:delete val="1"/>
        <c:axPos val="l"/>
        <c:numFmt formatCode="General" sourceLinked="1"/>
        <c:majorTickMark val="none"/>
        <c:minorTickMark val="none"/>
        <c:tickLblPos val="nextTo"/>
        <c:crossAx val="286467472"/>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[shelter-nfi-cccm_kachin_northern_shan_cluster_analysis_report_August_2018.xlsx]NFI Summary!PivotTable4</c:name>
    <c:fmtId val="1"/>
  </c:pivotSource>
  <c:chart>
    <c:autoTitleDeleted val="1"/>
    <c:pivotFmts>
      <c:pivotFmt>
        <c:idx val="0"/>
        <c:spPr>
          <a:solidFill>
            <a:schemeClr val="accent6"/>
          </a:solidFill>
          <a:ln>
            <a:noFill/>
          </a:ln>
          <a:effectLst/>
        </c:spPr>
        <c:marker>
          <c:symbol val="none"/>
        </c:marker>
        <c:dLbl>
          <c:idx val="0"/>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Summary'!$AU$19:$AU$40</c:f>
              <c:strCache>
                <c:ptCount val="2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strCache>
            </c:strRef>
          </c:cat>
          <c:val>
            <c:numRef>
              <c:f>'NFI Summary'!$AV$19:$AV$40</c:f>
              <c:numCache>
                <c:formatCode>General</c:formatCode>
                <c:ptCount val="21"/>
                <c:pt idx="0">
                  <c:v>23</c:v>
                </c:pt>
                <c:pt idx="1">
                  <c:v>10</c:v>
                </c:pt>
                <c:pt idx="2">
                  <c:v>18</c:v>
                </c:pt>
                <c:pt idx="3">
                  <c:v>3</c:v>
                </c:pt>
                <c:pt idx="4">
                  <c:v>19</c:v>
                </c:pt>
                <c:pt idx="5">
                  <c:v>34</c:v>
                </c:pt>
                <c:pt idx="6">
                  <c:v>66</c:v>
                </c:pt>
                <c:pt idx="7">
                  <c:v>27</c:v>
                </c:pt>
                <c:pt idx="8">
                  <c:v>8</c:v>
                </c:pt>
                <c:pt idx="9">
                  <c:v>4</c:v>
                </c:pt>
                <c:pt idx="10">
                  <c:v>6</c:v>
                </c:pt>
                <c:pt idx="11">
                  <c:v>57</c:v>
                </c:pt>
                <c:pt idx="12">
                  <c:v>3</c:v>
                </c:pt>
                <c:pt idx="13">
                  <c:v>8</c:v>
                </c:pt>
                <c:pt idx="14">
                  <c:v>17</c:v>
                </c:pt>
                <c:pt idx="15">
                  <c:v>21</c:v>
                </c:pt>
                <c:pt idx="16">
                  <c:v>4</c:v>
                </c:pt>
                <c:pt idx="17">
                  <c:v>22</c:v>
                </c:pt>
                <c:pt idx="18">
                  <c:v>2</c:v>
                </c:pt>
                <c:pt idx="19">
                  <c:v>2</c:v>
                </c:pt>
                <c:pt idx="20">
                  <c:v>1</c:v>
                </c:pt>
              </c:numCache>
            </c:numRef>
          </c:val>
        </c:ser>
        <c:dLbls>
          <c:dLblPos val="outEnd"/>
          <c:showLegendKey val="0"/>
          <c:showVal val="1"/>
          <c:showCatName val="0"/>
          <c:showSerName val="0"/>
          <c:showPercent val="0"/>
          <c:showBubbleSize val="0"/>
        </c:dLbls>
        <c:gapWidth val="219"/>
        <c:overlap val="-27"/>
        <c:axId val="286468648"/>
        <c:axId val="286469040"/>
      </c:barChart>
      <c:catAx>
        <c:axId val="28646864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6469040"/>
        <c:crosses val="autoZero"/>
        <c:auto val="1"/>
        <c:lblAlgn val="ctr"/>
        <c:lblOffset val="100"/>
        <c:noMultiLvlLbl val="0"/>
      </c:catAx>
      <c:valAx>
        <c:axId val="286469040"/>
        <c:scaling>
          <c:orientation val="minMax"/>
        </c:scaling>
        <c:delete val="1"/>
        <c:axPos val="l"/>
        <c:numFmt formatCode="General" sourceLinked="1"/>
        <c:majorTickMark val="none"/>
        <c:minorTickMark val="none"/>
        <c:tickLblPos val="nextTo"/>
        <c:crossAx val="28646864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[shelter-nfi-cccm_kachin_northern_shan_cluster_analysis_report_August_2018.xlsx]IDP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67166</c:v>
                </c:pt>
                <c:pt idx="1">
                  <c:v>39968</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[shelter-nfi-cccm_kachin_northern_shan_cluster_analysis_report_August_2018.xlsx]IDP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14</c:v>
                </c:pt>
                <c:pt idx="6">
                  <c:v>11</c:v>
                </c:pt>
                <c:pt idx="7">
                  <c:v>3</c:v>
                </c:pt>
                <c:pt idx="8">
                  <c:v>8</c:v>
                </c:pt>
                <c:pt idx="9">
                  <c:v>4</c:v>
                </c:pt>
                <c:pt idx="10">
                  <c:v>15</c:v>
                </c:pt>
                <c:pt idx="11">
                  <c:v>3</c:v>
                </c:pt>
                <c:pt idx="12">
                  <c:v>28</c:v>
                </c:pt>
                <c:pt idx="13">
                  <c:v>6</c:v>
                </c:pt>
                <c:pt idx="14">
                  <c:v>4</c:v>
                </c:pt>
                <c:pt idx="15">
                  <c:v>3</c:v>
                </c:pt>
                <c:pt idx="16">
                  <c:v>2</c:v>
                </c:pt>
                <c:pt idx="17">
                  <c:v>3</c:v>
                </c:pt>
                <c:pt idx="18">
                  <c:v>4</c:v>
                </c:pt>
                <c:pt idx="19">
                  <c:v>24</c:v>
                </c:pt>
              </c:numCache>
            </c:numRef>
          </c:val>
        </c:ser>
        <c:dLbls>
          <c:showLegendKey val="0"/>
          <c:showVal val="0"/>
          <c:showCatName val="0"/>
          <c:showSerName val="0"/>
          <c:showPercent val="0"/>
          <c:showBubbleSize val="0"/>
        </c:dLbls>
        <c:gapWidth val="182"/>
        <c:axId val="243908560"/>
        <c:axId val="243893624"/>
      </c:barChart>
      <c:catAx>
        <c:axId val="243908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3893624"/>
        <c:crosses val="autoZero"/>
        <c:auto val="1"/>
        <c:lblAlgn val="ctr"/>
        <c:lblOffset val="100"/>
        <c:noMultiLvlLbl val="0"/>
      </c:catAx>
      <c:valAx>
        <c:axId val="243893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390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39968</c:v>
                </c:pt>
                <c:pt idx="1">
                  <c:v>66935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57656</c:v>
                </c:pt>
                <c:pt idx="1">
                  <c:v>5296</c:v>
                </c:pt>
                <c:pt idx="2">
                  <c:v>0</c:v>
                </c:pt>
                <c:pt idx="3">
                  <c:v>3983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98388</c:v>
                </c:pt>
                <c:pt idx="1">
                  <c:v>8515</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7784</c:v>
                </c:pt>
                <c:pt idx="1">
                  <c:v>3010</c:v>
                </c:pt>
                <c:pt idx="2">
                  <c:v>3981</c:v>
                </c:pt>
                <c:pt idx="3">
                  <c:v>13197</c:v>
                </c:pt>
                <c:pt idx="4">
                  <c:v>1473</c:v>
                </c:pt>
                <c:pt idx="5">
                  <c:v>356</c:v>
                </c:pt>
                <c:pt idx="6">
                  <c:v>27034</c:v>
                </c:pt>
                <c:pt idx="7">
                  <c:v>13090</c:v>
                </c:pt>
                <c:pt idx="8">
                  <c:v>412</c:v>
                </c:pt>
                <c:pt idx="9">
                  <c:v>541</c:v>
                </c:pt>
                <c:pt idx="10">
                  <c:v>1001</c:v>
                </c:pt>
                <c:pt idx="11">
                  <c:v>1095</c:v>
                </c:pt>
                <c:pt idx="12">
                  <c:v>25414</c:v>
                </c:pt>
                <c:pt idx="13">
                  <c:v>170</c:v>
                </c:pt>
                <c:pt idx="14">
                  <c:v>4085</c:v>
                </c:pt>
                <c:pt idx="15">
                  <c:v>350</c:v>
                </c:pt>
                <c:pt idx="16">
                  <c:v>1058</c:v>
                </c:pt>
                <c:pt idx="17">
                  <c:v>2001</c:v>
                </c:pt>
                <c:pt idx="18">
                  <c:v>120</c:v>
                </c:pt>
                <c:pt idx="19">
                  <c:v>731</c:v>
                </c:pt>
              </c:numCache>
            </c:numRef>
          </c:val>
        </c:ser>
        <c:dLbls>
          <c:showLegendKey val="0"/>
          <c:showVal val="0"/>
          <c:showCatName val="0"/>
          <c:showSerName val="0"/>
          <c:showPercent val="0"/>
          <c:showBubbleSize val="0"/>
        </c:dLbls>
        <c:gapWidth val="100"/>
        <c:overlap val="-24"/>
        <c:axId val="244171928"/>
        <c:axId val="244171536"/>
      </c:barChart>
      <c:catAx>
        <c:axId val="24417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4171536"/>
        <c:crosses val="autoZero"/>
        <c:auto val="1"/>
        <c:lblAlgn val="ctr"/>
        <c:lblOffset val="100"/>
        <c:noMultiLvlLbl val="0"/>
      </c:catAx>
      <c:valAx>
        <c:axId val="244171536"/>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44171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8524220" y="259080"/>
          <a:ext cx="2156460" cy="35052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759663" y="182880"/>
          <a:ext cx="53426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162466</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381074</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702478</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847744</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177006</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594413</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186345</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277664</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715154" y="374598"/>
          <a:ext cx="5393552"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106,903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170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1417320</xdr:colOff>
          <xdr:row>5</xdr:row>
          <xdr:rowOff>45720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106,903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170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7,784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3,981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4,085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13,197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27,034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13,090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2,001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731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1,001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1,095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25,414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4363123" y="134471"/>
          <a:ext cx="392098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993803" y="134471"/>
          <a:ext cx="510853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26468" y="218784"/>
          <a:ext cx="3082066" cy="444044"/>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42%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59162" y="6739218"/>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30909" y="6741459"/>
          <a:ext cx="1025520"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812652" y="7207624"/>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9482" y="7544028"/>
          <a:ext cx="7171091" cy="684260"/>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354.476973263889" missingItemsLimit="0" createdVersion="4" refreshedVersion="5" minRefreshableVersion="3" recordCount="355">
  <cacheSource type="worksheet">
    <worksheetSource name="Table_NFI"/>
  </cacheSource>
  <cacheFields count="46">
    <cacheField name="Distribution Date" numFmtId="169">
      <sharedItems containsSemiMixedTypes="0" containsNonDate="0" containsDate="1" containsString="0" minDate="2017-01-02T00:00:00" maxDate="2018-08-14T00:00:00" count="134">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sharedItems>
    </cacheField>
    <cacheField name="Distribution Month/Year (Auto-calculated)" numFmtId="169">
      <sharedItems containsBlank="1" count="21">
        <s v="1/2017"/>
        <s v="2/2017"/>
        <s v="3/2017"/>
        <s v="4/2017"/>
        <s v="5/2017"/>
        <s v="6/2017"/>
        <s v="7/2017"/>
        <s v="8/2017"/>
        <s v="9/2017"/>
        <s v="10/2017"/>
        <s v="11/2017"/>
        <s v="12/2017"/>
        <s v="1/2018"/>
        <s v="2/2018"/>
        <s v="3/2018"/>
        <m/>
        <s v="4/2018"/>
        <s v="5/2018"/>
        <s v="6/2018"/>
        <s v="7/2018"/>
        <s v="8/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1">
        <s v="Waingmaw"/>
        <s v="Myitkyina"/>
        <s v="Mansi"/>
        <s v="Momauk"/>
        <s v="Shwegu"/>
        <s v="Bhamo"/>
        <s v="Hpakant"/>
        <s v="Chipwi"/>
        <s v="Sumprabum"/>
        <s v="Kutkai"/>
        <s v="Hseni"/>
        <s v="Namtu"/>
        <s v="Tanai"/>
        <s v="Muse"/>
        <s v="Namhkan"/>
        <s v="Mohnyin"/>
        <s v="Kyaukme"/>
        <s v="Mogaung"/>
        <s v="Injangyang"/>
        <s v="Puta-O"/>
        <s v="Manton"/>
      </sharedItems>
    </cacheField>
    <cacheField name="Location" numFmtId="0">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4"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354.476977199076" missingItemsLimit="0" createdVersion="4" refreshedVersion="5" minRefreshableVersion="3" recordCount="300">
  <cacheSource type="worksheet">
    <worksheetSource name="AllData_CampList"/>
  </cacheSource>
  <cacheFields count="31">
    <cacheField name="Status" numFmtId="49">
      <sharedItems count="3">
        <s v="Open "/>
        <s v="Closed"/>
        <s v="Relocat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Waingmaw"/>
        <s v="Chipwi"/>
        <s v="Bhamo"/>
        <s v="Momauk"/>
        <s v="Mansi"/>
        <s v="Shwegu"/>
        <s v="Khaunglanhpu"/>
        <s v="Puta-O"/>
        <s v="Mogaung"/>
        <s v="Mohnyin"/>
        <s v="Hpakant"/>
        <s v="Injangyang"/>
        <s v="Sumprabum"/>
        <s v="Machanbaw"/>
        <s v="Tanai"/>
        <s v="Namhkan"/>
        <s v="Muse"/>
        <s v="Kutkai"/>
        <s v="Manton"/>
        <s v="Namtu"/>
        <s v="Hsen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unt="297">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St. Joseph Tanai RC camp "/>
        <s v="Tanai AG Church "/>
        <s v="Tanai KBC Camp"/>
        <s v="Tanai CoC"/>
        <s v="Namti"/>
        <s v="Ka Bu Dam CoC"/>
        <s v="AG Church Pa Ma Tee"/>
        <s v="Sadung"/>
        <s v="Myo Oo St. Dominic RC Church"/>
        <s v="Lan Gwa St.Paul RC Church"/>
        <s v="Namti Labraw Yang KBC Camp"/>
        <s v="Emmanuel AG Church"/>
        <s v="Trinity Camp"/>
        <s v="Tang Hpre RC Church"/>
        <s v="Jaw Masat Camp"/>
        <s v="Ti Yang Zup"/>
        <s v="Lawa RC Church"/>
        <s v="Waimaw Baptist Zonal Office 2"/>
        <s v="Karmaing RC Church"/>
        <s v="Pa Dauk Myaing(Pa La Na)-II"/>
        <s v="Nam Hkam (KBC Jaw Wang)"/>
        <s v="Nam Hkam Malut Jak "/>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Man Kaung/Naung Ti Kyar Village"/>
        <s v="Kutkai downtown (KBC Church-2)"/>
        <s v="Man Loi"/>
        <s v="Hpai Kawng"/>
        <s v="Kyu Sot"/>
        <s v="Pan Law"/>
        <s v="Maina Relocation Site"/>
      </sharedItems>
    </cacheField>
    <cacheField name="CP_Pcode" numFmtId="0">
      <sharedItems count="300">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01CMP254"/>
        <s v="MMR001CMP255"/>
        <s v="MMR001CMP256"/>
        <s v="MMR001CMP257"/>
        <s v="MMR001CMP258"/>
        <s v="MMR001CMP259"/>
        <s v="MMR001CMP260"/>
        <s v="MMR001CMP261"/>
        <s v="MMR001CMP262"/>
        <s v="MMR001CMP263"/>
        <s v="MMR001CMP264"/>
        <s v="MMR001CMP265"/>
        <s v="MMR001CMP267"/>
        <s v="MMR001CMP268"/>
        <s v="MMR001CMP269"/>
        <s v="MMR001CMP270"/>
        <s v="MMR001CMP271"/>
        <s v="MMR015CMP001"/>
        <s v="MMR015CMP002"/>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s v="MMR015CMP230"/>
        <s v="MMR015CMP231"/>
        <s v="MMR015CMP232"/>
        <s v="MMR015CMP233"/>
        <s v="MMR015CMP234"/>
        <s v="MMR015CMP235"/>
        <s v="MMR015CMP236"/>
        <s v="MMR015CMP237"/>
        <s v="MMR015CMP238"/>
        <s v="MMR015CMP239"/>
        <s v="MMR015CMP240"/>
        <s v="MMR015CMP241"/>
        <s v="MMR015CMP242"/>
        <s v="MMR015CMP243"/>
        <s v="MMR015CMP244"/>
        <s v="MMR015CMP245"/>
        <s v="MMR015CMP246"/>
        <s v="MMR015CMP247"/>
        <s v="MMR015CMP248"/>
        <s v="MMR015CMP249"/>
        <s v="MMR001CMP272"/>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7.376671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7.010629910000006"/>
        <n v="97.013800000000003"/>
        <n v="97.104997409999996"/>
        <n v="97.431079999999994"/>
        <n v="97.49136"/>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1"/>
    </cacheField>
    <cacheField name="Total" numFmtId="0">
      <sharedItems containsString="0" containsBlank="1" containsNumber="1" containsInteger="1" minValue="0" maxValue="8574"/>
    </cacheField>
    <cacheField name="Avg" numFmtId="2">
      <sharedItems containsMixedTypes="1" containsNumber="1" minValue="2.7142857142857144" maxValue="10.046511627906977"/>
    </cacheField>
    <cacheField name="Accessibility" numFmtId="0">
      <sharedItems count="2">
        <s v="GCA"/>
        <s v="NGCA"/>
      </sharedItems>
    </cacheField>
    <cacheField name="Affected Population" numFmtId="49">
      <sharedItems containsBlank="1" count="2">
        <s v="IDP"/>
        <m/>
      </sharedItems>
    </cacheField>
    <cacheField name="Type of Accomodation" numFmtId="0">
      <sharedItems count="6">
        <s v="Camp"/>
        <s v="Camp Like setting"/>
        <s v="Boarding School"/>
        <s v="Host Families"/>
        <s v="Rural"/>
        <s v="Individual House"/>
      </sharedItems>
    </cacheField>
    <cacheField name="Type of Location" numFmtId="0">
      <sharedItems containsBlank="1" count="4">
        <s v="Urban"/>
        <s v="Rural"/>
        <m/>
        <s v="Forest/bush"/>
      </sharedItems>
    </cacheField>
    <cacheField name="Opening Date" numFmtId="0">
      <sharedItems containsNonDate="0" containsDate="1" containsString="0" containsBlank="1" minDate="2011-03-01T00:00:00" maxDate="2018-08-01T00:00:00" count="57">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7-07-13T00:00:00"/>
        <d v="2017-08-16T00:00:00"/>
        <d v="2017-01-16T00:00:00"/>
        <d v="2018-04-22T00:00:00"/>
        <d v="2018-07-31T00:00:00"/>
        <d v="2018-05-30T00:00:00"/>
        <d v="2018-06-01T00:00:00"/>
        <d v="2013-12-01T00:00:00"/>
        <d v="2014-03-05T00:00:00"/>
        <d v="2014-11-04T00:00:00"/>
        <d v="2014-04-18T00:00:00"/>
        <d v="2014-04-05T00:00:00"/>
        <d v="2016-03-06T00:00:00"/>
        <d v="2016-02-01T00:00:00"/>
        <d v="2016-03-01T00:00:00"/>
        <d v="2016-12-20T00:00:00"/>
        <d v="2017-02-15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09-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55">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pivotCacheRecords>
</file>

<file path=xl/pivotCache/pivotCacheRecords5.xml><?xml version="1.0" encoding="utf-8"?>
<pivotCacheRecords xmlns="http://schemas.openxmlformats.org/spreadsheetml/2006/main" xmlns:r="http://schemas.openxmlformats.org/officeDocument/2006/relationships" count="300">
  <r>
    <x v="0"/>
    <x v="0"/>
    <s v="MMR001"/>
    <s v="Myitkyina"/>
    <s v="MMR001D001"/>
    <x v="0"/>
    <s v="MMR001001"/>
    <s v="Myitkyina Town"/>
    <s v="MMR001001701"/>
    <s v="Tat Kone Ward"/>
    <s v="MMR001001701520"/>
    <x v="0"/>
    <x v="0"/>
    <x v="0"/>
    <n v="25.415482000000001"/>
    <n v="0"/>
    <n v="75"/>
    <n v="433"/>
    <n v="5.7733333333333334"/>
    <x v="0"/>
    <x v="0"/>
    <x v="0"/>
    <x v="0"/>
    <x v="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x v="0"/>
    <x v="0"/>
    <x v="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2"/>
    <n v="5.2608695652173916"/>
    <x v="0"/>
    <x v="0"/>
    <x v="0"/>
    <x v="0"/>
    <x v="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x v="0"/>
    <x v="0"/>
    <x v="2"/>
    <x v="0"/>
    <s v="IP"/>
    <d v="2018-08-31T00:00:00"/>
    <s v="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3"/>
    <n v="4.9130434782608692"/>
    <x v="0"/>
    <x v="0"/>
    <x v="0"/>
    <x v="0"/>
    <x v="4"/>
    <x v="2"/>
    <s v="IP"/>
    <d v="2018-08-31T00:00:00"/>
    <s v="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x v="0"/>
    <x v="0"/>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7"/>
    <n v="4.4523809523809526"/>
    <x v="0"/>
    <x v="0"/>
    <x v="0"/>
    <x v="0"/>
    <x v="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5"/>
    <n v="209"/>
    <n v="4.6444444444444448"/>
    <x v="0"/>
    <x v="0"/>
    <x v="0"/>
    <x v="0"/>
    <x v="4"/>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1"/>
    <n v="5.0797101449275361"/>
    <x v="0"/>
    <x v="0"/>
    <x v="0"/>
    <x v="0"/>
    <x v="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8"/>
    <n v="603"/>
    <n v="5.583333333333333"/>
    <x v="0"/>
    <x v="0"/>
    <x v="0"/>
    <x v="0"/>
    <x v="5"/>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2"/>
    <n v="306"/>
    <n v="4.935483870967742"/>
    <x v="0"/>
    <x v="0"/>
    <x v="0"/>
    <x v="0"/>
    <x v="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x v="0"/>
    <x v="0"/>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117"/>
    <n v="575"/>
    <n v="4.9145299145299148"/>
    <x v="0"/>
    <x v="0"/>
    <x v="0"/>
    <x v="0"/>
    <x v="1"/>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2"/>
    <n v="92"/>
    <n v="4.1818181818181817"/>
    <x v="0"/>
    <x v="0"/>
    <x v="0"/>
    <x v="1"/>
    <x v="3"/>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1"/>
    <n v="121"/>
    <n v="5.7619047619047619"/>
    <x v="0"/>
    <x v="0"/>
    <x v="0"/>
    <x v="1"/>
    <x v="3"/>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x v="0"/>
    <x v="6"/>
    <x v="2"/>
    <s v="IP"/>
    <d v="2017-06-29T00:00:00"/>
    <s v="Closed july 2017"/>
    <s v="Myitkyina Town"/>
    <n v="1.7877148351104664"/>
    <n v="1"/>
  </r>
  <r>
    <x v="0"/>
    <x v="0"/>
    <s v="MMR001"/>
    <s v="Myitkyina"/>
    <s v="MMR001D001"/>
    <x v="0"/>
    <s v="MMR001001"/>
    <s v="Myitkyina Town"/>
    <s v="MMR001001701"/>
    <s v="Tat Kone Ward"/>
    <s v="MMR001001701520"/>
    <x v="20"/>
    <x v="20"/>
    <x v="20"/>
    <n v="25.423209"/>
    <n v="0"/>
    <n v="55"/>
    <n v="262"/>
    <n v="4.7636363636363637"/>
    <x v="0"/>
    <x v="0"/>
    <x v="0"/>
    <x v="0"/>
    <x v="6"/>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59"/>
    <n v="314"/>
    <n v="5.3220338983050848"/>
    <x v="0"/>
    <x v="0"/>
    <x v="0"/>
    <x v="0"/>
    <x v="4"/>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66"/>
    <n v="338"/>
    <n v="5.1212121212121211"/>
    <x v="0"/>
    <x v="0"/>
    <x v="0"/>
    <x v="0"/>
    <x v="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1"/>
    <n v="181"/>
    <n v="5.838709677419355"/>
    <x v="0"/>
    <x v="0"/>
    <x v="0"/>
    <x v="0"/>
    <x v="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92"/>
    <n v="447"/>
    <n v="4.8586956521739131"/>
    <x v="0"/>
    <x v="0"/>
    <x v="0"/>
    <x v="1"/>
    <x v="0"/>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35"/>
    <n v="1774"/>
    <n v="5.2955223880597018"/>
    <x v="0"/>
    <x v="0"/>
    <x v="0"/>
    <x v="0"/>
    <x v="9"/>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7"/>
    <x v="27"/>
    <x v="27"/>
    <n v="25.345918166666699"/>
    <m/>
    <n v="35"/>
    <n v="185"/>
    <n v="5.2857142857142856"/>
    <x v="0"/>
    <x v="0"/>
    <x v="0"/>
    <x v="0"/>
    <x v="0"/>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47"/>
    <n v="2039"/>
    <n v="5.8760806916426516"/>
    <x v="0"/>
    <x v="0"/>
    <x v="0"/>
    <x v="1"/>
    <x v="10"/>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22"/>
    <n v="515"/>
    <n v="4.221311475409836"/>
    <x v="0"/>
    <x v="0"/>
    <x v="0"/>
    <x v="0"/>
    <x v="1"/>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20"/>
    <n v="86"/>
    <n v="4.3"/>
    <x v="0"/>
    <x v="0"/>
    <x v="0"/>
    <x v="1"/>
    <x v="8"/>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2"/>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5"/>
    <n v="187"/>
    <n v="4.1555555555555559"/>
    <x v="0"/>
    <x v="0"/>
    <x v="0"/>
    <x v="0"/>
    <x v="12"/>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6"/>
    <n v="274"/>
    <n v="4.1515151515151514"/>
    <x v="0"/>
    <x v="0"/>
    <x v="0"/>
    <x v="0"/>
    <x v="12"/>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52"/>
    <n v="234"/>
    <n v="4.5"/>
    <x v="0"/>
    <x v="0"/>
    <x v="0"/>
    <x v="0"/>
    <x v="1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23"/>
    <n v="2768"/>
    <n v="5.2925430210325048"/>
    <x v="0"/>
    <x v="0"/>
    <x v="0"/>
    <x v="1"/>
    <x v="14"/>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82"/>
    <n v="1027"/>
    <n v="5.6428571428571432"/>
    <x v="0"/>
    <x v="0"/>
    <x v="0"/>
    <x v="1"/>
    <x v="1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61"/>
    <n v="799"/>
    <n v="4.9627329192546581"/>
    <x v="0"/>
    <x v="0"/>
    <x v="0"/>
    <x v="0"/>
    <x v="15"/>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3"/>
    <n v="936"/>
    <n v="5.742331288343558"/>
    <x v="1"/>
    <x v="0"/>
    <x v="0"/>
    <x v="3"/>
    <x v="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41"/>
    <n v="3702"/>
    <n v="5.7753510140405613"/>
    <x v="0"/>
    <x v="0"/>
    <x v="0"/>
    <x v="0"/>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x v="2"/>
    <x v="11"/>
    <x v="4"/>
    <s v="IP"/>
    <d v="2014-01-22T00:00:00"/>
    <s v="Closed: Source UNHCR-Bhamo"/>
    <s v=""/>
    <s v=""/>
    <s v=""/>
  </r>
  <r>
    <x v="0"/>
    <x v="0"/>
    <s v="MMR001"/>
    <s v="Bhamo"/>
    <s v="MMR001D003"/>
    <x v="3"/>
    <s v="MMR001010"/>
    <s v="Moe Hping"/>
    <s v="MMR001010009"/>
    <s v="Moe Hping"/>
    <n v="166836"/>
    <x v="46"/>
    <x v="46"/>
    <x v="44"/>
    <n v="24.2631743589744"/>
    <n v="0"/>
    <n v="132"/>
    <n v="748"/>
    <n v="5.666666666666667"/>
    <x v="0"/>
    <x v="0"/>
    <x v="0"/>
    <x v="0"/>
    <x v="0"/>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35"/>
    <n v="1161"/>
    <n v="4.9404255319148938"/>
    <x v="0"/>
    <x v="0"/>
    <x v="0"/>
    <x v="0"/>
    <x v="12"/>
    <x v="5"/>
    <s v="IP"/>
    <d v="2018-08-31T00:00:00"/>
    <s v="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3"/>
    <n v="57"/>
    <n v="4.384615384615385"/>
    <x v="0"/>
    <x v="0"/>
    <x v="0"/>
    <x v="0"/>
    <x v="16"/>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1"/>
    <n v="225"/>
    <n v="5.4878048780487809"/>
    <x v="0"/>
    <x v="0"/>
    <x v="0"/>
    <x v="0"/>
    <x v="1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50"/>
    <x v="50"/>
    <x v="48"/>
    <n v="24.24953"/>
    <n v="0"/>
    <n v="13"/>
    <n v="63"/>
    <n v="4.8461538461538458"/>
    <x v="0"/>
    <x v="0"/>
    <x v="0"/>
    <x v="0"/>
    <x v="17"/>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3"/>
    <s v="MMR001010"/>
    <s v="Nam Hlaing"/>
    <s v="MMR001010015"/>
    <s v="Nam Hlaing"/>
    <n v="166844"/>
    <x v="51"/>
    <x v="51"/>
    <x v="49"/>
    <n v="24.32638"/>
    <m/>
    <n v="17"/>
    <n v="76"/>
    <n v="4.4705882352941178"/>
    <x v="0"/>
    <x v="0"/>
    <x v="0"/>
    <x v="0"/>
    <x v="12"/>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x v="0"/>
    <x v="8"/>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27"/>
    <n v="1874"/>
    <n v="4.3887587822014051"/>
    <x v="0"/>
    <x v="0"/>
    <x v="0"/>
    <x v="0"/>
    <x v="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304"/>
    <n v="1389"/>
    <n v="4.5690789473684212"/>
    <x v="0"/>
    <x v="0"/>
    <x v="0"/>
    <x v="0"/>
    <x v="8"/>
    <x v="5"/>
    <s v="IP"/>
    <d v="2018-08-31T00:00:00"/>
    <s v="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89"/>
    <n v="840"/>
    <n v="4.4444444444444446"/>
    <x v="0"/>
    <x v="0"/>
    <x v="0"/>
    <x v="0"/>
    <x v="1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91"/>
    <n v="344"/>
    <n v="3.7802197802197801"/>
    <x v="0"/>
    <x v="0"/>
    <x v="0"/>
    <x v="0"/>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7"/>
    <n v="197"/>
    <n v="4.1914893617021276"/>
    <x v="0"/>
    <x v="0"/>
    <x v="0"/>
    <x v="0"/>
    <x v="1"/>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1"/>
    <n v="4.9689922480620154"/>
    <x v="0"/>
    <x v="0"/>
    <x v="0"/>
    <x v="0"/>
    <x v="12"/>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04"/>
    <n v="1105"/>
    <n v="5.416666666666667"/>
    <x v="0"/>
    <x v="0"/>
    <x v="0"/>
    <x v="0"/>
    <x v="6"/>
    <x v="0"/>
    <s v="IP"/>
    <d v="2018-08-31T00:00:00"/>
    <s v="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41"/>
    <n v="237"/>
    <n v="5.7804878048780486"/>
    <x v="0"/>
    <x v="0"/>
    <x v="0"/>
    <x v="0"/>
    <x v="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8"/>
    <n v="300"/>
    <n v="6.25"/>
    <x v="0"/>
    <x v="0"/>
    <x v="0"/>
    <x v="0"/>
    <x v="1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3"/>
    <n v="432"/>
    <n v="10.046511627906977"/>
    <x v="0"/>
    <x v="0"/>
    <x v="0"/>
    <x v="0"/>
    <x v="1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5"/>
    <n v="74"/>
    <n v="4.9333333333333336"/>
    <x v="0"/>
    <x v="0"/>
    <x v="0"/>
    <x v="0"/>
    <x v="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1"/>
    <n v="5.4615384615384617"/>
    <x v="0"/>
    <x v="0"/>
    <x v="0"/>
    <x v="0"/>
    <x v="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2"/>
    <n v="4.2"/>
    <x v="0"/>
    <x v="0"/>
    <x v="0"/>
    <x v="0"/>
    <x v="19"/>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55"/>
    <n v="5"/>
    <x v="0"/>
    <x v="0"/>
    <x v="0"/>
    <x v="0"/>
    <x v="14"/>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x v="1"/>
    <x v="19"/>
    <x v="0"/>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x v="0"/>
    <x v="17"/>
    <x v="0"/>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x v="2"/>
    <x v="11"/>
    <x v="4"/>
    <m/>
    <m/>
    <s v=" "/>
    <s v=""/>
    <s v=""/>
    <s v=""/>
  </r>
  <r>
    <x v="1"/>
    <x v="0"/>
    <s v="MMR001"/>
    <s v="Mohnyin"/>
    <s v="MMR001D002"/>
    <x v="11"/>
    <s v="MMR001009"/>
    <s v="Hpakan Town"/>
    <s v="MMR001009701"/>
    <s v="Maw Wam Ward"/>
    <s v="MMR001009701501"/>
    <x v="80"/>
    <x v="80"/>
    <x v="31"/>
    <m/>
    <m/>
    <n v="0"/>
    <n v="0"/>
    <s v="NA"/>
    <x v="0"/>
    <x v="0"/>
    <x v="0"/>
    <x v="2"/>
    <x v="11"/>
    <x v="4"/>
    <m/>
    <m/>
    <s v=" "/>
    <s v=""/>
    <s v=""/>
    <s v=""/>
  </r>
  <r>
    <x v="1"/>
    <x v="0"/>
    <s v="MMR001"/>
    <s v="Mohnyin"/>
    <s v="MMR001D002"/>
    <x v="11"/>
    <s v="MMR001009"/>
    <s v="Hpakan Town"/>
    <s v="MMR001009701"/>
    <s v="Maw Wam Ward"/>
    <s v="MMR001009701501"/>
    <x v="81"/>
    <x v="81"/>
    <x v="77"/>
    <n v="25.619221"/>
    <m/>
    <n v="0"/>
    <n v="0"/>
    <s v="NA"/>
    <x v="0"/>
    <x v="0"/>
    <x v="0"/>
    <x v="2"/>
    <x v="11"/>
    <x v="4"/>
    <m/>
    <m/>
    <s v=" "/>
    <s v=""/>
    <s v=""/>
    <s v=""/>
  </r>
  <r>
    <x v="1"/>
    <x v="0"/>
    <s v="MMR001"/>
    <s v="Mohnyin"/>
    <s v="MMR001D002"/>
    <x v="11"/>
    <s v="MMR001009"/>
    <m/>
    <m/>
    <m/>
    <m/>
    <x v="82"/>
    <x v="82"/>
    <x v="31"/>
    <m/>
    <m/>
    <m/>
    <m/>
    <s v="NA"/>
    <x v="0"/>
    <x v="0"/>
    <x v="0"/>
    <x v="2"/>
    <x v="11"/>
    <x v="4"/>
    <m/>
    <m/>
    <s v=" "/>
    <s v=""/>
    <s v=""/>
    <s v=""/>
  </r>
  <r>
    <x v="1"/>
    <x v="0"/>
    <s v="MMR001"/>
    <s v="Mohnyin"/>
    <s v="MMR001D002"/>
    <x v="11"/>
    <s v="MMR001009"/>
    <s v="Hpakan Town"/>
    <s v="MMR001009701"/>
    <s v="Maw Wam Ward"/>
    <s v="MMR001009701501"/>
    <x v="83"/>
    <x v="83"/>
    <x v="31"/>
    <m/>
    <m/>
    <n v="0"/>
    <n v="0"/>
    <s v="NA"/>
    <x v="0"/>
    <x v="0"/>
    <x v="0"/>
    <x v="2"/>
    <x v="11"/>
    <x v="4"/>
    <m/>
    <m/>
    <s v=" "/>
    <s v=""/>
    <s v=""/>
    <s v=""/>
  </r>
  <r>
    <x v="1"/>
    <x v="0"/>
    <s v="MMR001"/>
    <s v="Mohnyin"/>
    <s v="MMR001D002"/>
    <x v="11"/>
    <s v="MMR001009"/>
    <s v="Hpakan Town"/>
    <s v="MMR001009701"/>
    <s v="Maw Wam Ward"/>
    <s v="MMR001009701501"/>
    <x v="84"/>
    <x v="84"/>
    <x v="31"/>
    <m/>
    <m/>
    <n v="0"/>
    <n v="0"/>
    <s v="NA"/>
    <x v="0"/>
    <x v="0"/>
    <x v="0"/>
    <x v="2"/>
    <x v="11"/>
    <x v="4"/>
    <m/>
    <m/>
    <s v=" "/>
    <s v=""/>
    <s v=""/>
    <s v=""/>
  </r>
  <r>
    <x v="0"/>
    <x v="0"/>
    <s v="MMR001"/>
    <s v="Mohnyin"/>
    <s v="MMR001D002"/>
    <x v="11"/>
    <s v="MMR001009"/>
    <s v="Hpakan Town"/>
    <s v="MMR001009701"/>
    <s v="Maw Wam Ward"/>
    <s v="MMR001009701501"/>
    <x v="85"/>
    <x v="85"/>
    <x v="78"/>
    <n v="25.6145"/>
    <n v="65"/>
    <n v="4"/>
    <n v="15"/>
    <n v="3.75"/>
    <x v="0"/>
    <x v="0"/>
    <x v="1"/>
    <x v="0"/>
    <x v="17"/>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x v="2"/>
    <x v="11"/>
    <x v="4"/>
    <m/>
    <m/>
    <s v=" "/>
    <s v=""/>
    <s v=""/>
    <s v=""/>
  </r>
  <r>
    <x v="1"/>
    <x v="0"/>
    <s v="MMR001"/>
    <s v="Mohnyin"/>
    <s v="MMR001D002"/>
    <x v="11"/>
    <s v="MMR001009"/>
    <s v="Hpakan Town"/>
    <s v="MMR001009701"/>
    <s v="Ma Shi Ka Htaung Ward"/>
    <s v="MMR001009701505"/>
    <x v="87"/>
    <x v="87"/>
    <x v="31"/>
    <m/>
    <m/>
    <n v="0"/>
    <n v="0"/>
    <s v="NA"/>
    <x v="0"/>
    <x v="0"/>
    <x v="0"/>
    <x v="2"/>
    <x v="11"/>
    <x v="4"/>
    <m/>
    <m/>
    <s v=" "/>
    <s v=""/>
    <s v=""/>
    <s v=""/>
  </r>
  <r>
    <x v="1"/>
    <x v="0"/>
    <s v="MMR001"/>
    <s v="Mohnyin"/>
    <s v="MMR001D002"/>
    <x v="11"/>
    <s v="MMR001009"/>
    <s v="Hpakan Town"/>
    <s v="MMR001009701"/>
    <s v="Ma Shi Ka Htaung Ward"/>
    <s v="MMR001009701505"/>
    <x v="88"/>
    <x v="88"/>
    <x v="79"/>
    <n v="25.609179999999999"/>
    <m/>
    <n v="0"/>
    <n v="0"/>
    <s v="NA"/>
    <x v="0"/>
    <x v="0"/>
    <x v="0"/>
    <x v="2"/>
    <x v="11"/>
    <x v="4"/>
    <m/>
    <m/>
    <s v=" "/>
    <s v=""/>
    <s v=""/>
    <s v=""/>
  </r>
  <r>
    <x v="1"/>
    <x v="0"/>
    <s v="MMR001"/>
    <s v="Mohnyin"/>
    <s v="MMR001D002"/>
    <x v="11"/>
    <s v="MMR001009"/>
    <s v="Hpakan Town"/>
    <s v="MMR001009701"/>
    <s v="Ma Shi Ka Htaung Ward"/>
    <s v="MMR001009701505"/>
    <x v="89"/>
    <x v="89"/>
    <x v="31"/>
    <m/>
    <m/>
    <n v="0"/>
    <n v="0"/>
    <s v="NA"/>
    <x v="0"/>
    <x v="0"/>
    <x v="0"/>
    <x v="2"/>
    <x v="11"/>
    <x v="4"/>
    <m/>
    <m/>
    <s v=" "/>
    <s v=""/>
    <s v=""/>
    <s v=""/>
  </r>
  <r>
    <x v="1"/>
    <x v="0"/>
    <s v="MMR001"/>
    <s v="Mohnyin"/>
    <s v="MMR001D002"/>
    <x v="11"/>
    <s v="MMR001009"/>
    <s v="Hpakan Town"/>
    <s v="MMR001009701"/>
    <s v="Ma Shi Ka Htaung Ward"/>
    <s v="MMR001009701505"/>
    <x v="90"/>
    <x v="90"/>
    <x v="31"/>
    <m/>
    <m/>
    <n v="0"/>
    <n v="0"/>
    <s v="NA"/>
    <x v="0"/>
    <x v="0"/>
    <x v="0"/>
    <x v="2"/>
    <x v="11"/>
    <x v="4"/>
    <m/>
    <m/>
    <s v=" "/>
    <s v=""/>
    <s v=""/>
    <s v=""/>
  </r>
  <r>
    <x v="1"/>
    <x v="0"/>
    <s v="MMR001"/>
    <s v="Mohnyin"/>
    <s v="MMR001D002"/>
    <x v="11"/>
    <s v="MMR001009"/>
    <s v="Hpakan Town"/>
    <s v="MMR001009701"/>
    <s v="Ma Shi Ka Htaung Ward"/>
    <s v="MMR001009701505"/>
    <x v="91"/>
    <x v="91"/>
    <x v="31"/>
    <m/>
    <m/>
    <n v="0"/>
    <n v="0"/>
    <s v="NA"/>
    <x v="0"/>
    <x v="0"/>
    <x v="0"/>
    <x v="2"/>
    <x v="11"/>
    <x v="4"/>
    <m/>
    <m/>
    <s v=" "/>
    <s v=""/>
    <s v=""/>
    <s v=""/>
  </r>
  <r>
    <x v="1"/>
    <x v="0"/>
    <s v="MMR001"/>
    <s v="Mohnyin"/>
    <s v="MMR001D002"/>
    <x v="11"/>
    <s v="MMR001009"/>
    <s v="Hpakan Town"/>
    <s v="MMR001009701"/>
    <s v="Ma Shi Ka Htaung Ward"/>
    <s v="MMR001009701505"/>
    <x v="92"/>
    <x v="92"/>
    <x v="31"/>
    <m/>
    <m/>
    <n v="0"/>
    <n v="0"/>
    <s v="NA"/>
    <x v="0"/>
    <x v="0"/>
    <x v="0"/>
    <x v="2"/>
    <x v="11"/>
    <x v="4"/>
    <m/>
    <m/>
    <s v=" "/>
    <s v=""/>
    <s v=""/>
    <s v=""/>
  </r>
  <r>
    <x v="1"/>
    <x v="0"/>
    <s v="MMR001"/>
    <s v="Mohnyin"/>
    <s v="MMR001D002"/>
    <x v="11"/>
    <s v="MMR001009"/>
    <s v="Hpakan Town"/>
    <s v="MMR001009701"/>
    <s v="Ma Shi Ka Htaung Ward"/>
    <s v="MMR001009701505"/>
    <x v="93"/>
    <x v="93"/>
    <x v="31"/>
    <m/>
    <m/>
    <n v="0"/>
    <n v="0"/>
    <s v="NA"/>
    <x v="0"/>
    <x v="0"/>
    <x v="0"/>
    <x v="2"/>
    <x v="11"/>
    <x v="4"/>
    <m/>
    <m/>
    <s v=" "/>
    <s v=""/>
    <s v=""/>
    <s v=""/>
  </r>
  <r>
    <x v="1"/>
    <x v="0"/>
    <s v="MMR001"/>
    <s v="Mohnyin"/>
    <s v="MMR001D002"/>
    <x v="11"/>
    <s v="MMR001009"/>
    <s v="Hpakan Town"/>
    <s v="MMR001009701"/>
    <s v="Ma Shi Ka Htaung Ward"/>
    <s v="MMR001009701505"/>
    <x v="94"/>
    <x v="94"/>
    <x v="31"/>
    <m/>
    <m/>
    <n v="0"/>
    <n v="0"/>
    <s v="NA"/>
    <x v="0"/>
    <x v="0"/>
    <x v="0"/>
    <x v="2"/>
    <x v="11"/>
    <x v="4"/>
    <m/>
    <m/>
    <s v=" "/>
    <s v=""/>
    <s v=""/>
    <s v=""/>
  </r>
  <r>
    <x v="1"/>
    <x v="0"/>
    <s v="MMR001"/>
    <s v="Mohnyin"/>
    <s v="MMR001D002"/>
    <x v="11"/>
    <s v="MMR001009"/>
    <s v="Hpakan Town"/>
    <s v="MMR001009701"/>
    <s v="Myo Ma Ward"/>
    <s v="MMR001009701503"/>
    <x v="95"/>
    <x v="95"/>
    <x v="31"/>
    <m/>
    <m/>
    <m/>
    <m/>
    <s v="NA"/>
    <x v="0"/>
    <x v="0"/>
    <x v="0"/>
    <x v="2"/>
    <x v="11"/>
    <x v="4"/>
    <m/>
    <m/>
    <s v=" "/>
    <s v=""/>
    <s v=""/>
    <s v=""/>
  </r>
  <r>
    <x v="1"/>
    <x v="0"/>
    <s v="MMR001"/>
    <s v="Mohnyin"/>
    <s v="MMR001D002"/>
    <x v="11"/>
    <s v="MMR001009"/>
    <s v="Hpakan Town"/>
    <s v="MMR001009701"/>
    <s v="Myo Ma Ward"/>
    <s v="MMR001009701503"/>
    <x v="96"/>
    <x v="96"/>
    <x v="31"/>
    <m/>
    <m/>
    <n v="0"/>
    <n v="0"/>
    <s v="NA"/>
    <x v="0"/>
    <x v="0"/>
    <x v="0"/>
    <x v="2"/>
    <x v="11"/>
    <x v="4"/>
    <m/>
    <m/>
    <s v=" "/>
    <s v=""/>
    <s v=""/>
    <s v=""/>
  </r>
  <r>
    <x v="0"/>
    <x v="0"/>
    <s v="MMR001"/>
    <s v="Mohnyin"/>
    <s v="MMR001D002"/>
    <x v="11"/>
    <s v="MMR001009"/>
    <s v="Nam Ma Hpyit"/>
    <s v="MMR001009002"/>
    <s v="Nam Ma Hpyit"/>
    <n v="166776"/>
    <x v="97"/>
    <x v="97"/>
    <x v="80"/>
    <n v="25.613894999999999"/>
    <n v="251"/>
    <n v="50"/>
    <n v="237"/>
    <n v="4.74"/>
    <x v="0"/>
    <x v="0"/>
    <x v="0"/>
    <x v="0"/>
    <x v="20"/>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x v="2"/>
    <x v="11"/>
    <x v="4"/>
    <m/>
    <m/>
    <s v=" "/>
    <s v=""/>
    <s v=""/>
    <s v=""/>
  </r>
  <r>
    <x v="0"/>
    <x v="0"/>
    <s v="MMR001"/>
    <s v="Mohnyin"/>
    <s v="MMR001D002"/>
    <x v="11"/>
    <s v="MMR001009"/>
    <s v="Nam Ma Hpyit"/>
    <s v="MMR001009002"/>
    <s v="Nam Ma Hpyit"/>
    <n v="166776"/>
    <x v="99"/>
    <x v="99"/>
    <x v="81"/>
    <n v="25.599250000000001"/>
    <n v="0"/>
    <n v="16"/>
    <n v="68"/>
    <n v="4.25"/>
    <x v="0"/>
    <x v="0"/>
    <x v="0"/>
    <x v="0"/>
    <x v="1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x v="2"/>
    <x v="11"/>
    <x v="4"/>
    <m/>
    <m/>
    <s v=" "/>
    <s v=""/>
    <s v=""/>
    <s v=""/>
  </r>
  <r>
    <x v="1"/>
    <x v="0"/>
    <s v="MMR001"/>
    <s v="Mohnyin"/>
    <s v="MMR001D002"/>
    <x v="11"/>
    <s v="MMR001009"/>
    <s v="Seik Mu"/>
    <s v="MMR001009003"/>
    <s v="Ma Mon"/>
    <n v="166790"/>
    <x v="101"/>
    <x v="101"/>
    <x v="31"/>
    <m/>
    <m/>
    <n v="0"/>
    <n v="0"/>
    <s v="NA"/>
    <x v="0"/>
    <x v="0"/>
    <x v="0"/>
    <x v="2"/>
    <x v="11"/>
    <x v="4"/>
    <m/>
    <m/>
    <s v=" "/>
    <s v=""/>
    <s v=""/>
    <s v=""/>
  </r>
  <r>
    <x v="1"/>
    <x v="0"/>
    <s v="MMR001"/>
    <s v="Mohnyin"/>
    <s v="MMR001D002"/>
    <x v="11"/>
    <s v="MMR001009"/>
    <m/>
    <m/>
    <m/>
    <m/>
    <x v="102"/>
    <x v="102"/>
    <x v="31"/>
    <m/>
    <m/>
    <n v="0"/>
    <n v="0"/>
    <s v="NA"/>
    <x v="0"/>
    <x v="0"/>
    <x v="0"/>
    <x v="2"/>
    <x v="11"/>
    <x v="4"/>
    <m/>
    <m/>
    <m/>
    <s v=""/>
    <s v=""/>
    <s v=""/>
  </r>
  <r>
    <x v="0"/>
    <x v="0"/>
    <s v="MMR001"/>
    <s v="Mohnyin"/>
    <s v="MMR001D002"/>
    <x v="11"/>
    <s v="MMR001009"/>
    <s v="Seik Mu"/>
    <s v="MMR001009003"/>
    <s v="Seik Mu"/>
    <n v="166783"/>
    <x v="103"/>
    <x v="103"/>
    <x v="83"/>
    <n v="25.582065"/>
    <n v="0"/>
    <n v="6"/>
    <n v="31"/>
    <n v="5.166666666666667"/>
    <x v="0"/>
    <x v="0"/>
    <x v="1"/>
    <x v="0"/>
    <x v="20"/>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2"/>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24"/>
    <n v="471"/>
    <n v="3.7983870967741935"/>
    <x v="1"/>
    <x v="0"/>
    <x v="0"/>
    <x v="3"/>
    <x v="12"/>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07"/>
    <x v="107"/>
    <x v="86"/>
    <n v="25.273333000000001"/>
    <m/>
    <n v="0"/>
    <n v="0"/>
    <s v="NA"/>
    <x v="1"/>
    <x v="0"/>
    <x v="0"/>
    <x v="2"/>
    <x v="11"/>
    <x v="4"/>
    <m/>
    <m/>
    <m/>
    <s v=""/>
    <s v=""/>
    <s v=""/>
  </r>
  <r>
    <x v="0"/>
    <x v="0"/>
    <s v="MMR001"/>
    <s v="Myitkyina"/>
    <s v="MMR001D001"/>
    <x v="1"/>
    <s v="MMR001002"/>
    <s v="Saga Pa"/>
    <s v="MMR001002040"/>
    <s v="Hkau Shau"/>
    <m/>
    <x v="108"/>
    <x v="108"/>
    <x v="87"/>
    <n v="25.200333000000001"/>
    <n v="1023"/>
    <n v="136"/>
    <n v="986"/>
    <n v="7.25"/>
    <x v="1"/>
    <x v="0"/>
    <x v="0"/>
    <x v="1"/>
    <x v="1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26"/>
    <n v="7119"/>
    <n v="4.9922861150070128"/>
    <x v="1"/>
    <x v="0"/>
    <x v="0"/>
    <x v="0"/>
    <x v="0"/>
    <x v="3"/>
    <s v="IP"/>
    <d v="2018-08-31T00:00:00"/>
    <s v="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Myitkyina"/>
    <s v="MMR001D001"/>
    <x v="1"/>
    <s v="MMR001002"/>
    <s v="Sa Ma"/>
    <s v="MMR001002031"/>
    <s v="Nar Gu"/>
    <n v="165790"/>
    <x v="112"/>
    <x v="112"/>
    <x v="91"/>
    <n v="24.980250000000002"/>
    <n v="984"/>
    <n v="411"/>
    <n v="1545"/>
    <n v="3.7591240875912408"/>
    <x v="1"/>
    <x v="0"/>
    <x v="0"/>
    <x v="1"/>
    <x v="0"/>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85"/>
    <n v="868"/>
    <n v="4.6918918918918919"/>
    <x v="1"/>
    <x v="0"/>
    <x v="0"/>
    <x v="1"/>
    <x v="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491"/>
    <n v="8574"/>
    <n v="5.7505030181086516"/>
    <x v="1"/>
    <x v="0"/>
    <x v="0"/>
    <x v="1"/>
    <x v="14"/>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9"/>
    <n v="3648"/>
    <n v="5.0737134909596664"/>
    <x v="1"/>
    <x v="0"/>
    <x v="0"/>
    <x v="1"/>
    <x v="0"/>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88"/>
    <n v="338"/>
    <n v="3.8409090909090908"/>
    <x v="1"/>
    <x v="0"/>
    <x v="0"/>
    <x v="3"/>
    <x v="2"/>
    <x v="3"/>
    <s v="IP"/>
    <d v="2018-08-31T00:00:00"/>
    <s v="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51"/>
    <n v="5.6186708860759493"/>
    <x v="1"/>
    <x v="0"/>
    <x v="0"/>
    <x v="1"/>
    <x v="6"/>
    <x v="5"/>
    <s v="IP"/>
    <d v="2018-08-31T00:00:00"/>
    <s v="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35"/>
    <n v="2490"/>
    <n v="4.6542056074766354"/>
    <x v="1"/>
    <x v="0"/>
    <x v="0"/>
    <x v="1"/>
    <x v="3"/>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62"/>
    <n v="1718"/>
    <n v="4.7458563535911606"/>
    <x v="1"/>
    <x v="0"/>
    <x v="0"/>
    <x v="1"/>
    <x v="3"/>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4"/>
    <n v="3547"/>
    <n v="10.019774011299434"/>
    <x v="1"/>
    <x v="0"/>
    <x v="0"/>
    <x v="1"/>
    <x v="6"/>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42"/>
    <n v="2301"/>
    <n v="5.2058823529411766"/>
    <x v="0"/>
    <x v="0"/>
    <x v="0"/>
    <x v="1"/>
    <x v="12"/>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7"/>
    <n v="653"/>
    <n v="5.1417322834645667"/>
    <x v="0"/>
    <x v="0"/>
    <x v="0"/>
    <x v="1"/>
    <x v="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x v="3"/>
    <x v="17"/>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4"/>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yitkyina"/>
    <s v="MMR001D001"/>
    <x v="0"/>
    <s v="MMR001001"/>
    <s v="Sinbo  Town"/>
    <s v="MMR001001702"/>
    <m/>
    <m/>
    <x v="128"/>
    <x v="128"/>
    <x v="31"/>
    <m/>
    <m/>
    <n v="375"/>
    <n v="1691"/>
    <n v="4.5093333333333332"/>
    <x v="0"/>
    <x v="0"/>
    <x v="3"/>
    <x v="1"/>
    <x v="21"/>
    <x v="1"/>
    <s v="IRRC"/>
    <d v="2017-06-02T00:00:00"/>
    <s v="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34"/>
    <n v="136"/>
    <n v="4"/>
    <x v="0"/>
    <x v="0"/>
    <x v="0"/>
    <x v="0"/>
    <x v="16"/>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26"/>
    <n v="117"/>
    <n v="4.5"/>
    <x v="0"/>
    <x v="0"/>
    <x v="0"/>
    <x v="1"/>
    <x v="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3"/>
    <x v="2"/>
    <x v="11"/>
    <x v="4"/>
    <m/>
    <d v="2014-01-27T00:00:00"/>
    <s v="Closed : Source, OCHA"/>
    <s v=""/>
    <s v=""/>
    <s v=""/>
  </r>
  <r>
    <x v="0"/>
    <x v="0"/>
    <s v="MMR001"/>
    <s v="Myitkyina"/>
    <s v="MMR001D001"/>
    <x v="1"/>
    <s v="MMR001002"/>
    <s v="Saga Pa"/>
    <s v="MMR001002040"/>
    <s v="Saga Pa"/>
    <n v="165895"/>
    <x v="132"/>
    <x v="132"/>
    <x v="106"/>
    <n v="25.265277999999999"/>
    <n v="2764"/>
    <n v="82"/>
    <n v="518"/>
    <n v="6.3170731707317076"/>
    <x v="1"/>
    <x v="0"/>
    <x v="0"/>
    <x v="3"/>
    <x v="12"/>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38"/>
    <n v="803"/>
    <n v="5.8188405797101446"/>
    <x v="0"/>
    <x v="0"/>
    <x v="0"/>
    <x v="0"/>
    <x v="15"/>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1"/>
    <n v="55"/>
    <n v="5"/>
    <x v="0"/>
    <x v="0"/>
    <x v="0"/>
    <x v="0"/>
    <x v="22"/>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36"/>
    <n v="4.9411764705882355"/>
    <x v="0"/>
    <x v="0"/>
    <x v="0"/>
    <x v="1"/>
    <x v="22"/>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26"/>
    <n v="6.2777777777777777"/>
    <x v="0"/>
    <x v="0"/>
    <x v="0"/>
    <x v="1"/>
    <x v="2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x v="2"/>
    <x v="11"/>
    <x v="4"/>
    <m/>
    <m/>
    <s v=" "/>
    <s v=""/>
    <s v=""/>
    <s v=""/>
  </r>
  <r>
    <x v="1"/>
    <x v="0"/>
    <s v="MMR001"/>
    <s v="Mohnyin"/>
    <s v="MMR001D002"/>
    <x v="11"/>
    <s v="MMR001009"/>
    <s v="Lone Khin"/>
    <s v="MMR001009001"/>
    <s v="Lone Khin"/>
    <n v="166773"/>
    <x v="139"/>
    <x v="139"/>
    <x v="113"/>
    <n v="25.658650000000002"/>
    <m/>
    <n v="0"/>
    <n v="0"/>
    <s v="NA"/>
    <x v="0"/>
    <x v="0"/>
    <x v="0"/>
    <x v="2"/>
    <x v="11"/>
    <x v="4"/>
    <m/>
    <m/>
    <s v=" "/>
    <s v=""/>
    <s v=""/>
    <s v=""/>
  </r>
  <r>
    <x v="1"/>
    <x v="0"/>
    <s v="MMR001"/>
    <s v="Mohnyin"/>
    <s v="MMR001D002"/>
    <x v="11"/>
    <s v="MMR001009"/>
    <s v="Lone Khin"/>
    <s v="MMR001009001"/>
    <s v="Ma Sut Yang"/>
    <n v="216880"/>
    <x v="140"/>
    <x v="140"/>
    <x v="114"/>
    <n v="25.668469999999999"/>
    <n v="256"/>
    <m/>
    <m/>
    <s v="NA"/>
    <x v="0"/>
    <x v="0"/>
    <x v="0"/>
    <x v="1"/>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x v="2"/>
    <x v="11"/>
    <x v="4"/>
    <m/>
    <m/>
    <s v=" "/>
    <s v=""/>
    <s v=""/>
    <s v=""/>
  </r>
  <r>
    <x v="0"/>
    <x v="0"/>
    <s v="MMR001"/>
    <s v="Mohnyin"/>
    <s v="MMR001D002"/>
    <x v="11"/>
    <s v="MMR001009"/>
    <s v="Lone Khin"/>
    <s v="MMR001009001"/>
    <s v="Nyein Chan Thar Yar"/>
    <n v="216876"/>
    <x v="142"/>
    <x v="142"/>
    <x v="115"/>
    <n v="25.637309999999999"/>
    <n v="277.60000000000002"/>
    <n v="70"/>
    <n v="377"/>
    <n v="5.3857142857142861"/>
    <x v="0"/>
    <x v="0"/>
    <x v="0"/>
    <x v="0"/>
    <x v="22"/>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x v="2"/>
    <x v="11"/>
    <x v="4"/>
    <m/>
    <m/>
    <s v=" "/>
    <s v=""/>
    <s v=""/>
    <s v=""/>
  </r>
  <r>
    <x v="0"/>
    <x v="0"/>
    <s v="MMR001"/>
    <s v="Mohnyin"/>
    <s v="MMR001D002"/>
    <x v="11"/>
    <s v="MMR001009"/>
    <s v="Lone Khin"/>
    <s v="MMR001009001"/>
    <s v="Lone Khin"/>
    <n v="166773"/>
    <x v="144"/>
    <x v="144"/>
    <x v="116"/>
    <n v="25.635300000000001"/>
    <n v="0"/>
    <n v="70"/>
    <n v="374"/>
    <n v="5.3428571428571425"/>
    <x v="0"/>
    <x v="0"/>
    <x v="0"/>
    <x v="0"/>
    <x v="22"/>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x v="1"/>
    <x v="22"/>
    <x v="4"/>
    <s v="RRD"/>
    <d v="2014-05-15T00:00:00"/>
    <s v="Closed."/>
    <s v=""/>
    <s v=""/>
    <s v=""/>
  </r>
  <r>
    <x v="1"/>
    <x v="0"/>
    <s v="MMR001"/>
    <s v="Mohnyin"/>
    <s v="MMR001D002"/>
    <x v="11"/>
    <s v="MMR001009"/>
    <s v="Lone Khin"/>
    <s v="MMR001009001"/>
    <s v="Lone Khin"/>
    <n v="166773"/>
    <x v="146"/>
    <x v="146"/>
    <x v="118"/>
    <n v="25.651440000000001"/>
    <m/>
    <n v="0"/>
    <n v="0"/>
    <s v="NA"/>
    <x v="0"/>
    <x v="0"/>
    <x v="0"/>
    <x v="2"/>
    <x v="11"/>
    <x v="4"/>
    <m/>
    <m/>
    <s v=" "/>
    <s v=""/>
    <s v=""/>
    <s v=""/>
  </r>
  <r>
    <x v="1"/>
    <x v="0"/>
    <s v="MMR001"/>
    <s v="Mohnyin"/>
    <s v="MMR001D002"/>
    <x v="11"/>
    <s v="MMR001009"/>
    <s v="Lone Khin"/>
    <s v="MMR001009001"/>
    <s v="Lone Khin"/>
    <n v="166773"/>
    <x v="147"/>
    <x v="147"/>
    <x v="119"/>
    <n v="25.656130000000001"/>
    <n v="0"/>
    <m/>
    <m/>
    <s v="NA"/>
    <x v="0"/>
    <x v="0"/>
    <x v="0"/>
    <x v="1"/>
    <x v="22"/>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x v="1"/>
    <x v="11"/>
    <x v="4"/>
    <s v="IP"/>
    <d v="2014-05-15T00:00:00"/>
    <s v="Closed."/>
    <s v=""/>
    <s v=""/>
    <s v=""/>
  </r>
  <r>
    <x v="0"/>
    <x v="0"/>
    <s v="MMR001"/>
    <s v="Mohnyin"/>
    <s v="MMR001D002"/>
    <x v="11"/>
    <s v="MMR001009"/>
    <s v="Seik Mu"/>
    <s v="MMR001009003"/>
    <s v="Maw Shan"/>
    <n v="166785"/>
    <x v="149"/>
    <x v="149"/>
    <x v="120"/>
    <n v="25.566510000000001"/>
    <n v="278"/>
    <n v="18"/>
    <n v="102"/>
    <n v="5.666666666666667"/>
    <x v="0"/>
    <x v="0"/>
    <x v="0"/>
    <x v="1"/>
    <x v="22"/>
    <x v="2"/>
    <s v="IP"/>
    <d v="2018-08-31T00:00:00"/>
    <s v="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1"/>
    <x v="1"/>
    <x v="22"/>
    <x v="1"/>
    <s v="IP"/>
    <d v="2018-08-31T00:00:00"/>
    <s v="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x v="1"/>
    <x v="22"/>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2"/>
    <n v="173"/>
    <n v="5.40625"/>
    <x v="0"/>
    <x v="0"/>
    <x v="0"/>
    <x v="0"/>
    <x v="2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x v="1"/>
    <x v="22"/>
    <x v="3"/>
    <s v="RRD"/>
    <d v="2014-04-07T00:00:00"/>
    <s v="Move to Nant Ma Hpit Catholic Church."/>
    <s v=""/>
    <s v=""/>
    <s v=""/>
  </r>
  <r>
    <x v="1"/>
    <x v="0"/>
    <s v="MMR001"/>
    <s v="Mohnyin"/>
    <s v="MMR001D002"/>
    <x v="11"/>
    <s v="MMR001009"/>
    <s v="Seik Mu"/>
    <s v="MMR001009003"/>
    <s v="Seik Mu"/>
    <n v="166783"/>
    <x v="154"/>
    <x v="154"/>
    <x v="31"/>
    <m/>
    <m/>
    <m/>
    <m/>
    <s v="NA"/>
    <x v="0"/>
    <x v="0"/>
    <x v="0"/>
    <x v="2"/>
    <x v="11"/>
    <x v="4"/>
    <s v="RRD"/>
    <d v="2014-01-24T00:00:00"/>
    <s v="UNOCHA"/>
    <s v=""/>
    <s v=""/>
    <s v=""/>
  </r>
  <r>
    <x v="1"/>
    <x v="0"/>
    <s v="MMR001"/>
    <s v="Mohnyin"/>
    <s v="MMR001D002"/>
    <x v="11"/>
    <s v="MMR001009"/>
    <s v="Nawng Mi"/>
    <s v="MMR001009008"/>
    <s v="Nawng Myi"/>
    <n v="166817"/>
    <x v="155"/>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x v="2"/>
    <x v="11"/>
    <x v="4"/>
    <m/>
    <m/>
    <m/>
    <s v=""/>
    <s v=""/>
    <s v=""/>
  </r>
  <r>
    <x v="0"/>
    <x v="0"/>
    <s v="MMR001"/>
    <s v="Mohnyin"/>
    <s v="MMR001D002"/>
    <x v="11"/>
    <s v="MMR001009"/>
    <s v="Hpakan Town"/>
    <s v="MMR001009701"/>
    <s v="Maw Wam Ward"/>
    <s v="MMR001009701501"/>
    <x v="157"/>
    <x v="157"/>
    <x v="126"/>
    <n v="25.616509000000001"/>
    <n v="264"/>
    <n v="14"/>
    <n v="83"/>
    <n v="5.9285714285714288"/>
    <x v="0"/>
    <x v="0"/>
    <x v="0"/>
    <x v="0"/>
    <x v="22"/>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1"/>
    <x v="0"/>
    <x v="17"/>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1"/>
    <n v="43"/>
    <n v="3.9090909090909092"/>
    <x v="0"/>
    <x v="0"/>
    <x v="1"/>
    <x v="0"/>
    <x v="22"/>
    <x v="1"/>
    <s v="IP"/>
    <d v="2018-08-31T00:00:00"/>
    <s v="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48"/>
    <n v="747"/>
    <n v="5.0472972972972974"/>
    <x v="0"/>
    <x v="0"/>
    <x v="0"/>
    <x v="0"/>
    <x v="2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1"/>
    <n v="4.25"/>
    <x v="0"/>
    <x v="0"/>
    <x v="0"/>
    <x v="0"/>
    <x v="2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204"/>
    <n v="837"/>
    <n v="4.1029411764705879"/>
    <x v="0"/>
    <x v="0"/>
    <x v="0"/>
    <x v="1"/>
    <x v="7"/>
    <x v="2"/>
    <s v="IP"/>
    <d v="2018-08-31T00:00:00"/>
    <s v="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34"/>
    <x v="163"/>
    <x v="13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34"/>
    <x v="164"/>
    <x v="132"/>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3"/>
    <x v="165"/>
    <x v="133"/>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34"/>
    <x v="166"/>
    <x v="134"/>
    <n v="24.224830999999998"/>
    <m/>
    <m/>
    <m/>
    <s v="NA"/>
    <x v="0"/>
    <x v="0"/>
    <x v="3"/>
    <x v="0"/>
    <x v="11"/>
    <x v="4"/>
    <s v="RRD"/>
    <d v="2017-07-11T00:00:00"/>
    <s v="11/Jul/2017: Change status to Close as no update available."/>
    <s v="Shwegu Town"/>
    <n v="2.3794331620169178"/>
    <n v="1"/>
  </r>
  <r>
    <x v="0"/>
    <x v="0"/>
    <s v="MMR001"/>
    <s v="Bhamo"/>
    <s v="MMR001D003"/>
    <x v="4"/>
    <s v="MMR001012"/>
    <s v="Myo Thit"/>
    <s v="MMR001012013"/>
    <s v="Khon Sint"/>
    <n v="167060"/>
    <x v="164"/>
    <x v="167"/>
    <x v="135"/>
    <n v="24.377054000000001"/>
    <m/>
    <n v="3"/>
    <n v="18"/>
    <n v="6"/>
    <x v="0"/>
    <x v="0"/>
    <x v="3"/>
    <x v="1"/>
    <x v="11"/>
    <x v="1"/>
    <s v="RRD"/>
    <d v="2017-08-03T00:00:00"/>
    <s v="WFP"/>
    <s v="Momauk Town"/>
    <n v="13.446032768350749"/>
    <n v="3"/>
  </r>
  <r>
    <x v="1"/>
    <x v="0"/>
    <s v="MMR001"/>
    <s v="Mohnyin"/>
    <s v="MMR001D002"/>
    <x v="11"/>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4"/>
    <x v="5"/>
    <s v="IP"/>
    <d v="2014-06-21T00:00:00"/>
    <s v="Closed. Source: Save The Children"/>
    <s v=""/>
    <s v=""/>
    <s v=""/>
  </r>
  <r>
    <x v="1"/>
    <x v="0"/>
    <s v="MMR001"/>
    <s v="Bhamo"/>
    <s v="MMR001D003"/>
    <x v="5"/>
    <s v="MMR001013"/>
    <s v="Mung Ding Pa"/>
    <s v="MMR001013038"/>
    <m/>
    <m/>
    <x v="167"/>
    <x v="170"/>
    <x v="138"/>
    <n v="24.20645"/>
    <n v="781.8"/>
    <n v="0"/>
    <n v="0"/>
    <s v="NA"/>
    <x v="1"/>
    <x v="0"/>
    <x v="0"/>
    <x v="1"/>
    <x v="25"/>
    <x v="4"/>
    <s v="IP"/>
    <d v="2014-01-22T00:00:00"/>
    <s v="Closed: Source UNHCR-Bhamo"/>
    <s v=""/>
    <s v=""/>
    <s v=""/>
  </r>
  <r>
    <x v="1"/>
    <x v="0"/>
    <s v="MMR001"/>
    <s v="Bhamo"/>
    <s v="MMR001D003"/>
    <x v="5"/>
    <s v="MMR001013"/>
    <s v="Nam Lin Pa"/>
    <s v="MMR001013037"/>
    <m/>
    <m/>
    <x v="168"/>
    <x v="171"/>
    <x v="104"/>
    <n v="23.75817"/>
    <n v="781.8"/>
    <n v="0"/>
    <n v="0"/>
    <s v="NA"/>
    <x v="1"/>
    <x v="0"/>
    <x v="0"/>
    <x v="1"/>
    <x v="25"/>
    <x v="4"/>
    <s v="IP"/>
    <m/>
    <s v="Closed: Source UNHCR-Bhamo"/>
    <s v=""/>
    <s v=""/>
    <s v=""/>
  </r>
  <r>
    <x v="0"/>
    <x v="0"/>
    <s v="MMR001"/>
    <s v="Puta-O"/>
    <s v="MMR001D004"/>
    <x v="13"/>
    <s v="MMR001015"/>
    <s v="Sumprabum Town"/>
    <s v="MMR001015701"/>
    <m/>
    <m/>
    <x v="169"/>
    <x v="172"/>
    <x v="139"/>
    <n v="26.541930000000001"/>
    <n v="1025"/>
    <n v="5"/>
    <n v="32"/>
    <n v="6.4"/>
    <x v="0"/>
    <x v="0"/>
    <x v="1"/>
    <x v="1"/>
    <x v="11"/>
    <x v="1"/>
    <s v="RRD"/>
    <d v="2017-07-11T00:00:00"/>
    <m/>
    <s v="Sumprabum Town"/>
    <n v="0.23004407510846425"/>
    <n v="1"/>
  </r>
  <r>
    <x v="0"/>
    <x v="0"/>
    <s v="MMR001"/>
    <s v="Myitkyina"/>
    <s v="MMR001D001"/>
    <x v="1"/>
    <s v="MMR001002"/>
    <s v="Nam Sang Yang"/>
    <s v="MMR001002024"/>
    <m/>
    <m/>
    <x v="170"/>
    <x v="173"/>
    <x v="140"/>
    <n v="24.752471"/>
    <m/>
    <m/>
    <n v="872"/>
    <s v="NA"/>
    <x v="1"/>
    <x v="0"/>
    <x v="2"/>
    <x v="0"/>
    <x v="11"/>
    <x v="1"/>
    <s v="IRRC"/>
    <d v="2017-01-01T00:00:00"/>
    <s v="In 2014, this school is no longer accepting the lower grade students."/>
    <s v="Laiza town"/>
    <n v="2.3307568207764655"/>
    <n v="1"/>
  </r>
  <r>
    <x v="1"/>
    <x v="0"/>
    <s v="MMR001"/>
    <s v="Bhamo"/>
    <s v="MMR001D003"/>
    <x v="5"/>
    <s v="MMR001013"/>
    <s v="Nam Lin Pa"/>
    <s v="MMR001013037"/>
    <m/>
    <m/>
    <x v="171"/>
    <x v="174"/>
    <x v="31"/>
    <m/>
    <m/>
    <n v="0"/>
    <n v="0"/>
    <s v="NA"/>
    <x v="1"/>
    <x v="0"/>
    <x v="0"/>
    <x v="2"/>
    <x v="11"/>
    <x v="4"/>
    <s v="IP"/>
    <m/>
    <s v="Closed: Source UNHCR-Bhamo"/>
    <s v=""/>
    <s v=""/>
    <s v=""/>
  </r>
  <r>
    <x v="0"/>
    <x v="0"/>
    <s v="MMR001"/>
    <s v="Myitkyina"/>
    <s v="MMR001D001"/>
    <x v="2"/>
    <s v="MMR001005"/>
    <s v="Pang War Town"/>
    <s v="MMR001005702"/>
    <s v="No (2) Ward"/>
    <s v="MMR001005702502"/>
    <x v="172"/>
    <x v="175"/>
    <x v="141"/>
    <n v="25.60867"/>
    <n v="2345"/>
    <n v="57"/>
    <n v="273"/>
    <n v="4.7894736842105265"/>
    <x v="0"/>
    <x v="0"/>
    <x v="0"/>
    <x v="1"/>
    <x v="25"/>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Bhamo"/>
    <s v="MMR001D003"/>
    <x v="5"/>
    <s v="MMR001013"/>
    <s v="Maing Khaung"/>
    <s v="MMR001013007"/>
    <s v="Maing Khaung"/>
    <n v="167301"/>
    <x v="180"/>
    <x v="183"/>
    <x v="143"/>
    <n v="23.972453000000002"/>
    <n v="466"/>
    <n v="433"/>
    <n v="1857"/>
    <n v="4.2886836027713624"/>
    <x v="0"/>
    <x v="0"/>
    <x v="0"/>
    <x v="1"/>
    <x v="26"/>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1"/>
    <x v="184"/>
    <x v="31"/>
    <m/>
    <m/>
    <n v="0"/>
    <n v="0"/>
    <s v="NA"/>
    <x v="0"/>
    <x v="0"/>
    <x v="0"/>
    <x v="1"/>
    <x v="11"/>
    <x v="4"/>
    <s v="IP"/>
    <d v="2014-01-13T00:00:00"/>
    <s v="Close (Source: OCHA)"/>
    <s v=""/>
    <s v=""/>
    <s v=""/>
  </r>
  <r>
    <x v="1"/>
    <x v="0"/>
    <s v="MMR001"/>
    <s v="Puta-O"/>
    <s v="MMR001D004"/>
    <x v="8"/>
    <s v="MMR001014"/>
    <s v="Lang Taung"/>
    <s v="MMR001014009"/>
    <s v="Nawng Hkaing"/>
    <n v="167567"/>
    <x v="182"/>
    <x v="185"/>
    <x v="144"/>
    <n v="27.270199999999999"/>
    <n v="372.9"/>
    <n v="0"/>
    <n v="0"/>
    <s v="NA"/>
    <x v="0"/>
    <x v="0"/>
    <x v="0"/>
    <x v="1"/>
    <x v="20"/>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7"/>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Bhamo"/>
    <s v="MMR001D003"/>
    <x v="5"/>
    <s v="MMR001013"/>
    <s v="Maing Khaung"/>
    <s v="MMR001013007"/>
    <s v="Maing Khaung"/>
    <n v="167301"/>
    <x v="185"/>
    <x v="188"/>
    <x v="146"/>
    <n v="23.976571"/>
    <n v="478"/>
    <n v="169"/>
    <n v="804"/>
    <n v="4.7573964497041423"/>
    <x v="0"/>
    <x v="0"/>
    <x v="0"/>
    <x v="1"/>
    <x v="26"/>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7"/>
    <x v="190"/>
    <x v="148"/>
    <n v="25.645959999999999"/>
    <n v="1945"/>
    <n v="28"/>
    <n v="165"/>
    <n v="5.8928571428571432"/>
    <x v="0"/>
    <x v="0"/>
    <x v="0"/>
    <x v="0"/>
    <x v="25"/>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89"/>
    <x v="192"/>
    <x v="150"/>
    <n v="27.248964999999998"/>
    <n v="398"/>
    <n v="10"/>
    <n v="56"/>
    <n v="5.6"/>
    <x v="0"/>
    <x v="0"/>
    <x v="3"/>
    <x v="1"/>
    <x v="20"/>
    <x v="1"/>
    <s v="IP"/>
    <d v="2014-04-07T00:00:00"/>
    <s v="Not updated due to lack of access._x000a_New host families."/>
    <s v="Machanbaw Town"/>
    <n v="4.789460146835963"/>
    <n v="1"/>
  </r>
  <r>
    <x v="0"/>
    <x v="0"/>
    <s v="MMR001"/>
    <s v="Bhamo"/>
    <s v="MMR001D003"/>
    <x v="5"/>
    <s v="MMR001013"/>
    <s v="Man Wein"/>
    <s v="MMR001013021"/>
    <s v="Man Wein"/>
    <n v="167405"/>
    <x v="190"/>
    <x v="193"/>
    <x v="151"/>
    <n v="23.833477999999999"/>
    <n v="925"/>
    <n v="151"/>
    <n v="729"/>
    <n v="4.8278145695364234"/>
    <x v="0"/>
    <x v="0"/>
    <x v="0"/>
    <x v="1"/>
    <x v="28"/>
    <x v="5"/>
    <s v="IP"/>
    <d v="2018-08-31T00:00:00"/>
    <s v="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1"/>
    <x v="194"/>
    <x v="75"/>
    <n v="25.611160000000002"/>
    <m/>
    <n v="106"/>
    <n v="514"/>
    <n v="4.8490566037735849"/>
    <x v="0"/>
    <x v="0"/>
    <x v="0"/>
    <x v="0"/>
    <x v="1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2"/>
    <x v="195"/>
    <x v="152"/>
    <n v="23.829599000000002"/>
    <m/>
    <n v="155"/>
    <n v="681"/>
    <n v="4.3935483870967742"/>
    <x v="0"/>
    <x v="0"/>
    <x v="0"/>
    <x v="1"/>
    <x v="29"/>
    <x v="0"/>
    <s v="IP"/>
    <d v="2018-08-31T00:00:00"/>
    <s v="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3"/>
    <x v="196"/>
    <x v="153"/>
    <n v="25.806999999999999"/>
    <m/>
    <m/>
    <m/>
    <s v="NA"/>
    <x v="0"/>
    <x v="0"/>
    <x v="0"/>
    <x v="1"/>
    <x v="30"/>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4"/>
    <x v="197"/>
    <x v="154"/>
    <n v="24.996279999999999"/>
    <m/>
    <n v="27"/>
    <n v="121"/>
    <n v="4.4814814814814818"/>
    <x v="0"/>
    <x v="0"/>
    <x v="3"/>
    <x v="0"/>
    <x v="22"/>
    <x v="1"/>
    <s v="IP"/>
    <d v="2017-04-24T00:00:00"/>
    <s v="24/Apr/2017: Population update. Data source: CCCM unit_x000a_19-Mar-2015 (WFP has been providing this host families since 2013.)"/>
    <s v="Hopin Town"/>
    <n v="0"/>
    <n v="1"/>
  </r>
  <r>
    <x v="0"/>
    <x v="0"/>
    <s v="MMR001"/>
    <s v="Mohnyin"/>
    <s v="MMR001D002"/>
    <x v="10"/>
    <s v="MMR001007"/>
    <s v="Mohnyin Town"/>
    <s v="MMR001007701"/>
    <m/>
    <m/>
    <x v="195"/>
    <x v="198"/>
    <x v="155"/>
    <n v="24.764959999999999"/>
    <m/>
    <n v="14"/>
    <n v="63"/>
    <n v="4.5"/>
    <x v="0"/>
    <x v="0"/>
    <x v="3"/>
    <x v="0"/>
    <x v="22"/>
    <x v="1"/>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6"/>
    <x v="199"/>
    <x v="156"/>
    <n v="27.337499999999999"/>
    <m/>
    <n v="61"/>
    <n v="281"/>
    <n v="4.6065573770491799"/>
    <x v="0"/>
    <x v="0"/>
    <x v="0"/>
    <x v="0"/>
    <x v="31"/>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7"/>
    <x v="200"/>
    <x v="157"/>
    <n v="25.225000000000001"/>
    <m/>
    <m/>
    <m/>
    <s v="NA"/>
    <x v="0"/>
    <x v="0"/>
    <x v="3"/>
    <x v="1"/>
    <x v="32"/>
    <x v="4"/>
    <s v="RRD"/>
    <d v="2017-07-11T00:00:00"/>
    <s v="11/Jul/2017: Closed camp. No update information._x000a_25-Jun-2015 (New host families. Source: RRD)"/>
    <s v="Mogaung Town"/>
    <n v="5"/>
    <n v="2"/>
  </r>
  <r>
    <x v="0"/>
    <x v="0"/>
    <s v="MMR001"/>
    <s v="Mohnyin"/>
    <s v="MMR001D002"/>
    <x v="9"/>
    <s v="MMR001008"/>
    <s v="Sar Hmaw"/>
    <s v="MMR001008018"/>
    <s v="Sar Hmaw"/>
    <n v="166724"/>
    <x v="198"/>
    <x v="201"/>
    <x v="157"/>
    <n v="25.225000000000001"/>
    <m/>
    <n v="27"/>
    <n v="133"/>
    <n v="4.9259259259259256"/>
    <x v="0"/>
    <x v="0"/>
    <x v="0"/>
    <x v="1"/>
    <x v="3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199"/>
    <x v="202"/>
    <x v="70"/>
    <n v="25.299679999999999"/>
    <m/>
    <n v="6"/>
    <n v="31"/>
    <n v="5.166666666666667"/>
    <x v="0"/>
    <x v="0"/>
    <x v="1"/>
    <x v="0"/>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0"/>
    <x v="203"/>
    <x v="158"/>
    <n v="26.569633"/>
    <m/>
    <n v="123"/>
    <n v="637"/>
    <n v="5.178861788617886"/>
    <x v="1"/>
    <x v="0"/>
    <x v="0"/>
    <x v="1"/>
    <x v="3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1"/>
    <x v="204"/>
    <x v="159"/>
    <n v="26.548506"/>
    <m/>
    <n v="63"/>
    <n v="332"/>
    <n v="5.2698412698412698"/>
    <x v="1"/>
    <x v="0"/>
    <x v="0"/>
    <x v="1"/>
    <x v="3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2"/>
    <x v="205"/>
    <x v="160"/>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61"/>
    <n v="23.867000000000001"/>
    <m/>
    <m/>
    <m/>
    <s v="NA"/>
    <x v="1"/>
    <x v="0"/>
    <x v="0"/>
    <x v="2"/>
    <x v="11"/>
    <x v="4"/>
    <m/>
    <d v="2014-03-03T00:00:00"/>
    <s v="Closed. Same with (Namhkan St. Thomas 1)"/>
    <s v=""/>
    <s v=""/>
    <s v=""/>
  </r>
  <r>
    <x v="1"/>
    <x v="0"/>
    <s v="MMR001"/>
    <s v="Myitkyina"/>
    <s v="MMR001D001"/>
    <x v="11"/>
    <s v="MMR001004"/>
    <s v="Wa Ra Zut"/>
    <s v="MMR001009009"/>
    <s v="Wa Ra Zut"/>
    <n v="166818"/>
    <x v="204"/>
    <x v="207"/>
    <x v="153"/>
    <n v="25.806999999999999"/>
    <m/>
    <m/>
    <m/>
    <s v="NA"/>
    <x v="0"/>
    <x v="0"/>
    <x v="0"/>
    <x v="1"/>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5"/>
    <x v="208"/>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6"/>
    <x v="209"/>
    <x v="162"/>
    <n v="25.920006000000001"/>
    <m/>
    <n v="31"/>
    <n v="129"/>
    <n v="4.161290322580645"/>
    <x v="0"/>
    <x v="0"/>
    <x v="0"/>
    <x v="1"/>
    <x v="35"/>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7"/>
    <x v="210"/>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11"/>
    <x v="162"/>
    <n v="25.920006000000001"/>
    <m/>
    <n v="4"/>
    <n v="11"/>
    <n v="2.75"/>
    <x v="0"/>
    <x v="0"/>
    <x v="1"/>
    <x v="1"/>
    <x v="35"/>
    <x v="1"/>
    <s v="IP"/>
    <d v="2018-06-30T00:00:00"/>
    <s v="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09"/>
    <x v="212"/>
    <x v="162"/>
    <n v="25.920006000000001"/>
    <m/>
    <n v="22"/>
    <n v="95"/>
    <n v="4.3181818181818183"/>
    <x v="0"/>
    <x v="0"/>
    <x v="0"/>
    <x v="1"/>
    <x v="35"/>
    <x v="3"/>
    <s v="IP"/>
    <d v="2018-08-31T00:00:00"/>
    <s v="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0"/>
    <x v="213"/>
    <x v="163"/>
    <n v="25.305008999999998"/>
    <m/>
    <n v="62"/>
    <n v="410"/>
    <n v="6.612903225806452"/>
    <x v="0"/>
    <x v="0"/>
    <x v="1"/>
    <x v="1"/>
    <x v="11"/>
    <x v="1"/>
    <s v="WV"/>
    <d v="2017-06-02T00:00:00"/>
    <s v="2/June/2017: New added camp. Data source: WASH cluster, WV (World Vision)."/>
    <s v="Waingmaw Town"/>
    <n v="0"/>
    <n v="1"/>
  </r>
  <r>
    <x v="0"/>
    <x v="0"/>
    <s v="MMR001"/>
    <s v="Myitkyina"/>
    <s v="MMR001D001"/>
    <x v="1"/>
    <s v="MMR001002"/>
    <s v="Sa Ma"/>
    <s v="MMR001002031"/>
    <s v="Par Jaung"/>
    <n v="165792"/>
    <x v="211"/>
    <x v="214"/>
    <x v="31"/>
    <m/>
    <m/>
    <n v="405"/>
    <n v="1818"/>
    <n v="4.4888888888888889"/>
    <x v="1"/>
    <x v="0"/>
    <x v="0"/>
    <x v="1"/>
    <x v="36"/>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2"/>
    <x v="215"/>
    <x v="31"/>
    <m/>
    <m/>
    <n v="124"/>
    <n v="662"/>
    <n v="5.338709677419355"/>
    <x v="0"/>
    <x v="0"/>
    <x v="0"/>
    <x v="1"/>
    <x v="3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3"/>
    <x v="216"/>
    <x v="31"/>
    <m/>
    <m/>
    <n v="139"/>
    <n v="572"/>
    <n v="4.1151079136690649"/>
    <x v="0"/>
    <x v="0"/>
    <x v="0"/>
    <x v="0"/>
    <x v="38"/>
    <x v="3"/>
    <s v="IP"/>
    <d v="2018-08-31T00:00:00"/>
    <s v="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0"/>
    <x v="0"/>
    <s v="MMR001"/>
    <s v="Myitkyina"/>
    <s v="MMR001D001"/>
    <x v="15"/>
    <s v="MMR001004"/>
    <s v="Tanai Town"/>
    <s v="MMR001004701"/>
    <m/>
    <m/>
    <x v="214"/>
    <x v="217"/>
    <x v="31"/>
    <m/>
    <m/>
    <n v="42"/>
    <n v="190"/>
    <n v="4.5238095238095237"/>
    <x v="0"/>
    <x v="0"/>
    <x v="1"/>
    <x v="0"/>
    <x v="38"/>
    <x v="1"/>
    <s v="IP"/>
    <s v="20-12-17"/>
    <m/>
    <s v="Tanai Town"/>
    <n v="0"/>
    <n v="1"/>
  </r>
  <r>
    <x v="0"/>
    <x v="0"/>
    <s v="MMR001"/>
    <s v="Myitkyina"/>
    <s v="MMR001D001"/>
    <x v="15"/>
    <s v="MMR001004"/>
    <s v="Tanai Town"/>
    <s v="MMR001004701"/>
    <m/>
    <m/>
    <x v="215"/>
    <x v="218"/>
    <x v="31"/>
    <m/>
    <m/>
    <n v="101"/>
    <n v="380"/>
    <n v="3.7623762376237622"/>
    <x v="0"/>
    <x v="0"/>
    <x v="0"/>
    <x v="0"/>
    <x v="38"/>
    <x v="0"/>
    <s v="IP"/>
    <d v="2018-08-31T00:00:00"/>
    <s v="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0"/>
    <x v="0"/>
    <s v="MMR001"/>
    <s v="Myitkyina"/>
    <s v="MMR001D001"/>
    <x v="15"/>
    <s v="MMR001004"/>
    <s v="Tanai Town"/>
    <s v="MMR001004701"/>
    <m/>
    <m/>
    <x v="216"/>
    <x v="219"/>
    <x v="31"/>
    <m/>
    <m/>
    <n v="34"/>
    <n v="143"/>
    <n v="4.2058823529411766"/>
    <x v="0"/>
    <x v="0"/>
    <x v="0"/>
    <x v="0"/>
    <x v="38"/>
    <x v="3"/>
    <s v="IP"/>
    <d v="2018-08-31T00:00:00"/>
    <s v="31/August/2018: Population update. Data source: KMSS_Myitkyina_x000a_31/July /2018: Population update. Data source: KMSS M"/>
    <s v="Tanai Town"/>
    <n v="0"/>
    <n v="1"/>
  </r>
  <r>
    <x v="1"/>
    <x v="0"/>
    <s v="MMR001"/>
    <s v="Mohnyin"/>
    <s v="MMR001D002"/>
    <x v="9"/>
    <s v="MMR001008"/>
    <s v="Nammatee Town"/>
    <s v="MMR001008702"/>
    <s v="Myo Hla Ward"/>
    <s v="MMR001008702503"/>
    <x v="217"/>
    <x v="220"/>
    <x v="31"/>
    <m/>
    <m/>
    <n v="245"/>
    <n v="1084"/>
    <n v="4.4244897959183671"/>
    <x v="0"/>
    <x v="0"/>
    <x v="1"/>
    <x v="0"/>
    <x v="39"/>
    <x v="4"/>
    <s v="IP"/>
    <s v="31-08-17"/>
    <s v="IDPs returned"/>
    <s v=""/>
    <s v=""/>
    <s v=""/>
  </r>
  <r>
    <x v="0"/>
    <x v="0"/>
    <s v="MMR001"/>
    <s v="Myitkyina"/>
    <s v="MMR001D001"/>
    <x v="0"/>
    <s v="MMR001001"/>
    <s v="Myitkyina Town"/>
    <m/>
    <s v="Ka Bu Dam"/>
    <m/>
    <x v="218"/>
    <x v="221"/>
    <x v="31"/>
    <m/>
    <m/>
    <n v="14"/>
    <n v="38"/>
    <n v="2.7142857142857144"/>
    <x v="0"/>
    <x v="0"/>
    <x v="0"/>
    <x v="0"/>
    <x v="40"/>
    <x v="3"/>
    <s v="IP"/>
    <d v="2018-08-31T00:00:00"/>
    <s v="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Myitkyina"/>
    <s v="MMR001D001"/>
    <x v="0"/>
    <s v="MMR001001"/>
    <s v="Myitkyina Town"/>
    <m/>
    <s v="Pan Ma Ti Ward"/>
    <s v="MMR001001701528"/>
    <x v="219"/>
    <x v="222"/>
    <x v="31"/>
    <m/>
    <m/>
    <n v="25"/>
    <n v="69"/>
    <n v="2.76"/>
    <x v="0"/>
    <x v="0"/>
    <x v="1"/>
    <x v="0"/>
    <x v="41"/>
    <x v="1"/>
    <s v="IP"/>
    <s v="31-08-17"/>
    <s v="New displacement from Ka Sung"/>
    <s v=""/>
    <s v=""/>
    <s v=""/>
  </r>
  <r>
    <x v="0"/>
    <x v="0"/>
    <s v="MMR001"/>
    <s v="Waignmaw"/>
    <s v="MMR001D001"/>
    <x v="1"/>
    <s v="MMR001002"/>
    <s v="Sadung Town"/>
    <s v="MMR001002702"/>
    <s v="No (1) Ward"/>
    <s v="MMR001002702501"/>
    <x v="220"/>
    <x v="223"/>
    <x v="31"/>
    <m/>
    <m/>
    <n v="80"/>
    <n v="449"/>
    <n v="5.6124999999999998"/>
    <x v="0"/>
    <x v="0"/>
    <x v="1"/>
    <x v="1"/>
    <x v="42"/>
    <x v="1"/>
    <s v="IP"/>
    <d v="2017-10-31T00:00:00"/>
    <s v="UNHCR/DRC joint mission"/>
    <s v="Sadung Town"/>
    <n v="0"/>
    <n v="1"/>
  </r>
  <r>
    <x v="0"/>
    <x v="0"/>
    <s v="MMR001"/>
    <s v="Mohnyin"/>
    <s v="MMR001D002"/>
    <x v="9"/>
    <s v="MMR001008"/>
    <s v="Nammatee Town"/>
    <s v="MMR001008702"/>
    <s v="Myo Oo Ward"/>
    <s v="MMR001008702502"/>
    <x v="221"/>
    <x v="224"/>
    <x v="164"/>
    <n v="25.370330525559201"/>
    <m/>
    <n v="45"/>
    <n v="238"/>
    <n v="5.2888888888888888"/>
    <x v="0"/>
    <x v="0"/>
    <x v="0"/>
    <x v="0"/>
    <x v="43"/>
    <x v="3"/>
    <s v="IP"/>
    <d v="2018-08-31T00:00:00"/>
    <s v="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22"/>
    <x v="225"/>
    <x v="165"/>
    <n v="25.383465999999999"/>
    <m/>
    <n v="80"/>
    <n v="399"/>
    <n v="4.9874999999999998"/>
    <x v="0"/>
    <x v="0"/>
    <x v="0"/>
    <x v="0"/>
    <x v="43"/>
    <x v="3"/>
    <s v="IP"/>
    <d v="2018-08-31T00:00:00"/>
    <s v="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23"/>
    <x v="226"/>
    <x v="166"/>
    <n v="25.379014999999999"/>
    <m/>
    <n v="111"/>
    <n v="484"/>
    <n v="4.3603603603603602"/>
    <x v="0"/>
    <x v="0"/>
    <x v="0"/>
    <x v="0"/>
    <x v="43"/>
    <x v="0"/>
    <s v="IP"/>
    <d v="2018-08-31T00:00:00"/>
    <s v="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24"/>
    <x v="227"/>
    <x v="31"/>
    <m/>
    <m/>
    <n v="34"/>
    <n v="116"/>
    <n v="3.4117647058823528"/>
    <x v="0"/>
    <x v="0"/>
    <x v="1"/>
    <x v="0"/>
    <x v="43"/>
    <x v="1"/>
    <s v="IP"/>
    <d v="2018-07-31T00:00:00"/>
    <s v="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25"/>
    <x v="228"/>
    <x v="167"/>
    <n v="25.480989999999998"/>
    <m/>
    <n v="211"/>
    <n v="972"/>
    <n v="4.6066350710900474"/>
    <x v="0"/>
    <x v="0"/>
    <x v="0"/>
    <x v="0"/>
    <x v="43"/>
    <x v="0"/>
    <s v="IP"/>
    <d v="2018-08-31T00:00:00"/>
    <s v="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yitkyina"/>
    <s v="MMR001D001"/>
    <x v="0"/>
    <s v="MMR001001"/>
    <s v="Tang Hpre"/>
    <s v="MMR001001010"/>
    <s v="Tang Hpre"/>
    <n v="165704"/>
    <x v="226"/>
    <x v="229"/>
    <x v="168"/>
    <n v="25.717300000000002"/>
    <m/>
    <n v="229"/>
    <n v="1247"/>
    <n v="5.4454148471615724"/>
    <x v="0"/>
    <x v="0"/>
    <x v="1"/>
    <x v="1"/>
    <x v="43"/>
    <x v="1"/>
    <s v="IP"/>
    <d v="2018-08-31T00:00:00"/>
    <s v="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27"/>
    <x v="230"/>
    <x v="31"/>
    <m/>
    <m/>
    <n v="141"/>
    <n v="597"/>
    <n v="4.2340425531914896"/>
    <x v="0"/>
    <x v="0"/>
    <x v="0"/>
    <x v="1"/>
    <x v="44"/>
    <x v="0"/>
    <s v="IP"/>
    <d v="2018-08-31T00:00:00"/>
    <s v="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28"/>
    <x v="231"/>
    <x v="31"/>
    <m/>
    <m/>
    <n v="8"/>
    <n v="32"/>
    <n v="4"/>
    <x v="0"/>
    <x v="0"/>
    <x v="1"/>
    <x v="1"/>
    <x v="45"/>
    <x v="1"/>
    <m/>
    <d v="2018-07-31T00:00:00"/>
    <s v="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29"/>
    <x v="232"/>
    <x v="31"/>
    <m/>
    <m/>
    <n v="46"/>
    <n v="203"/>
    <n v="4.4130434782608692"/>
    <x v="0"/>
    <x v="0"/>
    <x v="0"/>
    <x v="1"/>
    <x v="11"/>
    <x v="3"/>
    <m/>
    <d v="2018-08-31T00:00:00"/>
    <s v="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30"/>
    <x v="233"/>
    <x v="31"/>
    <m/>
    <m/>
    <n v="79"/>
    <n v="303"/>
    <n v="3.8354430379746836"/>
    <x v="0"/>
    <x v="0"/>
    <x v="0"/>
    <x v="0"/>
    <x v="45"/>
    <x v="0"/>
    <s v="IP"/>
    <d v="2018-08-31T00:00:00"/>
    <s v="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31"/>
    <x v="234"/>
    <x v="31"/>
    <m/>
    <m/>
    <n v="15"/>
    <n v="59"/>
    <n v="3.9333333333333331"/>
    <x v="0"/>
    <x v="0"/>
    <x v="0"/>
    <x v="0"/>
    <x v="11"/>
    <x v="3"/>
    <m/>
    <d v="2018-08-31T00:00:00"/>
    <s v="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32"/>
    <x v="235"/>
    <x v="107"/>
    <n v="25.493819999999999"/>
    <m/>
    <n v="32"/>
    <n v="161"/>
    <n v="5.03125"/>
    <x v="0"/>
    <x v="0"/>
    <x v="0"/>
    <x v="0"/>
    <x v="46"/>
    <x v="3"/>
    <m/>
    <d v="2018-08-31T00:00:00"/>
    <s v="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33"/>
    <x v="236"/>
    <x v="169"/>
    <n v="23.828520000000001"/>
    <n v="740"/>
    <n v="67"/>
    <n v="343"/>
    <n v="5.1194029850746272"/>
    <x v="0"/>
    <x v="0"/>
    <x v="0"/>
    <x v="0"/>
    <x v="13"/>
    <x v="0"/>
    <s v="IP"/>
    <d v="2018-08-31T00:00:00"/>
    <s v="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6"/>
    <s v="MMR015010"/>
    <s v="Nawng Hkam"/>
    <s v="MMR015010010"/>
    <s v="Nawng Hkam"/>
    <n v="208353"/>
    <x v="235"/>
    <x v="238"/>
    <x v="170"/>
    <n v="23.828150000000001"/>
    <n v="751.8"/>
    <n v="42"/>
    <n v="215"/>
    <n v="5.1190476190476186"/>
    <x v="0"/>
    <x v="0"/>
    <x v="0"/>
    <x v="0"/>
    <x v="13"/>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36"/>
    <x v="239"/>
    <x v="171"/>
    <n v="23.821380000000001"/>
    <n v="811.6"/>
    <n v="76"/>
    <n v="373"/>
    <n v="4.9078947368421053"/>
    <x v="0"/>
    <x v="0"/>
    <x v="0"/>
    <x v="0"/>
    <x v="47"/>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37"/>
    <x v="240"/>
    <x v="172"/>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38"/>
    <x v="241"/>
    <x v="173"/>
    <n v="23.400155999999999"/>
    <n v="3109"/>
    <n v="41"/>
    <n v="231"/>
    <n v="5.6341463414634143"/>
    <x v="0"/>
    <x v="0"/>
    <x v="0"/>
    <x v="1"/>
    <x v="2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39"/>
    <x v="242"/>
    <x v="174"/>
    <n v="23.694130000000001"/>
    <n v="1135.7"/>
    <n v="57"/>
    <n v="267"/>
    <n v="4.6842105263157894"/>
    <x v="0"/>
    <x v="0"/>
    <x v="0"/>
    <x v="1"/>
    <x v="1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40"/>
    <x v="243"/>
    <x v="175"/>
    <n v="23.250678000000001"/>
    <n v="1250"/>
    <n v="33"/>
    <n v="176"/>
    <n v="5.333333333333333"/>
    <x v="0"/>
    <x v="0"/>
    <x v="0"/>
    <x v="0"/>
    <x v="6"/>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41"/>
    <x v="244"/>
    <x v="176"/>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42"/>
    <x v="245"/>
    <x v="177"/>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43"/>
    <x v="246"/>
    <x v="178"/>
    <n v="24.101320999999999"/>
    <n v="2979"/>
    <m/>
    <m/>
    <s v="NA"/>
    <x v="1"/>
    <x v="0"/>
    <x v="0"/>
    <x v="0"/>
    <x v="25"/>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44"/>
    <x v="247"/>
    <x v="179"/>
    <n v="23.094290000000001"/>
    <n v="534.29999999999995"/>
    <n v="40"/>
    <n v="170"/>
    <n v="4.25"/>
    <x v="0"/>
    <x v="0"/>
    <x v="0"/>
    <x v="0"/>
    <x v="6"/>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45"/>
    <x v="248"/>
    <x v="180"/>
    <n v="23.4008"/>
    <n v="0"/>
    <m/>
    <m/>
    <s v="NA"/>
    <x v="0"/>
    <x v="0"/>
    <x v="0"/>
    <x v="1"/>
    <x v="22"/>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46"/>
    <x v="249"/>
    <x v="181"/>
    <n v="23.450914000000001"/>
    <n v="4336"/>
    <n v="53"/>
    <n v="256"/>
    <n v="4.8301886792452828"/>
    <x v="0"/>
    <x v="0"/>
    <x v="0"/>
    <x v="0"/>
    <x v="15"/>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47"/>
    <x v="250"/>
    <x v="182"/>
    <n v="23.460349999999998"/>
    <n v="4430"/>
    <n v="28"/>
    <n v="132"/>
    <n v="4.7142857142857144"/>
    <x v="0"/>
    <x v="0"/>
    <x v="0"/>
    <x v="0"/>
    <x v="15"/>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48"/>
    <x v="251"/>
    <x v="183"/>
    <n v="23.588920000000002"/>
    <n v="1012.5"/>
    <n v="76"/>
    <n v="338"/>
    <n v="4.4473684210526319"/>
    <x v="0"/>
    <x v="0"/>
    <x v="0"/>
    <x v="1"/>
    <x v="2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49"/>
    <x v="252"/>
    <x v="184"/>
    <n v="23.391741"/>
    <n v="0"/>
    <n v="0"/>
    <n v="0"/>
    <s v="NA"/>
    <x v="0"/>
    <x v="0"/>
    <x v="0"/>
    <x v="1"/>
    <x v="23"/>
    <x v="4"/>
    <s v="IP"/>
    <d v="2014-03-03T00:00:00"/>
    <s v="Close. Same with Kutkai Down Town RC. Source UNHCR Bhamo"/>
    <s v=""/>
    <s v=""/>
    <s v=""/>
  </r>
  <r>
    <x v="0"/>
    <x v="1"/>
    <s v="MMR015"/>
    <s v="Muse"/>
    <s v="MMR015D002"/>
    <x v="18"/>
    <s v="MMR015011"/>
    <s v="Kar Lai Kone Hsar"/>
    <s v="MMR015011005"/>
    <s v="Kar Lai"/>
    <n v="208557"/>
    <x v="250"/>
    <x v="253"/>
    <x v="185"/>
    <n v="23.38503"/>
    <n v="0"/>
    <n v="204"/>
    <n v="1023"/>
    <n v="5.0147058823529411"/>
    <x v="0"/>
    <x v="0"/>
    <x v="0"/>
    <x v="1"/>
    <x v="15"/>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51"/>
    <x v="254"/>
    <x v="186"/>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7"/>
    <n v="23.82152"/>
    <n v="813.4"/>
    <n v="0"/>
    <n v="0"/>
    <s v="NA"/>
    <x v="1"/>
    <x v="0"/>
    <x v="0"/>
    <x v="2"/>
    <x v="11"/>
    <x v="5"/>
    <s v="IP"/>
    <d v="2014-03-14T00:00:00"/>
    <s v="Closed. Source Cluster Coordinator"/>
    <s v=""/>
    <s v=""/>
    <s v=""/>
  </r>
  <r>
    <x v="1"/>
    <x v="1"/>
    <s v="MMR015"/>
    <s v="Muse"/>
    <s v="MMR015D002"/>
    <x v="17"/>
    <s v="MMR015009"/>
    <s v="Man Nway (Pang Hseng (Kyu Koke)) Sub-township"/>
    <s v="MMR015009036"/>
    <s v="Nam Hkawng Khu"/>
    <n v="208182"/>
    <x v="253"/>
    <x v="256"/>
    <x v="188"/>
    <n v="23.933098999999999"/>
    <n v="0"/>
    <n v="9"/>
    <n v="44"/>
    <n v="4.8888888888888893"/>
    <x v="1"/>
    <x v="0"/>
    <x v="1"/>
    <x v="1"/>
    <x v="23"/>
    <x v="4"/>
    <s v="IP"/>
    <d v="2017-06-02T00:00:00"/>
    <s v="Closed as of 1st of September 2017"/>
    <s v=""/>
    <s v=""/>
    <s v=""/>
  </r>
  <r>
    <x v="1"/>
    <x v="1"/>
    <s v="MMR015"/>
    <s v="Lashio"/>
    <s v="MMR015D001"/>
    <x v="21"/>
    <s v="MMR015002"/>
    <s v="Nar Tee"/>
    <s v="MMR015002029"/>
    <s v="Nar Tee"/>
    <n v="206422"/>
    <x v="254"/>
    <x v="257"/>
    <x v="189"/>
    <n v="23.372409999999999"/>
    <n v="617.6"/>
    <n v="67"/>
    <n v="392"/>
    <n v="5.8507462686567164"/>
    <x v="1"/>
    <x v="0"/>
    <x v="3"/>
    <x v="1"/>
    <x v="24"/>
    <x v="1"/>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Kyaukme"/>
    <s v="MMR015D003"/>
    <x v="19"/>
    <s v="MMR015019"/>
    <s v="Urban"/>
    <s v="MMR015019701"/>
    <s v="No (2) Ward"/>
    <s v="MMR015019701503"/>
    <x v="255"/>
    <x v="258"/>
    <x v="190"/>
    <n v="23.24661"/>
    <n v="87.3"/>
    <n v="29"/>
    <n v="174"/>
    <n v="6"/>
    <x v="0"/>
    <x v="0"/>
    <x v="0"/>
    <x v="0"/>
    <x v="8"/>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56"/>
    <x v="259"/>
    <x v="191"/>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57"/>
    <x v="260"/>
    <x v="31"/>
    <m/>
    <m/>
    <n v="0"/>
    <n v="0"/>
    <s v="NA"/>
    <x v="1"/>
    <x v="0"/>
    <x v="0"/>
    <x v="1"/>
    <x v="11"/>
    <x v="4"/>
    <s v="IP"/>
    <d v="2013-01-15T00:00:00"/>
    <s v="Close: Duplicate Camp (MMR015CMP020 - Zup Aung Camp) 21-Jan-14"/>
    <s v=""/>
    <s v=""/>
    <s v=""/>
  </r>
  <r>
    <x v="1"/>
    <x v="1"/>
    <s v="MMR015"/>
    <s v="Muse"/>
    <s v="MMR015D002"/>
    <x v="18"/>
    <s v="MMR015011"/>
    <s v="Galeng"/>
    <m/>
    <s v="Galeng"/>
    <m/>
    <x v="258"/>
    <x v="261"/>
    <x v="31"/>
    <m/>
    <m/>
    <n v="0"/>
    <n v="0"/>
    <s v="NA"/>
    <x v="1"/>
    <x v="0"/>
    <x v="0"/>
    <x v="1"/>
    <x v="11"/>
    <x v="4"/>
    <s v="IP"/>
    <d v="2013-01-15T00:00:00"/>
    <s v="Close: Duplicate Camp (MMR015CMP015 - Kone Khem Camp) 21-Jan-14"/>
    <s v=""/>
    <s v=""/>
    <s v=""/>
  </r>
  <r>
    <x v="0"/>
    <x v="1"/>
    <s v="MMR015"/>
    <s v="Muse"/>
    <s v="MMR015D002"/>
    <x v="17"/>
    <s v="MMR015009"/>
    <s v="Muse Town"/>
    <s v="MMR015009701"/>
    <s v="Ho Mun Ward"/>
    <s v="MMR015009701504"/>
    <x v="259"/>
    <x v="262"/>
    <x v="192"/>
    <n v="24.006319999999999"/>
    <n v="812.7"/>
    <n v="41"/>
    <n v="190"/>
    <n v="4.6341463414634143"/>
    <x v="0"/>
    <x v="0"/>
    <x v="0"/>
    <x v="0"/>
    <x v="48"/>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60"/>
    <x v="263"/>
    <x v="193"/>
    <n v="23.841646999999998"/>
    <n v="798"/>
    <n v="38"/>
    <n v="195"/>
    <n v="5.1315789473684212"/>
    <x v="0"/>
    <x v="0"/>
    <x v="0"/>
    <x v="0"/>
    <x v="49"/>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61"/>
    <x v="264"/>
    <x v="194"/>
    <n v="23.838190000000001"/>
    <n v="829.8"/>
    <n v="115"/>
    <n v="547"/>
    <n v="4.7565217391304344"/>
    <x v="0"/>
    <x v="0"/>
    <x v="0"/>
    <x v="0"/>
    <x v="50"/>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62"/>
    <x v="265"/>
    <x v="195"/>
    <n v="24.006789000000001"/>
    <n v="814"/>
    <n v="18"/>
    <n v="86"/>
    <n v="4.7777777777777777"/>
    <x v="0"/>
    <x v="0"/>
    <x v="0"/>
    <x v="0"/>
    <x v="51"/>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63"/>
    <x v="266"/>
    <x v="196"/>
    <n v="23.463000000000001"/>
    <m/>
    <n v="22"/>
    <n v="95"/>
    <n v="4.3181818181818183"/>
    <x v="0"/>
    <x v="0"/>
    <x v="0"/>
    <x v="1"/>
    <x v="23"/>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64"/>
    <x v="267"/>
    <x v="197"/>
    <n v="23.354268999999999"/>
    <m/>
    <n v="32"/>
    <n v="170"/>
    <n v="5.3125"/>
    <x v="0"/>
    <x v="0"/>
    <x v="0"/>
    <x v="1"/>
    <x v="33"/>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65"/>
    <x v="268"/>
    <x v="198"/>
    <n v="23.447111"/>
    <m/>
    <n v="103"/>
    <n v="578"/>
    <n v="5.6116504854368934"/>
    <x v="0"/>
    <x v="0"/>
    <x v="1"/>
    <x v="1"/>
    <x v="33"/>
    <x v="1"/>
    <s v="IP"/>
    <d v="2018-07-31T00:00:00"/>
    <s v="31/July/2018: Data Source (UNHCR-LSH)_x000a_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66"/>
    <x v="269"/>
    <x v="199"/>
    <n v="23.591999999999999"/>
    <m/>
    <n v="82"/>
    <n v="424"/>
    <n v="5.1707317073170733"/>
    <x v="0"/>
    <x v="0"/>
    <x v="0"/>
    <x v="1"/>
    <x v="52"/>
    <x v="0"/>
    <s v="IP"/>
    <d v="2018-08-31T00:00:00"/>
    <s v="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67"/>
    <x v="270"/>
    <x v="200"/>
    <n v="22.765999999999998"/>
    <m/>
    <n v="17"/>
    <n v="83"/>
    <n v="4.882352941176471"/>
    <x v="0"/>
    <x v="0"/>
    <x v="1"/>
    <x v="1"/>
    <x v="34"/>
    <x v="1"/>
    <s v="IP"/>
    <d v="2018-07-31T00:00:00"/>
    <s v="31/July/2018: Data Source (UNHCR-LSH)_x000a_6/June/2018: Data source ( DRC- NSS)_x000a_25/Jul/2016: Added as new camp according to KBC data."/>
    <s v=""/>
    <s v=""/>
    <s v=""/>
  </r>
  <r>
    <x v="0"/>
    <x v="1"/>
    <s v="MMR015"/>
    <s v="Kyaukme"/>
    <s v="MMR015D003"/>
    <x v="19"/>
    <s v="MMR015019"/>
    <m/>
    <m/>
    <m/>
    <m/>
    <x v="268"/>
    <x v="271"/>
    <x v="31"/>
    <m/>
    <m/>
    <n v="36"/>
    <n v="188"/>
    <n v="5.2222222222222223"/>
    <x v="0"/>
    <x v="0"/>
    <x v="1"/>
    <x v="0"/>
    <x v="34"/>
    <x v="1"/>
    <s v="IP"/>
    <d v="2016-07-11T00:00:00"/>
    <s v="No agency has visited since Jul/2016, KBC to follow up._x000a_25/Jul/2016: Added as new camp according to KBC data. "/>
    <s v=""/>
    <s v=""/>
    <s v=""/>
  </r>
  <r>
    <x v="1"/>
    <x v="1"/>
    <s v="MMR015"/>
    <s v="Muse"/>
    <s v="MMR015D002"/>
    <x v="16"/>
    <s v="MMR015010"/>
    <s v="Mong Wee"/>
    <s v="MMR015010036"/>
    <s v="Mong Wee"/>
    <n v="208469"/>
    <x v="269"/>
    <x v="272"/>
    <x v="201"/>
    <n v="23.611999999999998"/>
    <m/>
    <m/>
    <m/>
    <s v="NA"/>
    <x v="0"/>
    <x v="0"/>
    <x v="0"/>
    <x v="1"/>
    <x v="53"/>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70"/>
    <x v="273"/>
    <x v="202"/>
    <n v="23.611999999999998"/>
    <m/>
    <n v="62"/>
    <n v="328"/>
    <n v="5.290322580645161"/>
    <x v="0"/>
    <x v="0"/>
    <x v="1"/>
    <x v="1"/>
    <x v="54"/>
    <x v="1"/>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71"/>
    <x v="274"/>
    <x v="203"/>
    <n v="23.682887999999998"/>
    <m/>
    <n v="41"/>
    <n v="137"/>
    <n v="3.3414634146341462"/>
    <x v="0"/>
    <x v="0"/>
    <x v="0"/>
    <x v="0"/>
    <x v="53"/>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72"/>
    <x v="275"/>
    <x v="204"/>
    <n v="23.353999999999999"/>
    <m/>
    <m/>
    <m/>
    <s v="NA"/>
    <x v="0"/>
    <x v="0"/>
    <x v="0"/>
    <x v="0"/>
    <x v="54"/>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73"/>
    <x v="276"/>
    <x v="205"/>
    <n v="23.850999999999999"/>
    <m/>
    <n v="30"/>
    <n v="170"/>
    <n v="5.666666666666667"/>
    <x v="0"/>
    <x v="0"/>
    <x v="1"/>
    <x v="1"/>
    <x v="53"/>
    <x v="1"/>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74"/>
    <x v="277"/>
    <x v="206"/>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20"/>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8"/>
    <x v="281"/>
    <x v="31"/>
    <m/>
    <m/>
    <n v="35"/>
    <n v="192"/>
    <n v="5.4857142857142858"/>
    <x v="0"/>
    <x v="0"/>
    <x v="0"/>
    <x v="0"/>
    <x v="11"/>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1"/>
    <x v="1"/>
    <s v="MMR015"/>
    <s v="Muse"/>
    <s v="MMR015D002"/>
    <x v="17"/>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17"/>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17"/>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17"/>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90"/>
    <x v="293"/>
    <x v="207"/>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91"/>
    <x v="294"/>
    <x v="182"/>
    <n v="23.460349999999998"/>
    <m/>
    <n v="37"/>
    <n v="161"/>
    <n v="4.3513513513513518"/>
    <x v="0"/>
    <x v="0"/>
    <x v="0"/>
    <x v="0"/>
    <x v="55"/>
    <x v="0"/>
    <s v="IP"/>
    <d v="2018-08-31T00:00:00"/>
    <s v="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92"/>
    <x v="295"/>
    <x v="31"/>
    <m/>
    <m/>
    <n v="24"/>
    <n v="84"/>
    <n v="3.5"/>
    <x v="0"/>
    <x v="0"/>
    <x v="1"/>
    <x v="1"/>
    <x v="11"/>
    <x v="1"/>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3"/>
    <x v="296"/>
    <x v="186"/>
    <n v="24.08738"/>
    <m/>
    <n v="153"/>
    <n v="782"/>
    <n v="5.1111111111111107"/>
    <x v="0"/>
    <x v="0"/>
    <x v="0"/>
    <x v="1"/>
    <x v="11"/>
    <x v="0"/>
    <s v="IP"/>
    <d v="2018-08-31T00:00:00"/>
    <s v="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4"/>
    <x v="297"/>
    <x v="206"/>
    <n v="23.099304"/>
    <m/>
    <n v="61"/>
    <n v="286"/>
    <n v="4.6885245901639347"/>
    <x v="0"/>
    <x v="0"/>
    <x v="0"/>
    <x v="0"/>
    <x v="56"/>
    <x v="6"/>
    <s v="IP"/>
    <d v="2018-08-31T00:00:00"/>
    <s v="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8"/>
    <m/>
    <s v="Pan Law"/>
    <m/>
    <s v="Pan Law"/>
    <m/>
    <x v="295"/>
    <x v="298"/>
    <x v="31"/>
    <m/>
    <m/>
    <n v="35"/>
    <n v="189"/>
    <n v="5.4"/>
    <x v="0"/>
    <x v="0"/>
    <x v="1"/>
    <x v="1"/>
    <x v="34"/>
    <x v="1"/>
    <s v="IP"/>
    <d v="2018-08-31T00:00:00"/>
    <s v="31/August/2018: Data Source (KMSSLSH)_x000a_31/July/2018: Data Source (UNHCR-LSH)_x000a_5/June/2018: Data Source: IRC_x000a_No update information since Jul/2016, KBC to follow up_x000a_25/Jul/2016: Added as new camp according to KBC data."/>
    <s v=""/>
    <s v=""/>
    <s v=""/>
  </r>
  <r>
    <x v="2"/>
    <x v="0"/>
    <s v="MMR001"/>
    <s v="Myitkyina"/>
    <s v="MMR001D001"/>
    <x v="1"/>
    <s v="MMR001002"/>
    <s v="Mai Na"/>
    <s v="MMR001002006"/>
    <s v="Mai Na"/>
    <n v="165740"/>
    <x v="296"/>
    <x v="299"/>
    <x v="26"/>
    <n v="25.415667500000001"/>
    <m/>
    <n v="95"/>
    <n v="499"/>
    <n v="5.2526315789473683"/>
    <x v="0"/>
    <x v="1"/>
    <x v="5"/>
    <x v="0"/>
    <x v="46"/>
    <x v="4"/>
    <m/>
    <d v="2018-07-09T00:00:00"/>
    <s v="09/July/2018: Added as new site. Population figure as of joint assessment report (estimated)"/>
    <s v="Myitkyina Town"/>
    <n v="6"/>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3" cacheId="24"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4">
        <item h="1" x="1"/>
        <item x="0"/>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923">
      <pivotArea field="0" type="button" dataOnly="0" labelOnly="1" outline="0" axis="axisPage" fieldPosition="0"/>
    </format>
    <format dxfId="922">
      <pivotArea dataOnly="0" labelOnly="1" outline="0" fieldPosition="0">
        <references count="1">
          <reference field="0" count="0"/>
        </references>
      </pivotArea>
    </format>
    <format dxfId="921">
      <pivotArea type="all" dataOnly="0" outline="0" fieldPosition="0"/>
    </format>
    <format dxfId="92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4">
        <item h="1" x="1"/>
        <item x="0"/>
        <item h="1" x="2"/>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3"/>
        <item x="2"/>
        <item x="11"/>
        <item x="21"/>
        <item x="12"/>
        <item x="7"/>
        <item x="18"/>
        <item x="14"/>
        <item x="5"/>
        <item x="19"/>
        <item x="9"/>
        <item x="10"/>
        <item x="4"/>
        <item x="17"/>
        <item x="0"/>
        <item x="16"/>
        <item x="20"/>
        <item x="8"/>
        <item x="6"/>
        <item x="13"/>
        <item x="1"/>
        <item x="22"/>
        <item x="15"/>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9"/>
        <item x="218"/>
        <item x="73"/>
        <item x="217"/>
        <item x="219"/>
        <item x="295"/>
        <item x="220"/>
        <item x="271"/>
        <item x="248"/>
        <item x="266"/>
        <item x="221"/>
        <item x="222"/>
        <item x="224"/>
        <item x="226"/>
        <item x="228"/>
        <item x="229"/>
        <item x="231"/>
        <item x="232"/>
        <item x="215"/>
        <item x="223"/>
        <item x="225"/>
        <item x="296"/>
        <item x="230"/>
        <item x="227"/>
        <item x="213"/>
      </items>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4">
        <item x="3"/>
        <item x="1"/>
        <item x="0"/>
        <item x="2"/>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5"/>
      <x v="134"/>
      <x v="6"/>
      <x/>
    </i>
    <i r="2">
      <x v="40"/>
      <x v="49"/>
      <x/>
      <x/>
    </i>
    <i r="2">
      <x v="64"/>
      <x v="46"/>
      <x v="3"/>
      <x/>
    </i>
    <i r="2">
      <x v="120"/>
      <x v="48"/>
      <x v="3"/>
      <x/>
    </i>
    <i r="2">
      <x v="139"/>
      <x v="51"/>
      <x v="1"/>
      <x/>
    </i>
    <i r="2">
      <x v="157"/>
      <x v="160"/>
      <x/>
      <x/>
    </i>
    <i r="2">
      <x v="165"/>
      <x v="44"/>
      <x/>
      <x/>
    </i>
    <i r="2">
      <x v="199"/>
      <x v="50"/>
      <x v="3"/>
      <x/>
    </i>
    <i t="default" r="1">
      <x/>
    </i>
    <i r="1">
      <x v="1"/>
      <x v="21"/>
      <x v="39"/>
      <x v="3"/>
      <x/>
    </i>
    <i r="2">
      <x v="38"/>
      <x v="40"/>
      <x/>
      <x v="1"/>
    </i>
    <i r="2">
      <x v="61"/>
      <x v="162"/>
      <x v="3"/>
      <x/>
    </i>
    <i r="2">
      <x v="155"/>
      <x v="175"/>
      <x v="2"/>
      <x/>
    </i>
    <i r="2">
      <x v="204"/>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5"/>
      <x v="159"/>
      <x v="6"/>
      <x/>
    </i>
    <i r="2">
      <x v="140"/>
      <x v="97"/>
      <x v="2"/>
      <x/>
    </i>
    <i r="2">
      <x v="164"/>
      <x v="150"/>
      <x v="6"/>
      <x/>
    </i>
    <i r="2">
      <x v="194"/>
      <x v="152"/>
      <x/>
      <x/>
    </i>
    <i r="2">
      <x v="200"/>
      <x v="99"/>
      <x/>
      <x/>
    </i>
    <i r="2">
      <x v="212"/>
      <x v="224"/>
      <x/>
      <x/>
    </i>
    <i r="2">
      <x v="242"/>
      <x v="250"/>
      <x/>
      <x/>
    </i>
    <i r="2">
      <x v="244"/>
      <x v="252"/>
      <x v="6"/>
      <x/>
    </i>
    <i r="2">
      <x v="245"/>
      <x v="253"/>
      <x v="2"/>
      <x/>
    </i>
    <i r="2">
      <x v="268"/>
      <x v="276"/>
      <x/>
      <x/>
    </i>
    <i r="2">
      <x v="287"/>
      <x v="295"/>
      <x v="2"/>
      <x/>
    </i>
    <i r="2">
      <x v="288"/>
      <x v="297"/>
      <x v="2"/>
      <x/>
    </i>
    <i t="default" r="1">
      <x v="2"/>
    </i>
    <i r="1">
      <x v="8"/>
      <x v="18"/>
      <x v="119"/>
      <x v="1"/>
      <x v="1"/>
    </i>
    <i r="2">
      <x v="35"/>
      <x v="163"/>
      <x v="6"/>
      <x/>
    </i>
    <i r="2">
      <x v="56"/>
      <x v="118"/>
      <x v="1"/>
      <x v="1"/>
    </i>
    <i r="2">
      <x v="78"/>
      <x v="183"/>
      <x/>
      <x/>
    </i>
    <i r="2">
      <x v="86"/>
      <x v="122"/>
      <x/>
      <x/>
    </i>
    <i r="2">
      <x v="87"/>
      <x v="121"/>
      <x v="1"/>
      <x/>
    </i>
    <i r="2">
      <x v="88"/>
      <x v="123"/>
      <x v="6"/>
      <x/>
    </i>
    <i r="2">
      <x v="93"/>
      <x v="63"/>
      <x/>
      <x/>
    </i>
    <i r="2">
      <x v="203"/>
      <x v="214"/>
      <x v="1"/>
      <x/>
    </i>
    <i r="2">
      <x v="210"/>
      <x v="222"/>
      <x v="1"/>
      <x/>
    </i>
    <i r="2">
      <x v="214"/>
      <x v="225"/>
      <x/>
      <x/>
    </i>
    <i t="default" r="1">
      <x v="8"/>
    </i>
    <i r="1">
      <x v="10"/>
      <x v="52"/>
      <x v="74"/>
      <x/>
      <x/>
    </i>
    <i r="2">
      <x v="143"/>
      <x v="75"/>
      <x/>
      <x/>
    </i>
    <i r="2">
      <x v="228"/>
      <x v="233"/>
      <x/>
      <x/>
    </i>
    <i r="2">
      <x v="274"/>
      <x v="73"/>
      <x/>
      <x/>
    </i>
    <i r="2">
      <x v="282"/>
      <x v="287"/>
      <x v="2"/>
      <x/>
    </i>
    <i r="2">
      <x v="283"/>
      <x v="288"/>
      <x v="2"/>
      <x/>
    </i>
    <i r="2">
      <x v="284"/>
      <x v="290"/>
      <x v="6"/>
      <x/>
    </i>
    <i r="2">
      <x v="291"/>
      <x v="289"/>
      <x/>
      <x/>
    </i>
    <i t="default" r="1">
      <x v="10"/>
    </i>
    <i r="1">
      <x v="11"/>
      <x v="146"/>
      <x v="130"/>
      <x/>
      <x/>
    </i>
    <i r="2">
      <x v="177"/>
      <x v="76"/>
      <x v="2"/>
      <x/>
    </i>
    <i r="2">
      <x v="217"/>
      <x v="228"/>
      <x v="6"/>
      <x/>
    </i>
    <i r="2">
      <x v="218"/>
      <x v="229"/>
      <x v="6"/>
      <x/>
    </i>
    <i t="default" r="1">
      <x v="11"/>
    </i>
    <i r="1">
      <x v="12"/>
      <x v="24"/>
      <x v="116"/>
      <x v="2"/>
      <x v="1"/>
    </i>
    <i r="2">
      <x v="35"/>
      <x v="164"/>
      <x v="6"/>
      <x/>
    </i>
    <i r="2">
      <x v="39"/>
      <x v="115"/>
      <x v="2"/>
      <x v="1"/>
    </i>
    <i r="2">
      <x v="45"/>
      <x v="114"/>
      <x v="2"/>
      <x v="1"/>
    </i>
    <i r="2">
      <x v="47"/>
      <x v="167"/>
      <x v="6"/>
      <x/>
    </i>
    <i r="2">
      <x v="65"/>
      <x v="68"/>
      <x/>
      <x/>
    </i>
    <i r="2">
      <x v="66"/>
      <x v="66"/>
      <x v="1"/>
      <x/>
    </i>
    <i r="2">
      <x v="67"/>
      <x v="67"/>
      <x/>
      <x/>
    </i>
    <i r="2">
      <x v="80"/>
      <x v="59"/>
      <x v="1"/>
      <x/>
    </i>
    <i r="2">
      <x v="111"/>
      <x v="53"/>
      <x/>
      <x/>
    </i>
    <i r="2">
      <x v="122"/>
      <x v="58"/>
      <x v="6"/>
      <x/>
    </i>
    <i r="2">
      <x v="149"/>
      <x v="120"/>
      <x v="1"/>
      <x v="1"/>
    </i>
    <i r="2">
      <x v="152"/>
      <x v="69"/>
      <x/>
      <x/>
    </i>
    <i r="2">
      <x v="154"/>
      <x v="117"/>
      <x v="1"/>
      <x v="1"/>
    </i>
    <i r="2">
      <x v="169"/>
      <x v="70"/>
      <x/>
      <x/>
    </i>
    <i t="default" r="1">
      <x v="12"/>
    </i>
    <i r="1">
      <x v="14"/>
      <x v="43"/>
      <x v="15"/>
      <x/>
      <x/>
    </i>
    <i r="2">
      <x v="44"/>
      <x v="16"/>
      <x v="2"/>
      <x/>
    </i>
    <i r="2">
      <x v="51"/>
      <x v="10"/>
      <x/>
      <x/>
    </i>
    <i r="2">
      <x v="57"/>
      <x v="128"/>
      <x v="6"/>
      <x/>
    </i>
    <i r="2">
      <x v="59"/>
      <x v="12"/>
      <x/>
      <x/>
    </i>
    <i r="2">
      <x v="60"/>
      <x v="11"/>
      <x/>
      <x/>
    </i>
    <i r="2">
      <x v="79"/>
      <x v="13"/>
      <x/>
      <x/>
    </i>
    <i r="2">
      <x v="81"/>
      <x v="7"/>
      <x/>
      <x/>
    </i>
    <i r="2">
      <x v="102"/>
      <x v="17"/>
      <x v="3"/>
      <x/>
    </i>
    <i r="2">
      <x v="103"/>
      <x v="18"/>
      <x v="3"/>
      <x/>
    </i>
    <i r="2">
      <x v="138"/>
      <x v="21"/>
      <x v="2"/>
      <x/>
    </i>
    <i r="2">
      <x v="151"/>
      <x v="1"/>
      <x/>
      <x/>
    </i>
    <i r="2">
      <x v="153"/>
      <x v="133"/>
      <x v="2"/>
      <x/>
    </i>
    <i r="2">
      <x v="170"/>
      <x v="5"/>
      <x/>
      <x/>
    </i>
    <i r="2">
      <x v="171"/>
      <x v="6"/>
      <x v="3"/>
      <x/>
    </i>
    <i r="2">
      <x v="175"/>
      <x v="8"/>
      <x/>
      <x/>
    </i>
    <i r="2">
      <x v="183"/>
      <x/>
      <x/>
      <x/>
    </i>
    <i r="2">
      <x v="184"/>
      <x v="3"/>
      <x v="6"/>
      <x/>
    </i>
    <i r="2">
      <x v="185"/>
      <x v="2"/>
      <x/>
      <x/>
    </i>
    <i r="2">
      <x v="186"/>
      <x v="4"/>
      <x/>
      <x/>
    </i>
    <i r="2">
      <x v="223"/>
      <x v="20"/>
      <x v="3"/>
      <x/>
    </i>
    <i r="2">
      <x v="272"/>
      <x v="9"/>
      <x/>
      <x/>
    </i>
    <i r="2">
      <x v="273"/>
      <x v="283"/>
      <x v="2"/>
      <x/>
    </i>
    <i r="2">
      <x v="285"/>
      <x v="292"/>
      <x v="6"/>
      <x/>
    </i>
    <i r="2">
      <x v="286"/>
      <x v="294"/>
      <x v="6"/>
      <x/>
    </i>
    <i r="2">
      <x v="289"/>
      <x v="298"/>
      <x v="2"/>
      <x/>
    </i>
    <i r="2">
      <x v="292"/>
      <x v="291"/>
      <x/>
      <x/>
    </i>
    <i r="2">
      <x v="295"/>
      <x v="293"/>
      <x/>
      <x/>
    </i>
    <i t="default" r="1">
      <x v="14"/>
    </i>
    <i r="1">
      <x v="17"/>
      <x v="190"/>
      <x v="72"/>
      <x v="6"/>
      <x/>
    </i>
    <i r="2">
      <x v="207"/>
      <x v="218"/>
      <x v="6"/>
      <x/>
    </i>
    <i r="2">
      <x v="225"/>
      <x v="231"/>
      <x/>
      <x/>
    </i>
    <i t="default" r="1">
      <x v="17"/>
    </i>
    <i r="1">
      <x v="18"/>
      <x v="173"/>
      <x v="64"/>
      <x/>
      <x/>
    </i>
    <i r="2">
      <x v="174"/>
      <x v="65"/>
      <x v="1"/>
      <x/>
    </i>
    <i t="default" r="1">
      <x v="18"/>
    </i>
    <i r="1">
      <x v="19"/>
      <x v="179"/>
      <x v="172"/>
      <x v="6"/>
      <x/>
    </i>
    <i r="2">
      <x v="230"/>
      <x v="235"/>
      <x/>
      <x v="1"/>
    </i>
    <i r="2">
      <x v="231"/>
      <x v="236"/>
      <x/>
      <x v="1"/>
    </i>
    <i t="default" r="1">
      <x v="19"/>
    </i>
    <i r="1">
      <x v="20"/>
      <x v="17"/>
      <x v="106"/>
      <x v="2"/>
      <x v="1"/>
    </i>
    <i r="2">
      <x v="30"/>
      <x v="25"/>
      <x v="3"/>
      <x/>
    </i>
    <i r="2">
      <x v="31"/>
      <x v="108"/>
      <x/>
      <x v="1"/>
    </i>
    <i r="2">
      <x v="41"/>
      <x v="173"/>
      <x v="6"/>
      <x v="1"/>
    </i>
    <i r="2">
      <x v="71"/>
      <x v="24"/>
      <x/>
      <x/>
    </i>
    <i r="2">
      <x v="72"/>
      <x v="112"/>
      <x v="2"/>
      <x v="1"/>
    </i>
    <i r="2">
      <x v="74"/>
      <x v="28"/>
      <x v="3"/>
      <x/>
    </i>
    <i r="2">
      <x v="75"/>
      <x v="26"/>
      <x v="2"/>
      <x/>
    </i>
    <i r="2">
      <x v="76"/>
      <x v="37"/>
      <x/>
      <x/>
    </i>
    <i r="2">
      <x v="77"/>
      <x v="36"/>
      <x/>
      <x/>
    </i>
    <i r="2">
      <x v="145"/>
      <x v="30"/>
      <x v="3"/>
      <x/>
    </i>
    <i r="2">
      <x v="159"/>
      <x v="132"/>
      <x v="2"/>
      <x v="1"/>
    </i>
    <i r="2">
      <x v="160"/>
      <x v="29"/>
      <x v="3"/>
      <x/>
    </i>
    <i r="2">
      <x v="161"/>
      <x v="22"/>
      <x/>
      <x/>
    </i>
    <i r="2">
      <x v="162"/>
      <x v="27"/>
      <x v="3"/>
      <x/>
    </i>
    <i r="2">
      <x v="172"/>
      <x v="38"/>
      <x/>
      <x/>
    </i>
    <i r="2">
      <x v="187"/>
      <x v="34"/>
      <x v="3"/>
      <x/>
    </i>
    <i r="2">
      <x v="191"/>
      <x v="35"/>
      <x v="3"/>
      <x/>
    </i>
    <i r="2">
      <x v="195"/>
      <x v="109"/>
      <x v="2"/>
      <x v="1"/>
    </i>
    <i r="2">
      <x v="222"/>
      <x v="113"/>
      <x/>
      <x v="1"/>
    </i>
    <i r="2">
      <x v="266"/>
      <x v="274"/>
      <x v="6"/>
      <x/>
    </i>
    <i r="2">
      <x v="267"/>
      <x v="275"/>
      <x/>
      <x v="1"/>
    </i>
    <i r="2">
      <x v="278"/>
      <x v="285"/>
      <x v="6"/>
      <x/>
    </i>
    <i r="2">
      <x v="294"/>
      <x v="296"/>
      <x/>
      <x/>
    </i>
    <i t="default" r="1">
      <x v="20"/>
    </i>
    <i r="1">
      <x v="22"/>
      <x v="270"/>
      <x v="279"/>
      <x v="6"/>
      <x/>
    </i>
    <i r="2">
      <x v="271"/>
      <x v="281"/>
      <x v="2"/>
      <x/>
    </i>
    <i r="2">
      <x v="290"/>
      <x v="280"/>
      <x/>
      <x/>
    </i>
    <i r="2">
      <x v="296"/>
      <x v="278"/>
      <x v="2"/>
      <x/>
    </i>
    <i t="default" r="1">
      <x v="22"/>
    </i>
    <i t="default">
      <x/>
    </i>
    <i>
      <x v="1"/>
      <x v="3"/>
      <x v="226"/>
      <x v="230"/>
      <x/>
      <x/>
    </i>
    <i t="default" r="1">
      <x v="3"/>
    </i>
    <i r="1">
      <x v="6"/>
      <x v="49"/>
      <x v="201"/>
      <x/>
      <x/>
    </i>
    <i r="2">
      <x v="50"/>
      <x v="202"/>
      <x v="5"/>
      <x/>
    </i>
    <i r="2">
      <x v="117"/>
      <x v="193"/>
      <x/>
      <x/>
    </i>
    <i r="2">
      <x v="131"/>
      <x v="194"/>
      <x/>
      <x/>
    </i>
    <i r="2">
      <x v="202"/>
      <x v="205"/>
      <x/>
      <x/>
    </i>
    <i r="2">
      <x v="215"/>
      <x v="226"/>
      <x v="5"/>
      <x/>
    </i>
    <i r="2">
      <x v="233"/>
      <x v="238"/>
      <x v="6"/>
      <x/>
    </i>
    <i r="2">
      <x v="240"/>
      <x v="248"/>
      <x v="6"/>
      <x/>
    </i>
    <i r="2">
      <x v="263"/>
      <x v="271"/>
      <x/>
      <x/>
    </i>
    <i r="2">
      <x v="264"/>
      <x v="272"/>
      <x v="6"/>
      <x/>
    </i>
    <i r="2">
      <x v="277"/>
      <x v="286"/>
      <x v="6"/>
      <x/>
    </i>
    <i r="2">
      <x v="279"/>
      <x v="246"/>
      <x v="5"/>
      <x/>
    </i>
    <i r="2">
      <x v="280"/>
      <x v="203"/>
      <x/>
      <x/>
    </i>
    <i r="2">
      <x v="281"/>
      <x v="241"/>
      <x/>
      <x/>
    </i>
    <i t="default" r="1">
      <x v="6"/>
    </i>
    <i r="1">
      <x v="9"/>
      <x v="91"/>
      <x v="195"/>
      <x/>
      <x/>
    </i>
    <i r="2">
      <x v="92"/>
      <x v="210"/>
      <x v="5"/>
      <x/>
    </i>
    <i r="2">
      <x v="238"/>
      <x v="243"/>
      <x v="6"/>
      <x/>
    </i>
    <i t="default" r="1">
      <x v="9"/>
    </i>
    <i r="1">
      <x v="13"/>
      <x v="208"/>
      <x v="219"/>
      <x/>
      <x/>
    </i>
    <i r="2">
      <x v="211"/>
      <x v="223"/>
      <x v="5"/>
      <x/>
    </i>
    <i r="2">
      <x v="265"/>
      <x v="273"/>
      <x/>
      <x/>
    </i>
    <i t="default" r="1">
      <x v="13"/>
    </i>
    <i r="1">
      <x v="15"/>
      <x v="124"/>
      <x v="191"/>
      <x/>
      <x/>
    </i>
    <i r="2">
      <x v="125"/>
      <x v="188"/>
      <x/>
      <x/>
    </i>
    <i r="2">
      <x v="126"/>
      <x v="190"/>
      <x v="5"/>
      <x/>
    </i>
    <i r="2">
      <x v="209"/>
      <x v="220"/>
      <x/>
      <x/>
    </i>
    <i r="2">
      <x v="213"/>
      <x v="221"/>
      <x/>
      <x/>
    </i>
    <i r="2">
      <x v="236"/>
      <x v="245"/>
      <x v="6"/>
      <x/>
    </i>
    <i t="default" r="1">
      <x v="15"/>
    </i>
    <i r="1">
      <x v="16"/>
      <x v="136"/>
      <x v="199"/>
      <x/>
      <x/>
    </i>
    <i r="2">
      <x v="237"/>
      <x v="242"/>
      <x v="6"/>
      <x/>
    </i>
    <i r="2">
      <x v="250"/>
      <x v="258"/>
      <x v="5"/>
      <x/>
    </i>
    <i r="2">
      <x v="269"/>
      <x v="277"/>
      <x v="5"/>
      <x/>
    </i>
    <i t="default" r="1">
      <x v="16"/>
    </i>
    <i r="1">
      <x v="21"/>
      <x v="262"/>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885">
      <pivotArea outline="0" collapsedLevelsAreSubtotals="1" fieldPosition="0"/>
    </format>
    <format dxfId="884">
      <pivotArea dataOnly="0" labelOnly="1" outline="0" fieldPosition="0">
        <references count="1">
          <reference field="4294967294" count="2">
            <x v="0"/>
            <x v="1"/>
          </reference>
        </references>
      </pivotArea>
    </format>
    <format dxfId="883">
      <pivotArea grandRow="1" outline="0" collapsedLevelsAreSubtotals="1" fieldPosition="0"/>
    </format>
    <format dxfId="882">
      <pivotArea dataOnly="0" labelOnly="1" grandRow="1" outline="0" fieldPosition="0"/>
    </format>
    <format dxfId="881">
      <pivotArea grandRow="1" outline="0" collapsedLevelsAreSubtotals="1" fieldPosition="0"/>
    </format>
    <format dxfId="880">
      <pivotArea dataOnly="0" labelOnly="1" grandRow="1" outline="0" fieldPosition="0"/>
    </format>
    <format dxfId="879">
      <pivotArea field="24" type="button" dataOnly="0" labelOnly="1" outline="0" axis="axisRow" fieldPosition="4"/>
    </format>
    <format dxfId="878">
      <pivotArea field="24" type="button" dataOnly="0" labelOnly="1" outline="0" axis="axisRow" fieldPosition="4"/>
    </format>
    <format dxfId="877">
      <pivotArea field="1" type="button" dataOnly="0" labelOnly="1" outline="0" axis="axisRow" fieldPosition="0"/>
    </format>
    <format dxfId="876">
      <pivotArea field="5" type="button" dataOnly="0" labelOnly="1" outline="0" axis="axisRow" fieldPosition="1"/>
    </format>
    <format dxfId="875">
      <pivotArea field="11" type="button" dataOnly="0" labelOnly="1" outline="0" axis="axisRow" fieldPosition="2"/>
    </format>
    <format dxfId="874">
      <pivotArea field="12" type="button" dataOnly="0" labelOnly="1" outline="0" axis="axisRow" fieldPosition="3"/>
    </format>
    <format dxfId="873">
      <pivotArea field="22" type="button" dataOnly="0" labelOnly="1" outline="0"/>
    </format>
    <format dxfId="872">
      <pivotArea dataOnly="0" labelOnly="1" outline="0" fieldPosition="0">
        <references count="1">
          <reference field="4294967294" count="2">
            <x v="0"/>
            <x v="1"/>
          </reference>
        </references>
      </pivotArea>
    </format>
    <format dxfId="871">
      <pivotArea field="1" type="button" dataOnly="0" labelOnly="1" outline="0" axis="axisRow" fieldPosition="0"/>
    </format>
    <format dxfId="870">
      <pivotArea field="5" type="button" dataOnly="0" labelOnly="1" outline="0" axis="axisRow" fieldPosition="1"/>
    </format>
    <format dxfId="869">
      <pivotArea field="11" type="button" dataOnly="0" labelOnly="1" outline="0" axis="axisRow" fieldPosition="2"/>
    </format>
    <format dxfId="868">
      <pivotArea field="12" type="button" dataOnly="0" labelOnly="1" outline="0" axis="axisRow" fieldPosition="3"/>
    </format>
    <format dxfId="867">
      <pivotArea field="22" type="button" dataOnly="0" labelOnly="1" outline="0"/>
    </format>
    <format dxfId="866">
      <pivotArea dataOnly="0" labelOnly="1" outline="0" fieldPosition="0">
        <references count="1">
          <reference field="4294967294" count="2">
            <x v="0"/>
            <x v="1"/>
          </reference>
        </references>
      </pivotArea>
    </format>
    <format dxfId="865">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864">
      <pivotArea dataOnly="0" labelOnly="1" outline="0" fieldPosition="0">
        <references count="3">
          <reference field="1" count="1" selected="0">
            <x v="0"/>
          </reference>
          <reference field="5" count="1" selected="0">
            <x v="14"/>
          </reference>
          <reference field="11" count="5">
            <x v="43"/>
            <x v="44"/>
            <x v="51"/>
            <x v="59"/>
            <x v="60"/>
          </reference>
        </references>
      </pivotArea>
    </format>
    <format dxfId="863">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862">
      <pivotArea field="1" type="button" dataOnly="0" labelOnly="1" outline="0" axis="axisRow" fieldPosition="0"/>
    </format>
    <format dxfId="861">
      <pivotArea field="5" type="button" dataOnly="0" labelOnly="1" outline="0" axis="axisRow" fieldPosition="1"/>
    </format>
    <format dxfId="860">
      <pivotArea field="11" type="button" dataOnly="0" labelOnly="1" outline="0" axis="axisRow" fieldPosition="2"/>
    </format>
    <format dxfId="859">
      <pivotArea field="12" type="button" dataOnly="0" labelOnly="1" outline="0" axis="axisRow" fieldPosition="3"/>
    </format>
    <format dxfId="858">
      <pivotArea field="19" type="button" dataOnly="0" labelOnly="1" outline="0" axis="axisRow" fieldPosition="5"/>
    </format>
    <format dxfId="857">
      <pivotArea type="all" dataOnly="0" outline="0" fieldPosition="0"/>
    </format>
    <format dxfId="856">
      <pivotArea type="all" dataOnly="0" outline="0" fieldPosition="0"/>
    </format>
    <format dxfId="855">
      <pivotArea outline="0" collapsedLevelsAreSubtotals="1" fieldPosition="0"/>
    </format>
    <format dxfId="854">
      <pivotArea dataOnly="0" labelOnly="1" outline="0" fieldPosition="0">
        <references count="1">
          <reference field="1" count="0"/>
        </references>
      </pivotArea>
    </format>
    <format dxfId="853">
      <pivotArea dataOnly="0" labelOnly="1" outline="0" fieldPosition="0">
        <references count="1">
          <reference field="1" count="0" defaultSubtotal="1"/>
        </references>
      </pivotArea>
    </format>
    <format dxfId="852">
      <pivotArea dataOnly="0" labelOnly="1" grandRow="1" outline="0" fieldPosition="0"/>
    </format>
    <format dxfId="851">
      <pivotArea dataOnly="0" labelOnly="1" outline="0" fieldPosition="0">
        <references count="2">
          <reference field="1" count="1" selected="0">
            <x v="0"/>
          </reference>
          <reference field="5" count="13">
            <x v="0"/>
            <x v="1"/>
            <x v="2"/>
            <x v="5"/>
            <x v="8"/>
            <x v="10"/>
            <x v="11"/>
            <x v="12"/>
            <x v="14"/>
            <x v="17"/>
            <x v="18"/>
            <x v="19"/>
            <x v="20"/>
          </reference>
        </references>
      </pivotArea>
    </format>
    <format dxfId="850">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849">
      <pivotArea dataOnly="0" labelOnly="1" outline="0" fieldPosition="0">
        <references count="2">
          <reference field="1" count="1" selected="0">
            <x v="1"/>
          </reference>
          <reference field="5" count="6">
            <x v="3"/>
            <x v="6"/>
            <x v="9"/>
            <x v="13"/>
            <x v="15"/>
            <x v="16"/>
          </reference>
        </references>
      </pivotArea>
    </format>
    <format dxfId="848">
      <pivotArea dataOnly="0" labelOnly="1" outline="0" fieldPosition="0">
        <references count="2">
          <reference field="1" count="1" selected="0">
            <x v="1"/>
          </reference>
          <reference field="5" count="6" defaultSubtotal="1">
            <x v="3"/>
            <x v="6"/>
            <x v="9"/>
            <x v="13"/>
            <x v="15"/>
            <x v="16"/>
          </reference>
        </references>
      </pivotArea>
    </format>
    <format dxfId="847">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846">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845">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844">
      <pivotArea dataOnly="0" labelOnly="1" outline="0" fieldPosition="0">
        <references count="3">
          <reference field="1" count="1" selected="0">
            <x v="0"/>
          </reference>
          <reference field="5" count="1" selected="0">
            <x v="5"/>
          </reference>
          <reference field="11" count="1">
            <x v="53"/>
          </reference>
        </references>
      </pivotArea>
    </format>
    <format dxfId="843">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842">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841">
      <pivotArea dataOnly="0" labelOnly="1" outline="0" fieldPosition="0">
        <references count="3">
          <reference field="1" count="1" selected="0">
            <x v="0"/>
          </reference>
          <reference field="5" count="1" selected="0">
            <x v="11"/>
          </reference>
          <reference field="11" count="4">
            <x v="146"/>
            <x v="177"/>
            <x v="217"/>
            <x v="218"/>
          </reference>
        </references>
      </pivotArea>
    </format>
    <format dxfId="840">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839">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838">
      <pivotArea dataOnly="0" labelOnly="1" outline="0" fieldPosition="0">
        <references count="3">
          <reference field="1" count="1" selected="0">
            <x v="0"/>
          </reference>
          <reference field="5" count="1" selected="0">
            <x v="17"/>
          </reference>
          <reference field="11" count="3">
            <x v="190"/>
            <x v="207"/>
            <x v="225"/>
          </reference>
        </references>
      </pivotArea>
    </format>
    <format dxfId="837">
      <pivotArea dataOnly="0" labelOnly="1" outline="0" fieldPosition="0">
        <references count="3">
          <reference field="1" count="1" selected="0">
            <x v="0"/>
          </reference>
          <reference field="5" count="1" selected="0">
            <x v="18"/>
          </reference>
          <reference field="11" count="4">
            <x v="35"/>
            <x v="57"/>
            <x v="173"/>
            <x v="174"/>
          </reference>
        </references>
      </pivotArea>
    </format>
    <format dxfId="836">
      <pivotArea dataOnly="0" labelOnly="1" outline="0" fieldPosition="0">
        <references count="3">
          <reference field="1" count="1" selected="0">
            <x v="0"/>
          </reference>
          <reference field="5" count="1" selected="0">
            <x v="19"/>
          </reference>
          <reference field="11" count="3">
            <x v="179"/>
            <x v="230"/>
            <x v="231"/>
          </reference>
        </references>
      </pivotArea>
    </format>
    <format dxfId="835">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834">
      <pivotArea dataOnly="0" labelOnly="1" outline="0" fieldPosition="0">
        <references count="3">
          <reference field="1" count="1" selected="0">
            <x v="1"/>
          </reference>
          <reference field="5" count="1" selected="0">
            <x v="3"/>
          </reference>
          <reference field="11" count="3">
            <x v="142"/>
            <x v="226"/>
            <x v="239"/>
          </reference>
        </references>
      </pivotArea>
    </format>
    <format dxfId="833">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832">
      <pivotArea dataOnly="0" labelOnly="1" outline="0" fieldPosition="0">
        <references count="3">
          <reference field="1" count="1" selected="0">
            <x v="1"/>
          </reference>
          <reference field="5" count="1" selected="0">
            <x v="9"/>
          </reference>
          <reference field="11" count="3">
            <x v="91"/>
            <x v="92"/>
            <x v="238"/>
          </reference>
        </references>
      </pivotArea>
    </format>
    <format dxfId="831">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830">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829">
      <pivotArea dataOnly="0" labelOnly="1" outline="0" fieldPosition="0">
        <references count="3">
          <reference field="1" count="1" selected="0">
            <x v="1"/>
          </reference>
          <reference field="5" count="1" selected="0">
            <x v="16"/>
          </reference>
          <reference field="11" count="3">
            <x v="136"/>
            <x v="137"/>
            <x v="237"/>
          </reference>
        </references>
      </pivotArea>
    </format>
    <format dxfId="828">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827">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826">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825">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824">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823">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822">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821">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820">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819">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818">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817">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816">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815">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814">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813">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812">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811">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810">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809">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808">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807">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806">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805">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804">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803">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802">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801">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800">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799">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798">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797">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796">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795">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794">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793">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792">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791">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790">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789">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788">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787">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786">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785">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784">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783">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782">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781">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780">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779">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778">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777">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776">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775">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774">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773">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772">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771">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770">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769">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768">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767">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766">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765">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764">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763">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762">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761">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760">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759">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758">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757">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756">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755">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754">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753">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752">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751">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750">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749">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748">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747">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746">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745">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744">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743">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742">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741">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740">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739">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738">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737">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736">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735">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734">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733">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732">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731">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730">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729">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728">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727">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726">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725">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724">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723">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722">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721">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720">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719">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718">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717">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716">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715">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714">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713">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712">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711">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710">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709">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708">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707">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706">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705">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704">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703">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702">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701">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700">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699">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698">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697">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696">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695">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694">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693">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692">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691">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690">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689">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688">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687">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686">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685">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684">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683">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682">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681">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680">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679">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678">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677">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676">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675">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674">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673">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672">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671">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670">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669">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668">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667">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666">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665">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664">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663">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662">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661">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660">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659">
      <pivotArea dataOnly="0" labelOnly="1" outline="0" fieldPosition="0">
        <references count="1">
          <reference field="4294967294" count="2">
            <x v="0"/>
            <x v="1"/>
          </reference>
        </references>
      </pivotArea>
    </format>
    <format dxfId="658">
      <pivotArea field="1" type="button" dataOnly="0" labelOnly="1" outline="0" axis="axisRow" fieldPosition="0"/>
    </format>
    <format dxfId="657">
      <pivotArea field="5" type="button" dataOnly="0" labelOnly="1" outline="0" axis="axisRow" fieldPosition="1"/>
    </format>
    <format dxfId="656">
      <pivotArea field="11" type="button" dataOnly="0" labelOnly="1" outline="0" axis="axisRow" fieldPosition="2"/>
    </format>
    <format dxfId="655">
      <pivotArea field="12" type="button" dataOnly="0" labelOnly="1" outline="0" axis="axisRow" fieldPosition="3"/>
    </format>
    <format dxfId="654">
      <pivotArea field="24" type="button" dataOnly="0" labelOnly="1" outline="0" axis="axisRow" fieldPosition="4"/>
    </format>
    <format dxfId="653">
      <pivotArea field="19" type="button" dataOnly="0" labelOnly="1" outline="0" axis="axisRow" fieldPosition="5"/>
    </format>
    <format dxfId="652">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0" firstHeaderRow="0" firstDataRow="1" firstDataCol="6" rowPageCount="2" colPageCount="1"/>
  <pivotFields count="31">
    <pivotField axis="axisPage" compact="0" outline="0" multipleItemSelectionAllowed="1" showAll="0" defaultSubtotal="0">
      <items count="3">
        <item h="1" x="1"/>
        <item h="1" x="0"/>
        <item x="2"/>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22"/>
        <item x="12"/>
        <item x="7"/>
        <item x="18"/>
        <item x="14"/>
        <item x="5"/>
        <item x="19"/>
        <item x="9"/>
        <item x="10"/>
        <item x="4"/>
        <item x="17"/>
        <item x="0"/>
        <item x="16"/>
        <item x="20"/>
        <item x="8"/>
        <item x="6"/>
        <item x="13"/>
        <item x="15"/>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205"/>
        <item x="47"/>
        <item x="219"/>
        <item x="144"/>
        <item x="157"/>
        <item x="141"/>
        <item x="283"/>
        <item x="161"/>
        <item x="138"/>
        <item x="86"/>
        <item x="287"/>
        <item x="288"/>
        <item x="177"/>
        <item x="178"/>
        <item x="176"/>
        <item x="137"/>
        <item x="155"/>
        <item x="140"/>
        <item x="107"/>
        <item x="106"/>
        <item x="119"/>
        <item x="188"/>
        <item x="103"/>
        <item x="82"/>
        <item x="39"/>
        <item x="131"/>
        <item x="202"/>
        <item x="142"/>
        <item x="9"/>
        <item x="116"/>
        <item x="148"/>
        <item x="224"/>
        <item x="154"/>
        <item x="257"/>
        <item x="258"/>
        <item x="43"/>
        <item x="286"/>
        <item x="210"/>
        <item x="25"/>
        <item x="108"/>
        <item x="129"/>
        <item x="158"/>
        <item x="156"/>
        <item x="194"/>
        <item x="134"/>
        <item x="241"/>
        <item x="293"/>
        <item x="251"/>
        <item x="191"/>
        <item x="40"/>
        <item x="115"/>
        <item x="49"/>
        <item x="170"/>
        <item x="179"/>
        <item x="189"/>
        <item x="15"/>
        <item x="16"/>
        <item x="114"/>
        <item x="282"/>
        <item x="218"/>
        <item x="281"/>
        <item x="45"/>
        <item x="231"/>
        <item x="279"/>
        <item x="164"/>
        <item x="245"/>
        <item x="193"/>
        <item x="246"/>
        <item x="291"/>
        <item x="247"/>
        <item x="294"/>
        <item x="10"/>
        <item x="74"/>
        <item x="71"/>
        <item x="166"/>
        <item x="110"/>
        <item x="222"/>
        <item x="42"/>
        <item x="118"/>
        <item x="229"/>
        <item x="128"/>
        <item x="127"/>
        <item x="212"/>
        <item x="12"/>
        <item x="11"/>
        <item x="162"/>
        <item x="149"/>
        <item x="135"/>
        <item x="46"/>
        <item x="278"/>
        <item x="68"/>
        <item x="66"/>
        <item x="67"/>
        <item x="124"/>
        <item x="196"/>
        <item x="73"/>
        <item x="199"/>
        <item x="101"/>
        <item x="183"/>
        <item x="24"/>
        <item x="112"/>
        <item x="61"/>
        <item x="266"/>
        <item x="28"/>
        <item x="26"/>
        <item x="37"/>
        <item x="36"/>
        <item x="296"/>
        <item x="180"/>
        <item x="185"/>
        <item x="13"/>
        <item x="59"/>
        <item x="7"/>
        <item x="290"/>
        <item x="174"/>
        <item x="175"/>
        <item x="292"/>
        <item x="60"/>
        <item x="268"/>
        <item x="163"/>
        <item x="122"/>
        <item x="192"/>
        <item x="121"/>
        <item x="190"/>
        <item x="123"/>
        <item x="111"/>
        <item x="55"/>
        <item x="240"/>
        <item x="255"/>
        <item x="63"/>
        <item x="88"/>
        <item x="87"/>
        <item x="90"/>
        <item x="92"/>
        <item x="93"/>
        <item x="89"/>
        <item x="94"/>
        <item x="91"/>
        <item x="17"/>
        <item x="18"/>
        <item x="100"/>
        <item x="84"/>
        <item x="81"/>
        <item x="80"/>
        <item x="85"/>
        <item x="83"/>
        <item x="146"/>
        <item x="248"/>
        <item x="195"/>
        <item x="32"/>
        <item x="53"/>
        <item x="54"/>
        <item x="280"/>
        <item x="270"/>
        <item x="269"/>
        <item x="243"/>
        <item x="237"/>
        <item x="203"/>
        <item x="167"/>
        <item x="273"/>
        <item x="238"/>
        <item x="263"/>
        <item x="249"/>
        <item x="145"/>
        <item x="259"/>
        <item x="262"/>
        <item x="48"/>
        <item x="209"/>
        <item x="14"/>
        <item x="221"/>
        <item x="58"/>
        <item x="125"/>
        <item x="236"/>
        <item x="233"/>
        <item x="260"/>
        <item x="235"/>
        <item x="252"/>
        <item x="234"/>
        <item x="253"/>
        <item x="242"/>
        <item x="239"/>
        <item x="271"/>
        <item x="168"/>
        <item x="171"/>
        <item x="126"/>
        <item x="159"/>
        <item x="264"/>
        <item x="244"/>
        <item x="256"/>
        <item x="261"/>
        <item x="284"/>
        <item x="217"/>
        <item x="223"/>
        <item x="276"/>
        <item x="277"/>
        <item x="275"/>
        <item x="21"/>
        <item x="51"/>
        <item x="97"/>
        <item x="77"/>
        <item x="254"/>
        <item x="75"/>
        <item x="182"/>
        <item x="30"/>
        <item x="130"/>
        <item x="31"/>
        <item x="200"/>
        <item x="265"/>
        <item x="78"/>
        <item x="79"/>
        <item x="120"/>
        <item x="56"/>
        <item x="1"/>
        <item x="69"/>
        <item x="133"/>
        <item x="232"/>
        <item x="117"/>
        <item x="113"/>
        <item x="295"/>
        <item x="267"/>
        <item x="172"/>
        <item x="96"/>
        <item x="160"/>
        <item x="62"/>
        <item x="132"/>
        <item x="29"/>
        <item x="22"/>
        <item x="27"/>
        <item x="23"/>
        <item x="150"/>
        <item x="44"/>
        <item x="102"/>
        <item x="220"/>
        <item x="151"/>
        <item x="201"/>
        <item x="98"/>
        <item x="197"/>
        <item x="198"/>
        <item x="187"/>
        <item x="70"/>
        <item x="211"/>
        <item x="206"/>
        <item x="208"/>
        <item x="5"/>
        <item x="6"/>
        <item x="38"/>
        <item x="64"/>
        <item x="65"/>
        <item x="274"/>
        <item x="8"/>
        <item x="181"/>
        <item x="76"/>
        <item x="184"/>
        <item x="285"/>
        <item x="169"/>
        <item x="52"/>
        <item x="214"/>
        <item x="216"/>
        <item x="215"/>
        <item x="226"/>
        <item x="104"/>
        <item x="57"/>
        <item x="0"/>
        <item x="20"/>
        <item x="3"/>
        <item x="2"/>
        <item x="4"/>
        <item x="207"/>
        <item x="34"/>
        <item x="186"/>
        <item x="95"/>
        <item x="173"/>
        <item x="228"/>
        <item x="72"/>
        <item x="225"/>
        <item x="272"/>
        <item x="230"/>
        <item x="35"/>
        <item x="33"/>
        <item x="204"/>
        <item x="153"/>
        <item x="152"/>
        <item x="289"/>
        <item x="109"/>
        <item x="41"/>
        <item x="143"/>
        <item x="19"/>
        <item x="50"/>
        <item x="99"/>
        <item x="105"/>
        <item x="165"/>
        <item x="250"/>
        <item x="227"/>
        <item x="213"/>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99"/>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6">
        <item x="2"/>
        <item x="0"/>
        <item x="1"/>
        <item x="3"/>
        <item x="5"/>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2">
    <i>
      <x/>
      <x v="22"/>
      <x v="110"/>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651">
      <pivotArea type="all" dataOnly="0" outline="0" fieldPosition="0"/>
    </format>
    <format dxfId="650">
      <pivotArea outline="0" collapsedLevelsAreSubtotals="1" fieldPosition="0"/>
    </format>
    <format dxfId="649">
      <pivotArea field="1" type="button" dataOnly="0" labelOnly="1" outline="0" axis="axisRow" fieldPosition="0"/>
    </format>
    <format dxfId="648">
      <pivotArea field="5" type="button" dataOnly="0" labelOnly="1" outline="0" axis="axisRow" fieldPosition="1"/>
    </format>
    <format dxfId="647">
      <pivotArea field="11" type="button" dataOnly="0" labelOnly="1" outline="0" axis="axisRow" fieldPosition="2"/>
    </format>
    <format dxfId="646">
      <pivotArea field="12" type="button" dataOnly="0" labelOnly="1" outline="0" axis="axisRow" fieldPosition="3"/>
    </format>
    <format dxfId="645">
      <pivotArea field="24" type="button" dataOnly="0" labelOnly="1" outline="0"/>
    </format>
    <format dxfId="644">
      <pivotArea field="21" type="button" dataOnly="0" labelOnly="1" outline="0" axis="axisRow" fieldPosition="4"/>
    </format>
    <format dxfId="643">
      <pivotArea field="19" type="button" dataOnly="0" labelOnly="1" outline="0" axis="axisRow" fieldPosition="5"/>
    </format>
    <format dxfId="642">
      <pivotArea dataOnly="0" labelOnly="1" outline="0" fieldPosition="0">
        <references count="1">
          <reference field="1" count="1">
            <x v="0"/>
          </reference>
        </references>
      </pivotArea>
    </format>
    <format dxfId="641">
      <pivotArea dataOnly="0" labelOnly="1" grandRow="1" outline="0" fieldPosition="0"/>
    </format>
    <format dxfId="640">
      <pivotArea dataOnly="0" labelOnly="1" outline="0" fieldPosition="0">
        <references count="2">
          <reference field="1" count="1" selected="0">
            <x v="0"/>
          </reference>
          <reference field="5" count="1">
            <x v="22"/>
          </reference>
        </references>
      </pivotArea>
    </format>
    <format dxfId="639">
      <pivotArea dataOnly="0" labelOnly="1" outline="0" fieldPosition="0">
        <references count="3">
          <reference field="1" count="1" selected="0">
            <x v="0"/>
          </reference>
          <reference field="5" count="1" selected="0">
            <x v="22"/>
          </reference>
          <reference field="11" count="1">
            <x v="110"/>
          </reference>
        </references>
      </pivotArea>
    </format>
    <format dxfId="638">
      <pivotArea dataOnly="0" labelOnly="1" outline="0" fieldPosition="0">
        <references count="4">
          <reference field="1" count="1" selected="0">
            <x v="0"/>
          </reference>
          <reference field="5" count="1" selected="0">
            <x v="22"/>
          </reference>
          <reference field="11" count="1" selected="0">
            <x v="110"/>
          </reference>
          <reference field="12" count="1">
            <x v="236"/>
          </reference>
        </references>
      </pivotArea>
    </format>
    <format dxfId="637">
      <pivotArea dataOnly="0" labelOnly="1" outline="0" fieldPosition="0">
        <references count="1">
          <reference field="4294967294" count="2">
            <x v="0"/>
            <x v="1"/>
          </reference>
        </references>
      </pivotArea>
    </format>
    <format dxfId="636">
      <pivotArea field="1" type="button" dataOnly="0" labelOnly="1" outline="0" axis="axisRow" fieldPosition="0"/>
    </format>
    <format dxfId="635">
      <pivotArea field="5" type="button" dataOnly="0" labelOnly="1" outline="0" axis="axisRow" fieldPosition="1"/>
    </format>
    <format dxfId="634">
      <pivotArea field="11" type="button" dataOnly="0" labelOnly="1" outline="0" axis="axisRow" fieldPosition="2"/>
    </format>
    <format dxfId="633">
      <pivotArea field="12" type="button" dataOnly="0" labelOnly="1" outline="0" axis="axisRow" fieldPosition="3"/>
    </format>
    <format dxfId="632">
      <pivotArea field="24" type="button" dataOnly="0" labelOnly="1" outline="0"/>
    </format>
    <format dxfId="631">
      <pivotArea field="21" type="button" dataOnly="0" labelOnly="1" outline="0" axis="axisRow" fieldPosition="4"/>
    </format>
    <format dxfId="630">
      <pivotArea field="19" type="button" dataOnly="0" labelOnly="1" outline="0" axis="axisRow" fieldPosition="5"/>
    </format>
    <format dxfId="6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3" firstHeaderRow="0" firstDataRow="1" firstDataCol="3" rowPageCount="1" colPageCount="1"/>
  <pivotFields count="31">
    <pivotField axis="axisPage"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12"/>
        <item x="7"/>
        <item x="18"/>
        <item x="14"/>
        <item x="5"/>
        <item x="19"/>
        <item x="9"/>
        <item x="10"/>
        <item x="4"/>
        <item x="17"/>
        <item x="0"/>
        <item x="16"/>
        <item x="20"/>
        <item x="8"/>
        <item x="6"/>
        <item x="13"/>
        <item x="1"/>
        <item x="22"/>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9"/>
        <item x="218"/>
        <item x="73"/>
        <item x="217"/>
        <item x="219"/>
        <item x="295"/>
        <item x="220"/>
        <item x="271"/>
        <item x="248"/>
        <item x="266"/>
        <item x="221"/>
        <item x="222"/>
        <item x="224"/>
        <item x="226"/>
        <item x="228"/>
        <item x="229"/>
        <item x="231"/>
        <item x="232"/>
        <item x="215"/>
        <item x="223"/>
        <item x="225"/>
        <item x="296"/>
        <item x="230"/>
        <item x="227"/>
        <item x="213"/>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0">
    <i>
      <x/>
      <x v="183"/>
      <x v="14"/>
    </i>
    <i>
      <x v="1"/>
      <x v="151"/>
      <x v="14"/>
    </i>
    <i>
      <x v="2"/>
      <x v="185"/>
      <x v="14"/>
    </i>
    <i>
      <x v="3"/>
      <x v="184"/>
      <x v="14"/>
    </i>
    <i>
      <x v="4"/>
      <x v="186"/>
      <x v="14"/>
    </i>
    <i>
      <x v="5"/>
      <x v="170"/>
      <x v="14"/>
    </i>
    <i>
      <x v="6"/>
      <x v="171"/>
      <x v="14"/>
    </i>
    <i>
      <x v="7"/>
      <x v="81"/>
      <x v="14"/>
    </i>
    <i>
      <x v="8"/>
      <x v="175"/>
      <x v="14"/>
    </i>
    <i>
      <x v="9"/>
      <x v="272"/>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4"/>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4"/>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0"/>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1"/>
      <x v="6"/>
    </i>
    <i>
      <x v="242"/>
      <x v="237"/>
      <x v="16"/>
    </i>
    <i>
      <x v="243"/>
      <x v="238"/>
      <x v="9"/>
    </i>
    <i>
      <x v="244"/>
      <x v="235"/>
      <x v="15"/>
    </i>
    <i>
      <x v="245"/>
      <x v="236"/>
      <x v="15"/>
    </i>
    <i>
      <x v="246"/>
      <x v="279"/>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96"/>
      <x v="22"/>
    </i>
    <i>
      <x v="279"/>
      <x v="270"/>
      <x v="22"/>
    </i>
    <i>
      <x v="280"/>
      <x v="290"/>
      <x v="22"/>
    </i>
    <i>
      <x v="281"/>
      <x v="271"/>
      <x v="22"/>
    </i>
    <i>
      <x v="282"/>
      <x v="275"/>
      <x v="10"/>
    </i>
    <i>
      <x v="283"/>
      <x v="273"/>
      <x v="14"/>
    </i>
    <i>
      <x v="284"/>
      <x v="276"/>
      <x v="14"/>
    </i>
    <i>
      <x v="285"/>
      <x v="278"/>
      <x v="20"/>
    </i>
    <i>
      <x v="286"/>
      <x v="277"/>
      <x v="6"/>
    </i>
    <i>
      <x v="287"/>
      <x v="282"/>
      <x v="10"/>
    </i>
    <i>
      <x v="288"/>
      <x v="283"/>
      <x v="10"/>
    </i>
    <i>
      <x v="289"/>
      <x v="291"/>
      <x v="10"/>
    </i>
    <i>
      <x v="290"/>
      <x v="284"/>
      <x v="10"/>
    </i>
    <i>
      <x v="291"/>
      <x v="292"/>
      <x v="14"/>
    </i>
    <i>
      <x v="292"/>
      <x v="285"/>
      <x v="14"/>
    </i>
    <i>
      <x v="293"/>
      <x v="295"/>
      <x v="14"/>
    </i>
    <i>
      <x v="294"/>
      <x v="286"/>
      <x v="14"/>
    </i>
    <i>
      <x v="295"/>
      <x v="287"/>
      <x v="2"/>
    </i>
    <i>
      <x v="296"/>
      <x v="294"/>
      <x v="20"/>
    </i>
    <i>
      <x v="297"/>
      <x v="288"/>
      <x v="2"/>
    </i>
    <i>
      <x v="298"/>
      <x v="289"/>
      <x v="14"/>
    </i>
    <i>
      <x v="299"/>
      <x v="293"/>
      <x v="20"/>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3" firstHeaderRow="1" firstDataRow="1" firstDataCol="4"/>
  <pivotFields count="31">
    <pivotField axis="axisRow"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7">
        <item x="139"/>
        <item x="147"/>
        <item x="136"/>
        <item x="205"/>
        <item x="47"/>
        <item x="219"/>
        <item x="144"/>
        <item x="157"/>
        <item x="141"/>
        <item x="283"/>
        <item x="161"/>
        <item x="138"/>
        <item x="86"/>
        <item x="287"/>
        <item x="288"/>
        <item x="177"/>
        <item x="178"/>
        <item x="176"/>
        <item x="137"/>
        <item x="155"/>
        <item x="140"/>
        <item x="107"/>
        <item x="106"/>
        <item x="119"/>
        <item x="188"/>
        <item x="103"/>
        <item x="82"/>
        <item x="39"/>
        <item x="131"/>
        <item x="202"/>
        <item x="142"/>
        <item x="9"/>
        <item x="116"/>
        <item x="148"/>
        <item x="224"/>
        <item x="154"/>
        <item x="257"/>
        <item x="258"/>
        <item x="43"/>
        <item x="286"/>
        <item x="210"/>
        <item x="25"/>
        <item x="108"/>
        <item x="129"/>
        <item x="158"/>
        <item x="156"/>
        <item x="194"/>
        <item x="134"/>
        <item x="241"/>
        <item x="293"/>
        <item x="251"/>
        <item x="191"/>
        <item x="40"/>
        <item x="115"/>
        <item x="49"/>
        <item x="170"/>
        <item x="179"/>
        <item x="189"/>
        <item x="15"/>
        <item x="16"/>
        <item x="227"/>
        <item x="114"/>
        <item x="282"/>
        <item x="218"/>
        <item x="281"/>
        <item x="45"/>
        <item x="231"/>
        <item x="279"/>
        <item x="164"/>
        <item x="245"/>
        <item x="193"/>
        <item x="246"/>
        <item x="291"/>
        <item x="247"/>
        <item x="294"/>
        <item x="10"/>
        <item x="74"/>
        <item x="71"/>
        <item x="166"/>
        <item x="110"/>
        <item x="222"/>
        <item x="42"/>
        <item x="118"/>
        <item x="229"/>
        <item x="128"/>
        <item x="127"/>
        <item x="212"/>
        <item x="12"/>
        <item x="11"/>
        <item x="162"/>
        <item x="149"/>
        <item x="135"/>
        <item x="46"/>
        <item x="278"/>
        <item x="68"/>
        <item x="66"/>
        <item x="67"/>
        <item x="124"/>
        <item x="196"/>
        <item x="73"/>
        <item x="199"/>
        <item x="101"/>
        <item x="183"/>
        <item x="24"/>
        <item x="112"/>
        <item x="61"/>
        <item x="266"/>
        <item x="28"/>
        <item x="26"/>
        <item x="37"/>
        <item x="36"/>
        <item x="296"/>
        <item x="180"/>
        <item x="185"/>
        <item x="13"/>
        <item x="59"/>
        <item x="7"/>
        <item x="290"/>
        <item x="174"/>
        <item x="175"/>
        <item x="292"/>
        <item x="60"/>
        <item x="268"/>
        <item x="163"/>
        <item x="122"/>
        <item x="192"/>
        <item x="121"/>
        <item x="190"/>
        <item x="123"/>
        <item x="111"/>
        <item x="55"/>
        <item x="240"/>
        <item x="255"/>
        <item x="63"/>
        <item x="88"/>
        <item x="87"/>
        <item x="90"/>
        <item x="92"/>
        <item x="93"/>
        <item x="89"/>
        <item x="94"/>
        <item x="91"/>
        <item x="17"/>
        <item x="18"/>
        <item x="100"/>
        <item x="84"/>
        <item x="81"/>
        <item x="80"/>
        <item x="85"/>
        <item x="83"/>
        <item x="146"/>
        <item x="248"/>
        <item x="195"/>
        <item x="32"/>
        <item x="53"/>
        <item x="54"/>
        <item x="280"/>
        <item x="270"/>
        <item x="269"/>
        <item x="243"/>
        <item x="237"/>
        <item x="203"/>
        <item x="167"/>
        <item x="273"/>
        <item x="238"/>
        <item x="263"/>
        <item x="249"/>
        <item x="145"/>
        <item x="259"/>
        <item x="262"/>
        <item x="48"/>
        <item x="209"/>
        <item x="14"/>
        <item x="221"/>
        <item x="58"/>
        <item x="125"/>
        <item x="236"/>
        <item x="233"/>
        <item x="260"/>
        <item x="235"/>
        <item x="252"/>
        <item x="234"/>
        <item x="253"/>
        <item x="242"/>
        <item x="239"/>
        <item x="271"/>
        <item x="168"/>
        <item x="171"/>
        <item x="126"/>
        <item x="159"/>
        <item x="264"/>
        <item x="244"/>
        <item x="256"/>
        <item x="261"/>
        <item x="284"/>
        <item x="217"/>
        <item x="223"/>
        <item x="276"/>
        <item x="277"/>
        <item x="275"/>
        <item x="21"/>
        <item x="51"/>
        <item x="97"/>
        <item x="77"/>
        <item x="254"/>
        <item x="75"/>
        <item x="182"/>
        <item x="30"/>
        <item x="130"/>
        <item x="31"/>
        <item x="200"/>
        <item x="265"/>
        <item x="78"/>
        <item x="79"/>
        <item x="120"/>
        <item x="56"/>
        <item x="1"/>
        <item x="69"/>
        <item x="133"/>
        <item x="232"/>
        <item x="117"/>
        <item x="113"/>
        <item x="295"/>
        <item x="267"/>
        <item x="172"/>
        <item x="96"/>
        <item x="160"/>
        <item x="62"/>
        <item x="132"/>
        <item x="29"/>
        <item x="22"/>
        <item x="27"/>
        <item x="23"/>
        <item x="150"/>
        <item x="44"/>
        <item x="102"/>
        <item x="220"/>
        <item x="151"/>
        <item x="201"/>
        <item x="98"/>
        <item x="197"/>
        <item x="198"/>
        <item x="187"/>
        <item x="70"/>
        <item x="211"/>
        <item x="206"/>
        <item x="208"/>
        <item x="5"/>
        <item x="6"/>
        <item x="38"/>
        <item x="64"/>
        <item x="65"/>
        <item x="274"/>
        <item x="8"/>
        <item x="181"/>
        <item x="213"/>
        <item x="76"/>
        <item x="184"/>
        <item x="285"/>
        <item x="169"/>
        <item x="52"/>
        <item x="214"/>
        <item x="216"/>
        <item x="215"/>
        <item x="226"/>
        <item x="104"/>
        <item x="57"/>
        <item x="0"/>
        <item x="20"/>
        <item x="3"/>
        <item x="2"/>
        <item x="4"/>
        <item x="207"/>
        <item x="34"/>
        <item x="186"/>
        <item x="95"/>
        <item x="173"/>
        <item x="228"/>
        <item x="72"/>
        <item x="225"/>
        <item x="272"/>
        <item x="230"/>
        <item x="35"/>
        <item x="33"/>
        <item x="204"/>
        <item x="153"/>
        <item x="152"/>
        <item x="289"/>
        <item x="109"/>
        <item x="41"/>
        <item x="143"/>
        <item x="19"/>
        <item x="50"/>
        <item x="99"/>
        <item x="105"/>
        <item x="165"/>
        <item x="250"/>
      </items>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36"/>
        <item x="237"/>
        <item x="238"/>
        <item x="239"/>
        <item x="240"/>
        <item x="241"/>
        <item x="242"/>
        <item x="243"/>
        <item x="244"/>
        <item x="245"/>
        <item x="246"/>
        <item x="247"/>
        <item x="248"/>
        <item x="249"/>
        <item x="250"/>
        <item x="251"/>
        <item x="252"/>
        <item x="253"/>
        <item x="254"/>
        <item x="255"/>
        <item x="256"/>
        <item x="257"/>
        <item x="258"/>
        <item x="259"/>
        <item x="260"/>
        <item x="261"/>
        <item x="188"/>
        <item x="189"/>
        <item x="190"/>
        <item x="191"/>
        <item x="192"/>
        <item x="262"/>
        <item x="263"/>
        <item x="264"/>
        <item x="193"/>
        <item x="265"/>
        <item x="194"/>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7">
        <item x="5"/>
        <item x="0"/>
        <item x="1"/>
        <item x="2"/>
        <item x="23"/>
        <item x="3"/>
        <item x="12"/>
        <item x="13"/>
        <item x="4"/>
        <item x="7"/>
        <item x="19"/>
        <item x="6"/>
        <item x="8"/>
        <item x="14"/>
        <item x="25"/>
        <item x="17"/>
        <item x="16"/>
        <item x="15"/>
        <item x="22"/>
        <item x="24"/>
        <item x="9"/>
        <item x="10"/>
        <item x="20"/>
        <item x="27"/>
        <item x="26"/>
        <item x="18"/>
        <item x="47"/>
        <item x="21"/>
        <item x="48"/>
        <item x="29"/>
        <item x="51"/>
        <item x="50"/>
        <item x="28"/>
        <item x="49"/>
        <item x="30"/>
        <item x="33"/>
        <item x="32"/>
        <item x="31"/>
        <item x="34"/>
        <item x="53"/>
        <item x="54"/>
        <item x="52"/>
        <item x="35"/>
        <item n="0" x="11"/>
        <item x="55"/>
        <item x="36"/>
        <item x="37"/>
        <item x="56"/>
        <item x="38"/>
        <item x="40"/>
        <item x="39"/>
        <item x="41"/>
        <item x="42"/>
        <item x="43"/>
        <item x="45"/>
        <item x="46"/>
        <item x="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0">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173"/>
      <x v="1"/>
      <x v="43"/>
    </i>
    <i>
      <x v="56"/>
      <x v="182"/>
      <x/>
      <x v="43"/>
    </i>
    <i>
      <x v="57"/>
      <x v="218"/>
      <x v="1"/>
      <x v="22"/>
    </i>
    <i>
      <x v="58"/>
      <x v="15"/>
      <x v="1"/>
      <x v="2"/>
    </i>
    <i>
      <x v="59"/>
      <x v="16"/>
      <x v="1"/>
      <x v="2"/>
    </i>
    <i>
      <x v="60"/>
      <x v="293"/>
      <x v="1"/>
      <x v="56"/>
    </i>
    <i>
      <x v="61"/>
      <x v="114"/>
      <x v="1"/>
      <x v="13"/>
    </i>
    <i>
      <x v="62"/>
      <x v="262"/>
      <x/>
      <x v="43"/>
    </i>
    <i>
      <x v="63"/>
      <x v="283"/>
      <x v="1"/>
      <x v="49"/>
    </i>
    <i>
      <x v="64"/>
      <x v="261"/>
      <x/>
      <x v="43"/>
    </i>
    <i>
      <x v="65"/>
      <x v="45"/>
      <x/>
      <x v="43"/>
    </i>
    <i>
      <x v="66"/>
      <x v="297"/>
      <x v="1"/>
      <x v="43"/>
    </i>
    <i>
      <x v="67"/>
      <x v="259"/>
      <x/>
      <x v="43"/>
    </i>
    <i>
      <x v="68"/>
      <x v="167"/>
      <x v="1"/>
      <x v="43"/>
    </i>
    <i>
      <x v="69"/>
      <x v="200"/>
      <x/>
      <x v="18"/>
    </i>
    <i>
      <x v="70"/>
      <x v="227"/>
      <x/>
      <x v="34"/>
    </i>
    <i>
      <x v="71"/>
      <x v="201"/>
      <x v="1"/>
      <x v="17"/>
    </i>
    <i>
      <x v="72"/>
      <x v="271"/>
      <x v="1"/>
      <x v="44"/>
    </i>
    <i>
      <x v="73"/>
      <x v="202"/>
      <x v="1"/>
      <x v="17"/>
    </i>
    <i>
      <x v="74"/>
      <x v="277"/>
      <x v="1"/>
      <x v="47"/>
    </i>
    <i>
      <x v="75"/>
      <x v="10"/>
      <x v="1"/>
      <x v="8"/>
    </i>
    <i>
      <x v="76"/>
      <x v="74"/>
      <x v="1"/>
      <x v="12"/>
    </i>
    <i>
      <x v="77"/>
      <x v="71"/>
      <x/>
      <x v="43"/>
    </i>
    <i>
      <x v="78"/>
      <x v="169"/>
      <x/>
      <x v="19"/>
    </i>
    <i>
      <x v="79"/>
      <x v="110"/>
      <x/>
      <x v="1"/>
    </i>
    <i>
      <x v="80"/>
      <x v="288"/>
      <x v="1"/>
      <x v="53"/>
    </i>
    <i>
      <x v="81"/>
      <x v="42"/>
      <x/>
      <x v="43"/>
    </i>
    <i>
      <x v="82"/>
      <x v="118"/>
      <x v="1"/>
      <x v="5"/>
    </i>
    <i>
      <x v="83"/>
      <x v="295"/>
      <x v="1"/>
      <x v="43"/>
    </i>
    <i>
      <x v="84"/>
      <x v="128"/>
      <x v="1"/>
      <x v="27"/>
    </i>
    <i>
      <x v="85"/>
      <x v="127"/>
      <x/>
      <x v="43"/>
    </i>
    <i>
      <x v="86"/>
      <x v="276"/>
      <x v="1"/>
      <x v="46"/>
    </i>
    <i>
      <x v="87"/>
      <x v="12"/>
      <x v="1"/>
      <x/>
    </i>
    <i>
      <x v="88"/>
      <x v="11"/>
      <x v="1"/>
      <x v="1"/>
    </i>
    <i>
      <x v="89"/>
      <x v="162"/>
      <x v="1"/>
      <x v="9"/>
    </i>
    <i>
      <x v="90"/>
      <x v="149"/>
      <x v="1"/>
      <x v="18"/>
    </i>
    <i>
      <x v="91"/>
      <x v="135"/>
      <x v="1"/>
      <x v="18"/>
    </i>
    <i>
      <x v="92"/>
      <x v="46"/>
      <x v="1"/>
      <x v="1"/>
    </i>
    <i>
      <x v="93"/>
      <x v="258"/>
      <x v="1"/>
      <x v="43"/>
    </i>
    <i>
      <x v="94"/>
      <x v="68"/>
      <x v="1"/>
      <x v="12"/>
    </i>
    <i>
      <x v="95"/>
      <x v="66"/>
      <x v="1"/>
      <x v="6"/>
    </i>
    <i>
      <x v="96"/>
      <x v="67"/>
      <x v="1"/>
      <x v="11"/>
    </i>
    <i>
      <x v="97"/>
      <x v="124"/>
      <x/>
      <x v="15"/>
    </i>
    <i>
      <x v="98"/>
      <x v="231"/>
      <x v="1"/>
      <x v="37"/>
    </i>
    <i>
      <x v="99"/>
      <x v="73"/>
      <x v="1"/>
      <x v="12"/>
    </i>
    <i>
      <x v="100"/>
      <x v="234"/>
      <x/>
      <x v="36"/>
    </i>
    <i>
      <x v="101"/>
      <x v="101"/>
      <x/>
      <x v="43"/>
    </i>
    <i>
      <x v="102"/>
      <x v="186"/>
      <x/>
      <x v="23"/>
    </i>
    <i>
      <x v="103"/>
      <x v="24"/>
      <x v="1"/>
      <x v="12"/>
    </i>
    <i>
      <x v="104"/>
      <x v="112"/>
      <x v="1"/>
      <x v="1"/>
    </i>
    <i>
      <x v="105"/>
      <x v="61"/>
      <x/>
      <x v="43"/>
    </i>
    <i>
      <x v="106"/>
      <x v="241"/>
      <x v="1"/>
      <x v="41"/>
    </i>
    <i>
      <x v="107"/>
      <x v="28"/>
      <x v="1"/>
      <x v="21"/>
    </i>
    <i>
      <x v="108"/>
      <x v="26"/>
      <x v="1"/>
      <x v="20"/>
    </i>
    <i>
      <x v="109"/>
      <x v="37"/>
      <x v="1"/>
      <x v="13"/>
    </i>
    <i>
      <x v="110"/>
      <x v="36"/>
      <x v="1"/>
      <x v="7"/>
    </i>
    <i>
      <x v="111"/>
      <x v="299"/>
      <x v="2"/>
      <x v="55"/>
    </i>
    <i>
      <x v="112"/>
      <x v="183"/>
      <x v="1"/>
      <x v="24"/>
    </i>
    <i>
      <x v="113"/>
      <x v="214"/>
      <x v="1"/>
      <x v="24"/>
    </i>
    <i>
      <x v="114"/>
      <x v="13"/>
      <x v="1"/>
      <x v="3"/>
    </i>
    <i>
      <x v="115"/>
      <x v="59"/>
      <x v="1"/>
      <x v="12"/>
    </i>
    <i>
      <x v="116"/>
      <x v="7"/>
      <x v="1"/>
      <x v="2"/>
    </i>
    <i>
      <x v="117"/>
      <x v="270"/>
      <x v="1"/>
      <x v="43"/>
    </i>
    <i>
      <x v="118"/>
      <x v="177"/>
      <x/>
      <x v="43"/>
    </i>
    <i>
      <x v="119"/>
      <x v="178"/>
      <x/>
      <x v="43"/>
    </i>
    <i>
      <x v="120"/>
      <x v="272"/>
      <x v="1"/>
      <x v="43"/>
    </i>
    <i>
      <x v="121"/>
      <x v="60"/>
      <x/>
      <x v="43"/>
    </i>
    <i>
      <x v="122"/>
      <x v="243"/>
      <x v="1"/>
      <x v="38"/>
    </i>
    <i>
      <x v="123"/>
      <x v="165"/>
      <x/>
      <x v="43"/>
    </i>
    <i>
      <x v="124"/>
      <x v="122"/>
      <x v="1"/>
      <x v="9"/>
    </i>
    <i>
      <x v="125"/>
      <x v="225"/>
      <x v="1"/>
      <x v="29"/>
    </i>
    <i>
      <x v="126"/>
      <x v="121"/>
      <x v="1"/>
      <x v="6"/>
    </i>
    <i>
      <x v="127"/>
      <x v="222"/>
      <x v="1"/>
      <x v="32"/>
    </i>
    <i>
      <x v="128"/>
      <x v="123"/>
      <x v="1"/>
      <x v="43"/>
    </i>
    <i>
      <x v="129"/>
      <x v="111"/>
      <x/>
      <x v="43"/>
    </i>
    <i>
      <x v="130"/>
      <x v="55"/>
      <x/>
      <x v="5"/>
    </i>
    <i>
      <x v="131"/>
      <x v="195"/>
      <x v="1"/>
      <x v="11"/>
    </i>
    <i>
      <x v="132"/>
      <x v="210"/>
      <x v="1"/>
      <x v="12"/>
    </i>
    <i>
      <x v="133"/>
      <x v="63"/>
      <x v="1"/>
      <x v="25"/>
    </i>
    <i>
      <x v="134"/>
      <x v="88"/>
      <x/>
      <x v="43"/>
    </i>
    <i>
      <x v="135"/>
      <x v="87"/>
      <x/>
      <x v="43"/>
    </i>
    <i>
      <x v="136"/>
      <x v="90"/>
      <x/>
      <x v="43"/>
    </i>
    <i>
      <x v="137"/>
      <x v="92"/>
      <x/>
      <x v="43"/>
    </i>
    <i>
      <x v="138"/>
      <x v="93"/>
      <x/>
      <x v="43"/>
    </i>
    <i>
      <x v="139"/>
      <x v="89"/>
      <x/>
      <x v="43"/>
    </i>
    <i>
      <x v="140"/>
      <x v="94"/>
      <x/>
      <x v="43"/>
    </i>
    <i>
      <x v="141"/>
      <x v="91"/>
      <x/>
      <x v="43"/>
    </i>
    <i>
      <x v="142"/>
      <x v="17"/>
      <x v="1"/>
      <x v="5"/>
    </i>
    <i>
      <x v="143"/>
      <x v="18"/>
      <x v="1"/>
      <x v="5"/>
    </i>
    <i>
      <x v="144"/>
      <x v="100"/>
      <x/>
      <x v="43"/>
    </i>
    <i>
      <x v="145"/>
      <x v="84"/>
      <x/>
      <x v="43"/>
    </i>
    <i>
      <x v="146"/>
      <x v="81"/>
      <x/>
      <x v="43"/>
    </i>
    <i>
      <x v="147"/>
      <x v="80"/>
      <x/>
      <x v="43"/>
    </i>
    <i>
      <x v="148"/>
      <x v="85"/>
      <x v="1"/>
      <x v="15"/>
    </i>
    <i>
      <x v="149"/>
      <x v="83"/>
      <x/>
      <x v="43"/>
    </i>
    <i>
      <x v="150"/>
      <x v="146"/>
      <x/>
      <x v="43"/>
    </i>
    <i>
      <x v="151"/>
      <x v="203"/>
      <x v="1"/>
      <x v="18"/>
    </i>
    <i>
      <x v="152"/>
      <x v="229"/>
      <x v="1"/>
      <x v="18"/>
    </i>
    <i>
      <x v="153"/>
      <x v="32"/>
      <x/>
      <x v="43"/>
    </i>
    <i>
      <x v="154"/>
      <x v="53"/>
      <x v="1"/>
      <x v="1"/>
    </i>
    <i>
      <x v="155"/>
      <x v="54"/>
      <x/>
      <x v="3"/>
    </i>
    <i>
      <x v="156"/>
      <x v="260"/>
      <x/>
      <x v="43"/>
    </i>
    <i>
      <x v="157"/>
      <x v="245"/>
      <x v="1"/>
      <x v="40"/>
    </i>
    <i>
      <x v="158"/>
      <x v="244"/>
      <x/>
      <x v="39"/>
    </i>
    <i>
      <x v="159"/>
      <x v="198"/>
      <x/>
      <x v="14"/>
    </i>
    <i>
      <x v="160"/>
      <x v="192"/>
      <x/>
      <x v="43"/>
    </i>
    <i>
      <x v="161"/>
      <x v="240"/>
      <x/>
      <x v="43"/>
    </i>
    <i>
      <x v="162"/>
      <x v="170"/>
      <x/>
      <x v="14"/>
    </i>
    <i>
      <x v="163"/>
      <x v="248"/>
      <x v="1"/>
      <x v="39"/>
    </i>
    <i>
      <x v="164"/>
      <x v="193"/>
      <x v="1"/>
      <x v="4"/>
    </i>
    <i>
      <x v="165"/>
      <x v="226"/>
      <x v="1"/>
      <x v="4"/>
    </i>
    <i>
      <x v="166"/>
      <x v="204"/>
      <x/>
      <x v="4"/>
    </i>
    <i>
      <x v="167"/>
      <x v="145"/>
      <x/>
      <x v="18"/>
    </i>
    <i>
      <x v="168"/>
      <x v="219"/>
      <x v="1"/>
      <x v="28"/>
    </i>
    <i>
      <x v="169"/>
      <x v="223"/>
      <x v="1"/>
      <x v="30"/>
    </i>
    <i>
      <x v="170"/>
      <x v="48"/>
      <x v="1"/>
      <x v="16"/>
    </i>
    <i>
      <x v="171"/>
      <x v="253"/>
      <x v="1"/>
      <x v="42"/>
    </i>
    <i>
      <x v="172"/>
      <x v="14"/>
      <x/>
      <x v="5"/>
    </i>
    <i>
      <x v="173"/>
      <x v="287"/>
      <x v="1"/>
      <x v="53"/>
    </i>
    <i>
      <x v="174"/>
      <x v="58"/>
      <x v="1"/>
      <x v="43"/>
    </i>
    <i>
      <x v="175"/>
      <x v="125"/>
      <x/>
      <x v="43"/>
    </i>
    <i>
      <x v="176"/>
      <x v="191"/>
      <x v="1"/>
      <x v="26"/>
    </i>
    <i>
      <x v="177"/>
      <x v="188"/>
      <x v="1"/>
      <x v="7"/>
    </i>
    <i>
      <x v="178"/>
      <x v="220"/>
      <x v="1"/>
      <x v="33"/>
    </i>
    <i>
      <x v="179"/>
      <x v="190"/>
      <x v="1"/>
      <x v="7"/>
    </i>
    <i>
      <x v="180"/>
      <x v="207"/>
      <x/>
      <x v="43"/>
    </i>
    <i>
      <x v="181"/>
      <x v="189"/>
      <x/>
      <x v="43"/>
    </i>
    <i>
      <x v="182"/>
      <x v="208"/>
      <x/>
      <x v="4"/>
    </i>
    <i>
      <x v="183"/>
      <x v="197"/>
      <x/>
      <x v="43"/>
    </i>
    <i>
      <x v="184"/>
      <x v="194"/>
      <x v="1"/>
      <x v="7"/>
    </i>
    <i>
      <x v="185"/>
      <x v="246"/>
      <x v="1"/>
      <x v="39"/>
    </i>
    <i>
      <x v="186"/>
      <x v="171"/>
      <x/>
      <x v="14"/>
    </i>
    <i>
      <x v="187"/>
      <x v="174"/>
      <x/>
      <x v="43"/>
    </i>
    <i>
      <x v="188"/>
      <x v="126"/>
      <x/>
      <x v="43"/>
    </i>
    <i>
      <x v="189"/>
      <x v="159"/>
      <x v="1"/>
      <x v="18"/>
    </i>
    <i>
      <x v="190"/>
      <x v="230"/>
      <x v="1"/>
      <x v="35"/>
    </i>
    <i>
      <x v="191"/>
      <x v="199"/>
      <x v="1"/>
      <x v="11"/>
    </i>
    <i>
      <x v="192"/>
      <x v="211"/>
      <x/>
      <x v="43"/>
    </i>
    <i>
      <x v="193"/>
      <x v="221"/>
      <x v="1"/>
      <x v="31"/>
    </i>
    <i>
      <x v="194"/>
      <x v="264"/>
      <x/>
      <x v="43"/>
    </i>
    <i>
      <x v="195"/>
      <x v="282"/>
      <x/>
      <x v="50"/>
    </i>
    <i>
      <x v="196"/>
      <x v="289"/>
      <x v="1"/>
      <x v="53"/>
    </i>
    <i>
      <x v="197"/>
      <x v="256"/>
      <x/>
      <x v="43"/>
    </i>
    <i>
      <x v="198"/>
      <x v="257"/>
      <x/>
      <x v="43"/>
    </i>
    <i>
      <x v="199"/>
      <x v="255"/>
      <x/>
      <x v="43"/>
    </i>
    <i>
      <x v="200"/>
      <x v="21"/>
      <x v="1"/>
      <x v="8"/>
    </i>
    <i>
      <x v="201"/>
      <x v="51"/>
      <x v="1"/>
      <x v="6"/>
    </i>
    <i>
      <x v="202"/>
      <x v="97"/>
      <x v="1"/>
      <x v="22"/>
    </i>
    <i>
      <x v="203"/>
      <x v="77"/>
      <x/>
      <x v="10"/>
    </i>
    <i>
      <x v="204"/>
      <x v="209"/>
      <x/>
      <x v="19"/>
    </i>
    <i>
      <x v="205"/>
      <x v="75"/>
      <x v="1"/>
      <x v="10"/>
    </i>
    <i>
      <x v="206"/>
      <x v="185"/>
      <x/>
      <x v="22"/>
    </i>
    <i>
      <x v="207"/>
      <x v="30"/>
      <x v="1"/>
      <x v="12"/>
    </i>
    <i>
      <x v="208"/>
      <x v="130"/>
      <x v="1"/>
      <x v="9"/>
    </i>
    <i>
      <x v="209"/>
      <x v="31"/>
      <x/>
      <x v="43"/>
    </i>
    <i>
      <x v="210"/>
      <x v="235"/>
      <x v="1"/>
      <x v="35"/>
    </i>
    <i>
      <x v="211"/>
      <x v="238"/>
      <x v="1"/>
      <x v="35"/>
    </i>
    <i>
      <x v="212"/>
      <x v="78"/>
      <x/>
      <x v="15"/>
    </i>
    <i>
      <x v="213"/>
      <x v="79"/>
      <x/>
      <x v="43"/>
    </i>
    <i>
      <x v="214"/>
      <x v="120"/>
      <x v="1"/>
      <x v="11"/>
    </i>
    <i>
      <x v="215"/>
      <x v="56"/>
      <x/>
      <x v="5"/>
    </i>
    <i>
      <x v="216"/>
      <x v="1"/>
      <x v="1"/>
      <x v="1"/>
    </i>
    <i>
      <x v="217"/>
      <x v="69"/>
      <x v="1"/>
      <x v="15"/>
    </i>
    <i>
      <x v="218"/>
      <x v="133"/>
      <x v="1"/>
      <x v="17"/>
    </i>
    <i>
      <x v="219"/>
      <x v="298"/>
      <x v="1"/>
      <x v="55"/>
    </i>
    <i>
      <x v="220"/>
      <x v="117"/>
      <x v="1"/>
      <x v="11"/>
    </i>
    <i>
      <x v="221"/>
      <x v="113"/>
      <x v="1"/>
      <x v="2"/>
    </i>
    <i>
      <x v="222"/>
      <x v="286"/>
      <x v="1"/>
      <x v="38"/>
    </i>
    <i>
      <x v="223"/>
      <x v="242"/>
      <x v="1"/>
      <x v="38"/>
    </i>
    <i>
      <x v="224"/>
      <x v="175"/>
      <x v="1"/>
      <x v="14"/>
    </i>
    <i>
      <x v="225"/>
      <x v="96"/>
      <x/>
      <x v="43"/>
    </i>
    <i>
      <x v="226"/>
      <x v="160"/>
      <x v="1"/>
      <x v="18"/>
    </i>
    <i>
      <x v="227"/>
      <x v="62"/>
      <x/>
      <x v="43"/>
    </i>
    <i>
      <x v="228"/>
      <x v="132"/>
      <x v="1"/>
      <x v="6"/>
    </i>
    <i>
      <x v="229"/>
      <x v="29"/>
      <x v="1"/>
      <x v="2"/>
    </i>
    <i>
      <x v="230"/>
      <x v="22"/>
      <x v="1"/>
      <x v="1"/>
    </i>
    <i>
      <x v="231"/>
      <x v="27"/>
      <x v="1"/>
      <x v="1"/>
    </i>
    <i>
      <x v="232"/>
      <x v="23"/>
      <x/>
      <x v="9"/>
    </i>
    <i>
      <x v="233"/>
      <x v="150"/>
      <x v="1"/>
      <x v="18"/>
    </i>
    <i>
      <x v="234"/>
      <x v="44"/>
      <x v="1"/>
      <x v="2"/>
    </i>
    <i>
      <x v="235"/>
      <x v="102"/>
      <x/>
      <x v="43"/>
    </i>
    <i>
      <x v="236"/>
      <x v="285"/>
      <x v="1"/>
      <x v="52"/>
    </i>
    <i>
      <x v="237"/>
      <x v="151"/>
      <x/>
      <x v="18"/>
    </i>
    <i>
      <x v="238"/>
      <x v="236"/>
      <x v="1"/>
      <x v="35"/>
    </i>
    <i>
      <x v="239"/>
      <x v="98"/>
      <x/>
      <x v="43"/>
    </i>
    <i>
      <x v="240"/>
      <x v="232"/>
      <x/>
      <x v="36"/>
    </i>
    <i>
      <x v="241"/>
      <x v="233"/>
      <x v="1"/>
      <x v="36"/>
    </i>
    <i>
      <x v="242"/>
      <x v="216"/>
      <x v="1"/>
      <x v="14"/>
    </i>
    <i>
      <x v="243"/>
      <x v="70"/>
      <x v="1"/>
      <x v="15"/>
    </i>
    <i>
      <x v="244"/>
      <x v="275"/>
      <x v="1"/>
      <x v="45"/>
    </i>
    <i>
      <x v="245"/>
      <x v="250"/>
      <x v="1"/>
      <x v="42"/>
    </i>
    <i>
      <x v="246"/>
      <x v="252"/>
      <x v="1"/>
      <x v="42"/>
    </i>
    <i>
      <x v="247"/>
      <x v="5"/>
      <x v="1"/>
      <x v="3"/>
    </i>
    <i>
      <x v="248"/>
      <x v="6"/>
      <x v="1"/>
      <x v="8"/>
    </i>
    <i>
      <x v="249"/>
      <x v="38"/>
      <x v="1"/>
      <x v="6"/>
    </i>
    <i>
      <x v="250"/>
      <x v="64"/>
      <x v="1"/>
      <x v="2"/>
    </i>
    <i>
      <x v="251"/>
      <x v="65"/>
      <x v="1"/>
      <x v="2"/>
    </i>
    <i>
      <x v="252"/>
      <x v="254"/>
      <x/>
      <x v="43"/>
    </i>
    <i>
      <x v="253"/>
      <x v="8"/>
      <x v="1"/>
      <x v="2"/>
    </i>
    <i>
      <x v="254"/>
      <x v="184"/>
      <x/>
      <x v="43"/>
    </i>
    <i>
      <x v="255"/>
      <x v="278"/>
      <x v="1"/>
      <x v="48"/>
    </i>
    <i>
      <x v="256"/>
      <x v="76"/>
      <x v="1"/>
      <x v="13"/>
    </i>
    <i>
      <x v="257"/>
      <x v="187"/>
      <x/>
      <x v="43"/>
    </i>
    <i>
      <x v="258"/>
      <x v="265"/>
      <x/>
      <x v="43"/>
    </i>
    <i>
      <x v="259"/>
      <x v="172"/>
      <x v="1"/>
      <x v="43"/>
    </i>
    <i>
      <x v="260"/>
      <x v="52"/>
      <x/>
      <x v="12"/>
    </i>
    <i>
      <x v="261"/>
      <x v="279"/>
      <x v="1"/>
      <x v="48"/>
    </i>
    <i>
      <x v="262"/>
      <x v="281"/>
      <x v="1"/>
      <x v="48"/>
    </i>
    <i>
      <x v="263"/>
      <x v="280"/>
      <x v="1"/>
      <x v="48"/>
    </i>
    <i>
      <x v="264"/>
      <x v="292"/>
      <x v="1"/>
      <x v="53"/>
    </i>
    <i>
      <x v="265"/>
      <x v="104"/>
      <x/>
      <x v="43"/>
    </i>
    <i>
      <x v="266"/>
      <x v="57"/>
      <x/>
      <x v="43"/>
    </i>
    <i>
      <x v="267"/>
      <x/>
      <x v="1"/>
      <x v="1"/>
    </i>
    <i>
      <x v="268"/>
      <x v="20"/>
      <x v="1"/>
      <x v="11"/>
    </i>
    <i>
      <x v="269"/>
      <x v="3"/>
      <x v="1"/>
      <x v="3"/>
    </i>
    <i>
      <x v="270"/>
      <x v="2"/>
      <x v="1"/>
      <x v="2"/>
    </i>
    <i>
      <x v="271"/>
      <x v="4"/>
      <x v="1"/>
      <x v="5"/>
    </i>
    <i>
      <x v="272"/>
      <x v="251"/>
      <x/>
      <x v="42"/>
    </i>
    <i>
      <x v="273"/>
      <x v="34"/>
      <x v="1"/>
      <x v="6"/>
    </i>
    <i>
      <x v="274"/>
      <x v="215"/>
      <x/>
      <x v="43"/>
    </i>
    <i>
      <x v="275"/>
      <x v="95"/>
      <x/>
      <x v="43"/>
    </i>
    <i>
      <x v="276"/>
      <x v="176"/>
      <x/>
      <x v="43"/>
    </i>
    <i>
      <x v="277"/>
      <x v="294"/>
      <x v="1"/>
      <x v="54"/>
    </i>
    <i>
      <x v="278"/>
      <x v="72"/>
      <x v="1"/>
      <x v="43"/>
    </i>
    <i>
      <x v="279"/>
      <x v="291"/>
      <x v="1"/>
      <x v="53"/>
    </i>
    <i>
      <x v="280"/>
      <x v="247"/>
      <x/>
      <x v="40"/>
    </i>
    <i>
      <x v="281"/>
      <x v="296"/>
      <x v="1"/>
      <x v="54"/>
    </i>
    <i>
      <x v="282"/>
      <x v="35"/>
      <x v="1"/>
      <x v="6"/>
    </i>
    <i>
      <x v="283"/>
      <x v="33"/>
      <x/>
      <x v="6"/>
    </i>
    <i>
      <x v="284"/>
      <x v="239"/>
      <x/>
      <x v="38"/>
    </i>
    <i>
      <x v="285"/>
      <x v="153"/>
      <x/>
      <x v="18"/>
    </i>
    <i>
      <x v="286"/>
      <x v="152"/>
      <x v="1"/>
      <x v="18"/>
    </i>
    <i>
      <x v="287"/>
      <x v="269"/>
      <x/>
      <x v="43"/>
    </i>
    <i>
      <x v="288"/>
      <x v="109"/>
      <x v="1"/>
      <x v="1"/>
    </i>
    <i>
      <x v="289"/>
      <x v="41"/>
      <x/>
      <x v="43"/>
    </i>
    <i>
      <x v="290"/>
      <x v="143"/>
      <x/>
      <x v="43"/>
    </i>
    <i>
      <x v="291"/>
      <x v="19"/>
      <x/>
      <x v="11"/>
    </i>
    <i>
      <x v="292"/>
      <x v="50"/>
      <x v="1"/>
      <x v="15"/>
    </i>
    <i>
      <x v="293"/>
      <x v="99"/>
      <x v="1"/>
      <x v="15"/>
    </i>
    <i>
      <x v="294"/>
      <x v="105"/>
      <x/>
      <x v="6"/>
    </i>
    <i>
      <x v="295"/>
      <x v="168"/>
      <x/>
      <x v="43"/>
    </i>
    <i>
      <x v="296"/>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TCL"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3" firstHeaderRow="1" firstDataRow="1" firstDataCol="2" rowPageCount="1" colPageCount="1"/>
  <pivotFields count="31">
    <pivotField axis="axisPage" compact="0" outline="0" multipleItemSelectionAllowed="1"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1"/>
        <item x="21"/>
        <item x="12"/>
        <item x="7"/>
        <item x="18"/>
        <item x="14"/>
        <item x="5"/>
        <item x="19"/>
        <item x="9"/>
        <item x="10"/>
        <item x="4"/>
        <item x="17"/>
        <item x="0"/>
        <item x="16"/>
        <item x="20"/>
        <item x="8"/>
        <item x="6"/>
        <item x="13"/>
        <item x="1"/>
        <item x="22"/>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03"/>
        <item x="82"/>
        <item x="39"/>
        <item x="131"/>
        <item x="142"/>
        <item x="116"/>
        <item x="148"/>
        <item x="154"/>
        <item x="257"/>
        <item x="258"/>
        <item x="43"/>
        <item x="25"/>
        <item x="108"/>
        <item x="129"/>
        <item x="158"/>
        <item x="156"/>
        <item x="134"/>
        <item x="241"/>
        <item x="251"/>
        <item x="40"/>
        <item x="115"/>
        <item x="49"/>
        <item x="170"/>
        <item x="17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3"/>
        <item x="59"/>
        <item x="7"/>
        <item x="174"/>
        <item x="175"/>
        <item x="60"/>
        <item x="163"/>
        <item x="122"/>
        <item x="121"/>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49"/>
        <item x="145"/>
        <item x="48"/>
        <item x="14"/>
        <item x="58"/>
        <item x="125"/>
        <item x="236"/>
        <item x="233"/>
        <item x="235"/>
        <item x="252"/>
        <item x="234"/>
        <item x="253"/>
        <item x="242"/>
        <item x="239"/>
        <item x="168"/>
        <item x="171"/>
        <item x="126"/>
        <item x="159"/>
        <item x="244"/>
        <item x="256"/>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70"/>
        <item x="5"/>
        <item x="6"/>
        <item x="38"/>
        <item x="64"/>
        <item x="65"/>
        <item x="8"/>
        <item x="181"/>
        <item x="76"/>
        <item x="184"/>
        <item x="169"/>
        <item x="52"/>
        <item x="104"/>
        <item x="57"/>
        <item x="0"/>
        <item x="3"/>
        <item x="2"/>
        <item x="4"/>
        <item x="34"/>
        <item x="95"/>
        <item x="173"/>
        <item x="72"/>
        <item x="35"/>
        <item x="33"/>
        <item x="153"/>
        <item x="152"/>
        <item x="109"/>
        <item x="41"/>
        <item x="143"/>
        <item x="19"/>
        <item x="50"/>
        <item x="99"/>
        <item x="165"/>
        <item x="250"/>
        <item x="185"/>
        <item x="187"/>
        <item x="186"/>
        <item x="188"/>
        <item x="189"/>
        <item x="259"/>
        <item x="260"/>
        <item x="190"/>
        <item x="262"/>
        <item x="191"/>
        <item x="261"/>
        <item x="192"/>
        <item x="263"/>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9"/>
        <item x="218"/>
        <item x="73"/>
        <item x="217"/>
        <item x="219"/>
        <item x="295"/>
        <item x="220"/>
        <item x="271"/>
        <item x="248"/>
        <item x="266"/>
        <item x="221"/>
        <item x="222"/>
        <item x="224"/>
        <item x="226"/>
        <item x="228"/>
        <item x="229"/>
        <item x="231"/>
        <item x="232"/>
        <item x="215"/>
        <item x="223"/>
        <item x="225"/>
        <item x="296"/>
        <item x="230"/>
        <item x="227"/>
        <item x="2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0">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r="1">
      <x v="287"/>
    </i>
    <i r="1">
      <x v="288"/>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7"/>
    </i>
    <i r="1">
      <x v="279"/>
    </i>
    <i r="1">
      <x v="280"/>
    </i>
    <i r="1">
      <x v="281"/>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x v="9"/>
      <x v="91"/>
    </i>
    <i r="1">
      <x v="92"/>
    </i>
    <i r="1">
      <x v="238"/>
    </i>
    <i>
      <x v="10"/>
      <x v="52"/>
    </i>
    <i r="1">
      <x v="143"/>
    </i>
    <i r="1">
      <x v="227"/>
    </i>
    <i r="1">
      <x v="228"/>
    </i>
    <i r="1">
      <x v="229"/>
    </i>
    <i r="1">
      <x v="274"/>
    </i>
    <i r="1">
      <x v="275"/>
    </i>
    <i r="1">
      <x v="282"/>
    </i>
    <i r="1">
      <x v="283"/>
    </i>
    <i r="1">
      <x v="284"/>
    </i>
    <i r="1">
      <x v="291"/>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7"/>
    </i>
    <i r="1">
      <x v="59"/>
    </i>
    <i r="1">
      <x v="60"/>
    </i>
    <i r="1">
      <x v="79"/>
    </i>
    <i r="1">
      <x v="81"/>
    </i>
    <i r="1">
      <x v="102"/>
    </i>
    <i r="1">
      <x v="103"/>
    </i>
    <i r="1">
      <x v="121"/>
    </i>
    <i r="1">
      <x v="138"/>
    </i>
    <i r="1">
      <x v="151"/>
    </i>
    <i r="1">
      <x v="153"/>
    </i>
    <i r="1">
      <x v="170"/>
    </i>
    <i r="1">
      <x v="171"/>
    </i>
    <i r="1">
      <x v="175"/>
    </i>
    <i r="1">
      <x v="183"/>
    </i>
    <i r="1">
      <x v="184"/>
    </i>
    <i r="1">
      <x v="185"/>
    </i>
    <i r="1">
      <x v="186"/>
    </i>
    <i r="1">
      <x v="198"/>
    </i>
    <i r="1">
      <x v="223"/>
    </i>
    <i r="1">
      <x v="272"/>
    </i>
    <i r="1">
      <x v="273"/>
    </i>
    <i r="1">
      <x v="276"/>
    </i>
    <i r="1">
      <x v="285"/>
    </i>
    <i r="1">
      <x v="286"/>
    </i>
    <i r="1">
      <x v="289"/>
    </i>
    <i r="1">
      <x v="292"/>
    </i>
    <i r="1">
      <x v="295"/>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78"/>
    </i>
    <i r="1">
      <x v="293"/>
    </i>
    <i r="1">
      <x v="294"/>
    </i>
    <i>
      <x v="21"/>
      <x v="262"/>
    </i>
    <i>
      <x v="22"/>
      <x v="270"/>
    </i>
    <i r="1">
      <x v="271"/>
    </i>
    <i r="1">
      <x v="290"/>
    </i>
    <i r="1">
      <x v="296"/>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4" firstHeaderRow="1" firstDataRow="1" firstDataCol="1" rowPageCount="1" colPageCount="1"/>
  <pivotFields count="31">
    <pivotField axis="axisPage"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19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1" firstHeaderRow="1" firstDataRow="1" firstDataCol="1" rowPageCount="1" colPageCount="1"/>
  <pivotFields count="31">
    <pivotField axis="axisPage" multipleItemSelectionAllowed="1" showAll="0">
      <items count="4">
        <item x="1"/>
        <item h="1" x="0"/>
        <item h="1" x="2"/>
        <item t="default"/>
      </items>
    </pivotField>
    <pivotField showAll="0"/>
    <pivotField showAll="0"/>
    <pivotField showAll="0"/>
    <pivotField showAll="0"/>
    <pivotField axis="axisRow" showAll="0" sortType="descending">
      <items count="24">
        <item x="3"/>
        <item x="2"/>
        <item x="11"/>
        <item x="21"/>
        <item x="12"/>
        <item x="7"/>
        <item x="18"/>
        <item x="14"/>
        <item x="5"/>
        <item x="19"/>
        <item x="9"/>
        <item x="10"/>
        <item x="4"/>
        <item x="17"/>
        <item x="0"/>
        <item x="16"/>
        <item x="20"/>
        <item x="8"/>
        <item x="6"/>
        <item x="13"/>
        <item x="1"/>
        <item x="22"/>
        <item x="1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98">
        <item x="139"/>
        <item x="147"/>
        <item x="136"/>
        <item x="47"/>
        <item x="144"/>
        <item x="157"/>
        <item x="141"/>
        <item x="161"/>
        <item x="138"/>
        <item x="86"/>
        <item x="177"/>
        <item x="178"/>
        <item x="176"/>
        <item x="137"/>
        <item x="155"/>
        <item x="140"/>
        <item x="107"/>
        <item x="106"/>
        <item x="119"/>
        <item x="188"/>
        <item x="103"/>
        <item x="82"/>
        <item x="39"/>
        <item x="131"/>
        <item x="142"/>
        <item x="116"/>
        <item x="148"/>
        <item x="154"/>
        <item x="257"/>
        <item x="258"/>
        <item x="43"/>
        <item x="25"/>
        <item x="108"/>
        <item x="129"/>
        <item x="158"/>
        <item x="156"/>
        <item x="134"/>
        <item x="241"/>
        <item x="251"/>
        <item x="191"/>
        <item x="40"/>
        <item x="115"/>
        <item x="49"/>
        <item x="170"/>
        <item x="179"/>
        <item x="189"/>
        <item x="15"/>
        <item x="16"/>
        <item x="114"/>
        <item x="45"/>
        <item x="164"/>
        <item x="245"/>
        <item x="193"/>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85"/>
        <item x="13"/>
        <item x="59"/>
        <item x="7"/>
        <item x="174"/>
        <item x="175"/>
        <item x="60"/>
        <item x="163"/>
        <item x="122"/>
        <item x="192"/>
        <item x="121"/>
        <item x="190"/>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63"/>
        <item x="249"/>
        <item x="145"/>
        <item x="259"/>
        <item x="262"/>
        <item x="48"/>
        <item x="14"/>
        <item x="58"/>
        <item x="125"/>
        <item x="236"/>
        <item x="233"/>
        <item x="260"/>
        <item x="235"/>
        <item x="252"/>
        <item x="234"/>
        <item x="253"/>
        <item x="242"/>
        <item x="239"/>
        <item x="168"/>
        <item x="171"/>
        <item x="126"/>
        <item x="159"/>
        <item x="244"/>
        <item x="256"/>
        <item x="261"/>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187"/>
        <item x="70"/>
        <item x="5"/>
        <item x="6"/>
        <item x="38"/>
        <item x="64"/>
        <item x="65"/>
        <item x="8"/>
        <item x="181"/>
        <item x="76"/>
        <item x="184"/>
        <item x="169"/>
        <item x="52"/>
        <item x="104"/>
        <item x="57"/>
        <item x="0"/>
        <item x="3"/>
        <item x="2"/>
        <item x="4"/>
        <item x="34"/>
        <item x="186"/>
        <item x="95"/>
        <item x="173"/>
        <item x="72"/>
        <item x="35"/>
        <item x="33"/>
        <item x="153"/>
        <item x="152"/>
        <item x="109"/>
        <item x="41"/>
        <item x="143"/>
        <item x="19"/>
        <item x="50"/>
        <item x="99"/>
        <item x="165"/>
        <item x="250"/>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9"/>
        <item x="218"/>
        <item x="73"/>
        <item x="217"/>
        <item x="219"/>
        <item x="295"/>
        <item x="220"/>
        <item x="271"/>
        <item x="248"/>
        <item x="266"/>
        <item x="221"/>
        <item x="222"/>
        <item x="224"/>
        <item x="226"/>
        <item x="228"/>
        <item x="229"/>
        <item x="231"/>
        <item x="232"/>
        <item x="215"/>
        <item x="223"/>
        <item x="225"/>
        <item x="296"/>
        <item x="230"/>
        <item x="227"/>
        <item x="213"/>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47">
    <i>
      <x v="10"/>
    </i>
    <i r="1">
      <x v="227"/>
    </i>
    <i r="1">
      <x v="229"/>
    </i>
    <i r="1">
      <x v="275"/>
    </i>
    <i>
      <x v="16"/>
    </i>
    <i r="1">
      <x v="148"/>
    </i>
    <i r="1">
      <x v="246"/>
    </i>
    <i r="1">
      <x v="247"/>
    </i>
    <i r="1">
      <x v="248"/>
    </i>
    <i r="1">
      <x v="249"/>
    </i>
    <i>
      <x v="20"/>
    </i>
    <i r="1">
      <x v="16"/>
    </i>
    <i r="1">
      <x v="96"/>
    </i>
    <i r="1">
      <x v="175"/>
    </i>
    <i r="1">
      <x v="206"/>
    </i>
    <i r="1">
      <x v="219"/>
    </i>
    <i r="1">
      <x v="220"/>
    </i>
    <i r="1">
      <x v="221"/>
    </i>
    <i r="1">
      <x v="224"/>
    </i>
    <i>
      <x v="3"/>
    </i>
    <i r="1">
      <x v="154"/>
    </i>
    <i r="1">
      <x v="239"/>
    </i>
    <i>
      <x v="13"/>
    </i>
    <i r="1">
      <x v="37"/>
    </i>
    <i r="1">
      <x v="38"/>
    </i>
    <i r="1">
      <x v="120"/>
    </i>
    <i r="1">
      <x v="121"/>
    </i>
    <i r="1">
      <x v="140"/>
    </i>
    <i r="1">
      <x v="141"/>
    </i>
    <i r="1">
      <x v="251"/>
    </i>
    <i r="1">
      <x v="252"/>
    </i>
    <i r="1">
      <x v="253"/>
    </i>
    <i r="1">
      <x v="254"/>
    </i>
    <i r="1">
      <x v="255"/>
    </i>
    <i r="1">
      <x v="256"/>
    </i>
    <i r="1">
      <x v="257"/>
    </i>
    <i r="1">
      <x v="258"/>
    </i>
    <i r="1">
      <x v="259"/>
    </i>
    <i r="1">
      <x v="260"/>
    </i>
    <i r="1">
      <x v="261"/>
    </i>
    <i>
      <x v="14"/>
    </i>
    <i r="1">
      <x v="131"/>
    </i>
    <i r="1">
      <x v="212"/>
    </i>
    <i r="1">
      <x v="276"/>
    </i>
    <i>
      <x/>
    </i>
    <i r="1">
      <x v="23"/>
    </i>
    <i r="1">
      <x v="49"/>
    </i>
    <i r="1">
      <x v="191"/>
    </i>
    <i r="1">
      <x v="193"/>
    </i>
    <i r="1">
      <x v="201"/>
    </i>
    <i r="1">
      <x v="203"/>
    </i>
    <i>
      <x v="2"/>
    </i>
    <i r="1">
      <x/>
    </i>
    <i r="1">
      <x v="1"/>
    </i>
    <i r="1">
      <x v="6"/>
    </i>
    <i r="1">
      <x v="8"/>
    </i>
    <i r="1">
      <x v="9"/>
    </i>
    <i r="1">
      <x v="14"/>
    </i>
    <i r="1">
      <x v="15"/>
    </i>
    <i r="1">
      <x v="21"/>
    </i>
    <i r="1">
      <x v="26"/>
    </i>
    <i r="1">
      <x v="27"/>
    </i>
    <i r="1">
      <x v="35"/>
    </i>
    <i r="1">
      <x v="52"/>
    </i>
    <i r="1">
      <x v="73"/>
    </i>
    <i r="1">
      <x v="101"/>
    </i>
    <i r="1">
      <x v="102"/>
    </i>
    <i r="1">
      <x v="103"/>
    </i>
    <i r="1">
      <x v="104"/>
    </i>
    <i r="1">
      <x v="105"/>
    </i>
    <i r="1">
      <x v="106"/>
    </i>
    <i r="1">
      <x v="107"/>
    </i>
    <i r="1">
      <x v="108"/>
    </i>
    <i r="1">
      <x v="111"/>
    </i>
    <i r="1">
      <x v="112"/>
    </i>
    <i r="1">
      <x v="113"/>
    </i>
    <i r="1">
      <x v="114"/>
    </i>
    <i r="1">
      <x v="116"/>
    </i>
    <i r="1">
      <x v="117"/>
    </i>
    <i r="1">
      <x v="127"/>
    </i>
    <i r="1">
      <x v="159"/>
    </i>
    <i r="1">
      <x v="160"/>
    </i>
    <i r="1">
      <x v="168"/>
    </i>
    <i r="1">
      <x v="178"/>
    </i>
    <i r="1">
      <x v="179"/>
    </i>
    <i r="1">
      <x v="180"/>
    </i>
    <i r="1">
      <x v="194"/>
    </i>
    <i r="1">
      <x v="202"/>
    </i>
    <i r="1">
      <x v="207"/>
    </i>
    <i r="1">
      <x v="211"/>
    </i>
    <i r="1">
      <x v="215"/>
    </i>
    <i r="1">
      <x v="234"/>
    </i>
    <i r="1">
      <x v="241"/>
    </i>
    <i r="1">
      <x v="243"/>
    </i>
    <i>
      <x v="5"/>
    </i>
    <i r="1">
      <x v="57"/>
    </i>
    <i>
      <x v="8"/>
    </i>
    <i r="1">
      <x v="10"/>
    </i>
    <i r="1">
      <x v="11"/>
    </i>
    <i r="1">
      <x v="12"/>
    </i>
    <i r="1">
      <x v="19"/>
    </i>
    <i r="1">
      <x v="44"/>
    </i>
    <i r="1">
      <x v="58"/>
    </i>
    <i r="1">
      <x v="72"/>
    </i>
    <i r="1">
      <x v="87"/>
    </i>
    <i r="1">
      <x v="88"/>
    </i>
    <i r="1">
      <x v="122"/>
    </i>
    <i r="1">
      <x v="123"/>
    </i>
    <i r="1">
      <x v="133"/>
    </i>
    <i r="1">
      <x v="143"/>
    </i>
    <i r="1">
      <x v="144"/>
    </i>
    <i r="1">
      <x v="145"/>
    </i>
    <i r="1">
      <x v="189"/>
    </i>
    <i>
      <x v="18"/>
    </i>
    <i r="1">
      <x v="36"/>
    </i>
    <i>
      <x v="1"/>
    </i>
    <i r="1">
      <x v="30"/>
    </i>
    <i r="1">
      <x v="59"/>
    </i>
    <i r="1">
      <x v="210"/>
    </i>
    <i>
      <x v="15"/>
    </i>
    <i r="1">
      <x v="138"/>
    </i>
    <i r="1">
      <x v="139"/>
    </i>
    <i r="1">
      <x v="235"/>
    </i>
    <i>
      <x v="11"/>
    </i>
    <i r="1">
      <x v="153"/>
    </i>
    <i>
      <x v="17"/>
    </i>
    <i r="1">
      <x v="156"/>
    </i>
    <i>
      <x v="12"/>
    </i>
    <i r="1">
      <x v="77"/>
    </i>
    <i r="1">
      <x v="89"/>
    </i>
    <i r="1">
      <x v="90"/>
    </i>
    <i r="1">
      <x v="97"/>
    </i>
    <i r="1">
      <x v="119"/>
    </i>
    <i r="1">
      <x v="162"/>
    </i>
    <i r="1">
      <x v="170"/>
    </i>
    <i r="1">
      <x v="195"/>
    </i>
    <i r="1">
      <x v="232"/>
    </i>
    <i>
      <x v="6"/>
    </i>
    <i r="1">
      <x v="28"/>
    </i>
    <i r="1">
      <x v="29"/>
    </i>
    <i r="1">
      <x v="51"/>
    </i>
    <i r="1">
      <x v="126"/>
    </i>
    <i>
      <x v="7"/>
    </i>
    <i r="1">
      <x v="74"/>
    </i>
    <i>
      <x v="4"/>
    </i>
    <i r="1">
      <x v="62"/>
    </i>
    <i t="grand">
      <x/>
    </i>
  </rowItems>
  <colItems count="1">
    <i/>
  </colItems>
  <pageFields count="1">
    <pageField fld="0" hier="-1"/>
  </pageFields>
  <dataFields count="1">
    <dataField name="Sum of HH" fld="16" baseField="5" baseItem="20" numFmtId="165"/>
  </dataFields>
  <formats count="10">
    <format dxfId="317">
      <pivotArea outline="0" collapsedLevelsAreSubtotals="1" fieldPosition="0">
        <references count="1">
          <reference field="4294967294" count="1" selected="0">
            <x v="0"/>
          </reference>
        </references>
      </pivotArea>
    </format>
    <format dxfId="316">
      <pivotArea dataOnly="0" labelOnly="1" fieldPosition="0">
        <references count="1">
          <reference field="11" count="16">
            <x v="3"/>
            <x v="30"/>
            <x v="40"/>
            <x v="48"/>
            <x v="60"/>
            <x v="85"/>
            <x v="92"/>
            <x v="93"/>
            <x v="94"/>
            <x v="118"/>
            <x v="149"/>
            <x v="166"/>
            <x v="171"/>
            <x v="177"/>
            <x v="208"/>
            <x v="209"/>
          </reference>
        </references>
      </pivotArea>
    </format>
    <format dxfId="315">
      <pivotArea type="all" dataOnly="0" outline="0" fieldPosition="0"/>
    </format>
    <format dxfId="314">
      <pivotArea outline="0" collapsedLevelsAreSubtotals="1" fieldPosition="0">
        <references count="1">
          <reference field="4294967294" count="1" selected="0">
            <x v="0"/>
          </reference>
        </references>
      </pivotArea>
    </format>
    <format dxfId="313">
      <pivotArea dataOnly="0" labelOnly="1" outline="0" fieldPosition="0">
        <references count="1">
          <reference field="4294967294" count="1">
            <x v="0"/>
          </reference>
        </references>
      </pivotArea>
    </format>
    <format dxfId="312">
      <pivotArea outline="0" collapsedLevelsAreSubtotals="1" fieldPosition="0">
        <references count="1">
          <reference field="4294967294" count="1" selected="0">
            <x v="0"/>
          </reference>
        </references>
      </pivotArea>
    </format>
    <format dxfId="311">
      <pivotArea field="0" type="button" dataOnly="0" labelOnly="1" outline="0" axis="axisPage" fieldPosition="0"/>
    </format>
    <format dxfId="310">
      <pivotArea dataOnly="0" labelOnly="1" outline="0" fieldPosition="0">
        <references count="1">
          <reference field="0" count="0"/>
        </references>
      </pivotArea>
    </format>
    <format dxfId="309">
      <pivotArea dataOnly="0" labelOnly="1" grandRow="1" outline="0" fieldPosition="0"/>
    </format>
    <format dxfId="30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628">
      <pivotArea outline="0" collapsedLevelsAreSubtotals="1" fieldPosition="0"/>
    </format>
    <format dxfId="627">
      <pivotArea dataOnly="0" labelOnly="1" outline="0" axis="axisValues" fieldPosition="0"/>
    </format>
    <format dxfId="626">
      <pivotArea field="20" type="button" dataOnly="0" labelOnly="1" outline="0" axis="axisPage" fieldPosition="0"/>
    </format>
    <format dxfId="625">
      <pivotArea dataOnly="0" labelOnly="1" outline="0" fieldPosition="0">
        <references count="1">
          <reference field="20" count="0"/>
        </references>
      </pivotArea>
    </format>
    <format dxfId="624">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623">
      <pivotArea dataOnly="0" labelOnly="1" outline="0" fieldPosition="0">
        <references count="1">
          <reference field="4" count="1">
            <x v="0"/>
          </reference>
        </references>
      </pivotArea>
    </format>
    <format dxfId="622">
      <pivotArea dataOnly="0" labelOnly="1" outline="0" fieldPosition="0">
        <references count="2">
          <reference field="4" count="1" selected="0">
            <x v="0"/>
          </reference>
          <reference field="19" count="10">
            <x v="36"/>
            <x v="37"/>
            <x v="38"/>
            <x v="39"/>
            <x v="40"/>
            <x v="41"/>
            <x v="42"/>
            <x v="92"/>
            <x v="110"/>
            <x v="113"/>
          </reference>
        </references>
      </pivotArea>
    </format>
    <format dxfId="621">
      <pivotArea dataOnly="0" labelOnly="1" outline="0" fieldPosition="0">
        <references count="3">
          <reference field="4" count="1" selected="0">
            <x v="0"/>
          </reference>
          <reference field="5" count="1">
            <x v="83"/>
          </reference>
          <reference field="19" count="1" selected="0">
            <x v="36"/>
          </reference>
        </references>
      </pivotArea>
    </format>
    <format dxfId="620">
      <pivotArea dataOnly="0" labelOnly="1" outline="0" fieldPosition="0">
        <references count="3">
          <reference field="4" count="1" selected="0">
            <x v="0"/>
          </reference>
          <reference field="5" count="1">
            <x v="30"/>
          </reference>
          <reference field="19" count="1" selected="0">
            <x v="37"/>
          </reference>
        </references>
      </pivotArea>
    </format>
    <format dxfId="619">
      <pivotArea dataOnly="0" labelOnly="1" outline="0" fieldPosition="0">
        <references count="3">
          <reference field="4" count="1" selected="0">
            <x v="0"/>
          </reference>
          <reference field="5" count="1">
            <x v="1"/>
          </reference>
          <reference field="19" count="1" selected="0">
            <x v="38"/>
          </reference>
        </references>
      </pivotArea>
    </format>
    <format dxfId="618">
      <pivotArea dataOnly="0" labelOnly="1" outline="0" fieldPosition="0">
        <references count="3">
          <reference field="4" count="1" selected="0">
            <x v="0"/>
          </reference>
          <reference field="5" count="1">
            <x v="16"/>
          </reference>
          <reference field="19" count="1" selected="0">
            <x v="39"/>
          </reference>
        </references>
      </pivotArea>
    </format>
    <format dxfId="617">
      <pivotArea dataOnly="0" labelOnly="1" outline="0" fieldPosition="0">
        <references count="3">
          <reference field="4" count="1" selected="0">
            <x v="0"/>
          </reference>
          <reference field="5" count="1">
            <x v="105"/>
          </reference>
          <reference field="19" count="1" selected="0">
            <x v="40"/>
          </reference>
        </references>
      </pivotArea>
    </format>
    <format dxfId="616">
      <pivotArea dataOnly="0" labelOnly="1" outline="0" fieldPosition="0">
        <references count="3">
          <reference field="4" count="1" selected="0">
            <x v="0"/>
          </reference>
          <reference field="5" count="1">
            <x v="65"/>
          </reference>
          <reference field="19" count="1" selected="0">
            <x v="41"/>
          </reference>
        </references>
      </pivotArea>
    </format>
    <format dxfId="615">
      <pivotArea dataOnly="0" labelOnly="1" outline="0" fieldPosition="0">
        <references count="3">
          <reference field="4" count="1" selected="0">
            <x v="0"/>
          </reference>
          <reference field="5" count="1">
            <x v="93"/>
          </reference>
          <reference field="19" count="1" selected="0">
            <x v="42"/>
          </reference>
        </references>
      </pivotArea>
    </format>
    <format dxfId="614">
      <pivotArea dataOnly="0" labelOnly="1" outline="0" fieldPosition="0">
        <references count="3">
          <reference field="4" count="1" selected="0">
            <x v="0"/>
          </reference>
          <reference field="5" count="1">
            <x v="76"/>
          </reference>
          <reference field="19" count="1" selected="0">
            <x v="92"/>
          </reference>
        </references>
      </pivotArea>
    </format>
    <format dxfId="613">
      <pivotArea dataOnly="0" labelOnly="1" outline="0" fieldPosition="0">
        <references count="3">
          <reference field="4" count="1" selected="0">
            <x v="0"/>
          </reference>
          <reference field="5" count="1">
            <x v="111"/>
          </reference>
          <reference field="19" count="1" selected="0">
            <x v="110"/>
          </reference>
        </references>
      </pivotArea>
    </format>
    <format dxfId="612">
      <pivotArea dataOnly="0" labelOnly="1" outline="0" fieldPosition="0">
        <references count="3">
          <reference field="4" count="1" selected="0">
            <x v="0"/>
          </reference>
          <reference field="5" count="1">
            <x v="114"/>
          </reference>
          <reference field="19" count="1" selected="0">
            <x v="113"/>
          </reference>
        </references>
      </pivotArea>
    </format>
    <format dxfId="611">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610">
      <pivotArea dataOnly="0" labelOnly="1" outline="0" fieldPosition="0">
        <references count="1">
          <reference field="4" count="1">
            <x v="1"/>
          </reference>
        </references>
      </pivotArea>
    </format>
    <format dxfId="609">
      <pivotArea dataOnly="0" labelOnly="1" outline="0" fieldPosition="0">
        <references count="2">
          <reference field="4" count="1" selected="0">
            <x v="1"/>
          </reference>
          <reference field="19" count="3">
            <x v="35"/>
            <x v="93"/>
            <x v="115"/>
          </reference>
        </references>
      </pivotArea>
    </format>
    <format dxfId="608">
      <pivotArea dataOnly="0" labelOnly="1" outline="0" fieldPosition="0">
        <references count="3">
          <reference field="4" count="1" selected="0">
            <x v="1"/>
          </reference>
          <reference field="5" count="1">
            <x v="6"/>
          </reference>
          <reference field="19" count="1" selected="0">
            <x v="35"/>
          </reference>
        </references>
      </pivotArea>
    </format>
    <format dxfId="607">
      <pivotArea dataOnly="0" labelOnly="1" outline="0" fieldPosition="0">
        <references count="3">
          <reference field="4" count="1" selected="0">
            <x v="1"/>
          </reference>
          <reference field="5" count="1">
            <x v="28"/>
          </reference>
          <reference field="19" count="1" selected="0">
            <x v="93"/>
          </reference>
        </references>
      </pivotArea>
    </format>
    <format dxfId="606">
      <pivotArea dataOnly="0" labelOnly="1" outline="0" fieldPosition="0">
        <references count="3">
          <reference field="4" count="1" selected="0">
            <x v="1"/>
          </reference>
          <reference field="5" count="1">
            <x v="117"/>
          </reference>
          <reference field="19" count="1" selected="0">
            <x v="115"/>
          </reference>
        </references>
      </pivotArea>
    </format>
    <format dxfId="605">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604">
      <pivotArea dataOnly="0" labelOnly="1" outline="0" fieldPosition="0">
        <references count="1">
          <reference field="4" count="1">
            <x v="2"/>
          </reference>
        </references>
      </pivotArea>
    </format>
    <format dxfId="603">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602">
      <pivotArea dataOnly="0" labelOnly="1" outline="0" fieldPosition="0">
        <references count="3">
          <reference field="4" count="1" selected="0">
            <x v="2"/>
          </reference>
          <reference field="5" count="2">
            <x v="102"/>
            <x v="116"/>
          </reference>
          <reference field="19" count="1" selected="0">
            <x v="0"/>
          </reference>
        </references>
      </pivotArea>
    </format>
    <format dxfId="601">
      <pivotArea dataOnly="0" labelOnly="1" outline="0" fieldPosition="0">
        <references count="3">
          <reference field="4" count="1" selected="0">
            <x v="2"/>
          </reference>
          <reference field="5" count="1">
            <x v="53"/>
          </reference>
          <reference field="19" count="1" selected="0">
            <x v="61"/>
          </reference>
        </references>
      </pivotArea>
    </format>
    <format dxfId="600">
      <pivotArea dataOnly="0" labelOnly="1" outline="0" fieldPosition="0">
        <references count="3">
          <reference field="4" count="1" selected="0">
            <x v="2"/>
          </reference>
          <reference field="5" count="1">
            <x v="66"/>
          </reference>
          <reference field="19" count="1" selected="0">
            <x v="63"/>
          </reference>
        </references>
      </pivotArea>
    </format>
    <format dxfId="599">
      <pivotArea dataOnly="0" labelOnly="1" outline="0" fieldPosition="0">
        <references count="3">
          <reference field="4" count="1" selected="0">
            <x v="2"/>
          </reference>
          <reference field="5" count="1">
            <x v="106"/>
          </reference>
          <reference field="19" count="1" selected="0">
            <x v="64"/>
          </reference>
        </references>
      </pivotArea>
    </format>
    <format dxfId="598">
      <pivotArea dataOnly="0" labelOnly="1" outline="0" fieldPosition="0">
        <references count="3">
          <reference field="4" count="1" selected="0">
            <x v="2"/>
          </reference>
          <reference field="5" count="1">
            <x v="5"/>
          </reference>
          <reference field="19" count="1" selected="0">
            <x v="65"/>
          </reference>
        </references>
      </pivotArea>
    </format>
    <format dxfId="597">
      <pivotArea dataOnly="0" labelOnly="1" outline="0" fieldPosition="0">
        <references count="3">
          <reference field="4" count="1" selected="0">
            <x v="2"/>
          </reference>
          <reference field="5" count="1">
            <x v="3"/>
          </reference>
          <reference field="19" count="1" selected="0">
            <x v="82"/>
          </reference>
        </references>
      </pivotArea>
    </format>
    <format dxfId="596">
      <pivotArea dataOnly="0" labelOnly="1" outline="0" fieldPosition="0">
        <references count="3">
          <reference field="4" count="1" selected="0">
            <x v="2"/>
          </reference>
          <reference field="5" count="1">
            <x v="7"/>
          </reference>
          <reference field="19" count="1" selected="0">
            <x v="83"/>
          </reference>
        </references>
      </pivotArea>
    </format>
    <format dxfId="595">
      <pivotArea dataOnly="0" labelOnly="1" outline="0" fieldPosition="0">
        <references count="3">
          <reference field="4" count="1" selected="0">
            <x v="2"/>
          </reference>
          <reference field="5" count="1">
            <x v="2"/>
          </reference>
          <reference field="19" count="1" selected="0">
            <x v="84"/>
          </reference>
        </references>
      </pivotArea>
    </format>
    <format dxfId="594">
      <pivotArea dataOnly="0" labelOnly="1" outline="0" fieldPosition="0">
        <references count="3">
          <reference field="4" count="1" selected="0">
            <x v="2"/>
          </reference>
          <reference field="5" count="1">
            <x v="0"/>
          </reference>
          <reference field="19" count="1" selected="0">
            <x v="85"/>
          </reference>
        </references>
      </pivotArea>
    </format>
    <format dxfId="593">
      <pivotArea dataOnly="0" labelOnly="1" outline="0" fieldPosition="0">
        <references count="3">
          <reference field="4" count="1" selected="0">
            <x v="2"/>
          </reference>
          <reference field="5" count="1">
            <x v="29"/>
          </reference>
          <reference field="19" count="1" selected="0">
            <x v="86"/>
          </reference>
        </references>
      </pivotArea>
    </format>
    <format dxfId="592">
      <pivotArea dataOnly="0" labelOnly="1" outline="0" fieldPosition="0">
        <references count="3">
          <reference field="4" count="1" selected="0">
            <x v="2"/>
          </reference>
          <reference field="5" count="1">
            <x v="82"/>
          </reference>
          <reference field="19" count="1" selected="0">
            <x v="87"/>
          </reference>
        </references>
      </pivotArea>
    </format>
    <format dxfId="591">
      <pivotArea dataOnly="0" labelOnly="1" outline="0" fieldPosition="0">
        <references count="3">
          <reference field="4" count="1" selected="0">
            <x v="2"/>
          </reference>
          <reference field="5" count="1">
            <x v="85"/>
          </reference>
          <reference field="19" count="1" selected="0">
            <x v="88"/>
          </reference>
        </references>
      </pivotArea>
    </format>
    <format dxfId="590">
      <pivotArea dataOnly="0" labelOnly="1" outline="0" fieldPosition="0">
        <references count="3">
          <reference field="4" count="1" selected="0">
            <x v="2"/>
          </reference>
          <reference field="5" count="1">
            <x v="101"/>
          </reference>
          <reference field="19" count="1" selected="0">
            <x v="89"/>
          </reference>
        </references>
      </pivotArea>
    </format>
    <format dxfId="589">
      <pivotArea dataOnly="0" labelOnly="1" outline="0" fieldPosition="0">
        <references count="3">
          <reference field="4" count="1" selected="0">
            <x v="2"/>
          </reference>
          <reference field="5" count="1">
            <x v="13"/>
          </reference>
          <reference field="19" count="1" selected="0">
            <x v="90"/>
          </reference>
        </references>
      </pivotArea>
    </format>
    <format dxfId="588">
      <pivotArea dataOnly="0" labelOnly="1" outline="0" fieldPosition="0">
        <references count="3">
          <reference field="4" count="1" selected="0">
            <x v="2"/>
          </reference>
          <reference field="5" count="1">
            <x v="62"/>
          </reference>
          <reference field="19" count="1" selected="0">
            <x v="91"/>
          </reference>
        </references>
      </pivotArea>
    </format>
    <format dxfId="587">
      <pivotArea dataOnly="0" labelOnly="1" outline="0" fieldPosition="0">
        <references count="3">
          <reference field="4" count="1" selected="0">
            <x v="2"/>
          </reference>
          <reference field="5" count="1">
            <x v="113"/>
          </reference>
          <reference field="19" count="1" selected="0">
            <x v="112"/>
          </reference>
        </references>
      </pivotArea>
    </format>
    <format dxfId="586">
      <pivotArea dataOnly="0" labelOnly="1" outline="0" fieldPosition="0">
        <references count="3">
          <reference field="4" count="1" selected="0">
            <x v="2"/>
          </reference>
          <reference field="5" count="1">
            <x v="121"/>
          </reference>
          <reference field="19" count="1" selected="0">
            <x v="119"/>
          </reference>
        </references>
      </pivotArea>
    </format>
    <format dxfId="585">
      <pivotArea dataOnly="0" labelOnly="1" outline="0" fieldPosition="0">
        <references count="3">
          <reference field="4" count="1" selected="0">
            <x v="2"/>
          </reference>
          <reference field="5" count="1">
            <x v="122"/>
          </reference>
          <reference field="19" count="1" selected="0">
            <x v="120"/>
          </reference>
        </references>
      </pivotArea>
    </format>
    <format dxfId="584">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83">
      <pivotArea dataOnly="0" labelOnly="1" outline="0" fieldPosition="0">
        <references count="1">
          <reference field="4" count="1">
            <x v="3"/>
          </reference>
        </references>
      </pivotArea>
    </format>
    <format dxfId="582">
      <pivotArea dataOnly="0" labelOnly="1" outline="0" fieldPosition="0">
        <references count="2">
          <reference field="4" count="1" selected="0">
            <x v="3"/>
          </reference>
          <reference field="19" count="7">
            <x v="100"/>
            <x v="104"/>
            <x v="105"/>
            <x v="117"/>
            <x v="122"/>
            <x v="127"/>
            <x v="128"/>
          </reference>
        </references>
      </pivotArea>
    </format>
    <format dxfId="581">
      <pivotArea dataOnly="0" labelOnly="1" outline="0" fieldPosition="0">
        <references count="3">
          <reference field="4" count="1" selected="0">
            <x v="3"/>
          </reference>
          <reference field="5" count="1">
            <x v="60"/>
          </reference>
          <reference field="19" count="1" selected="0">
            <x v="100"/>
          </reference>
        </references>
      </pivotArea>
    </format>
    <format dxfId="580">
      <pivotArea dataOnly="0" labelOnly="1" outline="0" fieldPosition="0">
        <references count="3">
          <reference field="4" count="1" selected="0">
            <x v="3"/>
          </reference>
          <reference field="5" count="1">
            <x v="20"/>
          </reference>
          <reference field="19" count="1" selected="0">
            <x v="104"/>
          </reference>
        </references>
      </pivotArea>
    </format>
    <format dxfId="579">
      <pivotArea dataOnly="0" labelOnly="1" outline="0" fieldPosition="0">
        <references count="3">
          <reference field="4" count="1" selected="0">
            <x v="3"/>
          </reference>
          <reference field="5" count="1">
            <x v="21"/>
          </reference>
          <reference field="19" count="1" selected="0">
            <x v="105"/>
          </reference>
        </references>
      </pivotArea>
    </format>
    <format dxfId="578">
      <pivotArea dataOnly="0" labelOnly="1" outline="0" fieldPosition="0">
        <references count="3">
          <reference field="4" count="1" selected="0">
            <x v="3"/>
          </reference>
          <reference field="5" count="1">
            <x v="119"/>
          </reference>
          <reference field="19" count="1" selected="0">
            <x v="117"/>
          </reference>
        </references>
      </pivotArea>
    </format>
    <format dxfId="577">
      <pivotArea dataOnly="0" labelOnly="1" outline="0" fieldPosition="0">
        <references count="3">
          <reference field="4" count="1" selected="0">
            <x v="3"/>
          </reference>
          <reference field="5" count="1">
            <x v="124"/>
          </reference>
          <reference field="19" count="1" selected="0">
            <x v="122"/>
          </reference>
        </references>
      </pivotArea>
    </format>
    <format dxfId="576">
      <pivotArea dataOnly="0" labelOnly="1" outline="0" fieldPosition="0">
        <references count="3">
          <reference field="4" count="1" selected="0">
            <x v="3"/>
          </reference>
          <reference field="5" count="1">
            <x v="129"/>
          </reference>
          <reference field="19" count="1" selected="0">
            <x v="127"/>
          </reference>
        </references>
      </pivotArea>
    </format>
    <format dxfId="575">
      <pivotArea dataOnly="0" labelOnly="1" outline="0" fieldPosition="0">
        <references count="3">
          <reference field="4" count="1" selected="0">
            <x v="3"/>
          </reference>
          <reference field="5" count="1">
            <x v="133"/>
          </reference>
          <reference field="19" count="1" selected="0">
            <x v="128"/>
          </reference>
        </references>
      </pivotArea>
    </format>
    <format dxfId="574">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73">
      <pivotArea dataOnly="0" labelOnly="1" outline="0" fieldPosition="0">
        <references count="1">
          <reference field="4" count="1">
            <x v="4"/>
          </reference>
        </references>
      </pivotArea>
    </format>
    <format dxfId="572">
      <pivotArea dataOnly="0" labelOnly="1" outline="0" fieldPosition="0">
        <references count="2">
          <reference field="4" count="1" selected="0">
            <x v="4"/>
          </reference>
          <reference field="19" count="9">
            <x v="48"/>
            <x v="74"/>
            <x v="76"/>
            <x v="77"/>
            <x v="78"/>
            <x v="106"/>
            <x v="108"/>
            <x v="116"/>
            <x v="118"/>
          </reference>
        </references>
      </pivotArea>
    </format>
    <format dxfId="571">
      <pivotArea dataOnly="0" labelOnly="1" outline="0" fieldPosition="0">
        <references count="3">
          <reference field="4" count="1" selected="0">
            <x v="4"/>
          </reference>
          <reference field="5" count="1">
            <x v="49"/>
          </reference>
          <reference field="19" count="1" selected="0">
            <x v="48"/>
          </reference>
        </references>
      </pivotArea>
    </format>
    <format dxfId="570">
      <pivotArea dataOnly="0" labelOnly="1" outline="0" fieldPosition="0">
        <references count="3">
          <reference field="4" count="1" selected="0">
            <x v="4"/>
          </reference>
          <reference field="5" count="1">
            <x v="25"/>
          </reference>
          <reference field="19" count="1" selected="0">
            <x v="74"/>
          </reference>
        </references>
      </pivotArea>
    </format>
    <format dxfId="569">
      <pivotArea dataOnly="0" labelOnly="1" outline="0" fieldPosition="0">
        <references count="3">
          <reference field="4" count="1" selected="0">
            <x v="4"/>
          </reference>
          <reference field="5" count="1">
            <x v="45"/>
          </reference>
          <reference field="19" count="1" selected="0">
            <x v="76"/>
          </reference>
        </references>
      </pivotArea>
    </format>
    <format dxfId="568">
      <pivotArea dataOnly="0" labelOnly="1" outline="0" fieldPosition="0">
        <references count="3">
          <reference field="4" count="1" selected="0">
            <x v="4"/>
          </reference>
          <reference field="5" count="1">
            <x v="44"/>
          </reference>
          <reference field="19" count="1" selected="0">
            <x v="77"/>
          </reference>
        </references>
      </pivotArea>
    </format>
    <format dxfId="567">
      <pivotArea dataOnly="0" labelOnly="1" outline="0" fieldPosition="0">
        <references count="3">
          <reference field="4" count="1" selected="0">
            <x v="4"/>
          </reference>
          <reference field="5" count="1">
            <x v="34"/>
          </reference>
          <reference field="19" count="1" selected="0">
            <x v="78"/>
          </reference>
        </references>
      </pivotArea>
    </format>
    <format dxfId="566">
      <pivotArea dataOnly="0" labelOnly="1" outline="0" fieldPosition="0">
        <references count="3">
          <reference field="4" count="1" selected="0">
            <x v="4"/>
          </reference>
          <reference field="5" count="1">
            <x v="107"/>
          </reference>
          <reference field="19" count="1" selected="0">
            <x v="106"/>
          </reference>
        </references>
      </pivotArea>
    </format>
    <format dxfId="565">
      <pivotArea dataOnly="0" labelOnly="1" outline="0" fieldPosition="0">
        <references count="3">
          <reference field="4" count="1" selected="0">
            <x v="4"/>
          </reference>
          <reference field="5" count="1">
            <x v="109"/>
          </reference>
          <reference field="19" count="1" selected="0">
            <x v="108"/>
          </reference>
        </references>
      </pivotArea>
    </format>
    <format dxfId="564">
      <pivotArea dataOnly="0" labelOnly="1" outline="0" fieldPosition="0">
        <references count="3">
          <reference field="4" count="1" selected="0">
            <x v="4"/>
          </reference>
          <reference field="5" count="1">
            <x v="118"/>
          </reference>
          <reference field="19" count="1" selected="0">
            <x v="116"/>
          </reference>
        </references>
      </pivotArea>
    </format>
    <format dxfId="563">
      <pivotArea dataOnly="0" labelOnly="1" outline="0" fieldPosition="0">
        <references count="3">
          <reference field="4" count="1" selected="0">
            <x v="4"/>
          </reference>
          <reference field="5" count="1">
            <x v="120"/>
          </reference>
          <reference field="19" count="1" selected="0">
            <x v="118"/>
          </reference>
        </references>
      </pivotArea>
    </format>
    <format dxfId="562">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561">
      <pivotArea dataOnly="0" labelOnly="1" outline="0" fieldPosition="0">
        <references count="1">
          <reference field="4" count="1">
            <x v="5"/>
          </reference>
        </references>
      </pivotArea>
    </format>
    <format dxfId="560">
      <pivotArea dataOnly="0" labelOnly="1" outline="0" fieldPosition="0">
        <references count="2">
          <reference field="4" count="1" selected="0">
            <x v="5"/>
          </reference>
          <reference field="19" count="3">
            <x v="101"/>
            <x v="102"/>
            <x v="132"/>
          </reference>
        </references>
      </pivotArea>
    </format>
    <format dxfId="559">
      <pivotArea dataOnly="0" labelOnly="1" outline="0" fieldPosition="0">
        <references count="3">
          <reference field="4" count="1" selected="0">
            <x v="5"/>
          </reference>
          <reference field="5" count="1">
            <x v="47"/>
          </reference>
          <reference field="19" count="1" selected="0">
            <x v="101"/>
          </reference>
        </references>
      </pivotArea>
    </format>
    <format dxfId="558">
      <pivotArea dataOnly="0" labelOnly="1" outline="0" fieldPosition="0">
        <references count="3">
          <reference field="4" count="1" selected="0">
            <x v="5"/>
          </reference>
          <reference field="5" count="1">
            <x v="14"/>
          </reference>
          <reference field="19" count="1" selected="0">
            <x v="102"/>
          </reference>
        </references>
      </pivotArea>
    </format>
    <format dxfId="557">
      <pivotArea dataOnly="0" labelOnly="1" outline="0" fieldPosition="0">
        <references count="3">
          <reference field="4" count="1" selected="0">
            <x v="5"/>
          </reference>
          <reference field="5" count="1">
            <x v="134"/>
          </reference>
          <reference field="19" count="1" selected="0">
            <x v="132"/>
          </reference>
        </references>
      </pivotArea>
    </format>
    <format dxfId="556">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555">
      <pivotArea dataOnly="0" labelOnly="1" outline="0" fieldPosition="0">
        <references count="1">
          <reference field="4" count="1">
            <x v="6"/>
          </reference>
        </references>
      </pivotArea>
    </format>
    <format dxfId="554">
      <pivotArea dataOnly="0" labelOnly="1" outline="0" fieldPosition="0">
        <references count="2">
          <reference field="4" count="1" selected="0">
            <x v="6"/>
          </reference>
          <reference field="19" count="3">
            <x v="56"/>
            <x v="57"/>
            <x v="58"/>
          </reference>
        </references>
      </pivotArea>
    </format>
    <format dxfId="553">
      <pivotArea dataOnly="0" labelOnly="1" outline="0" fieldPosition="0">
        <references count="3">
          <reference field="4" count="1" selected="0">
            <x v="6"/>
          </reference>
          <reference field="5" count="1">
            <x v="48"/>
          </reference>
          <reference field="19" count="1" selected="0">
            <x v="56"/>
          </reference>
        </references>
      </pivotArea>
    </format>
    <format dxfId="552">
      <pivotArea dataOnly="0" labelOnly="1" outline="0" fieldPosition="0">
        <references count="3">
          <reference field="4" count="1" selected="0">
            <x v="6"/>
          </reference>
          <reference field="5" count="1">
            <x v="23"/>
          </reference>
          <reference field="19" count="1" selected="0">
            <x v="57"/>
          </reference>
        </references>
      </pivotArea>
    </format>
    <format dxfId="551">
      <pivotArea dataOnly="0" labelOnly="1" outline="0" fieldPosition="0">
        <references count="3">
          <reference field="4" count="1" selected="0">
            <x v="6"/>
          </reference>
          <reference field="5" count="1">
            <x v="67"/>
          </reference>
          <reference field="19" count="1" selected="0">
            <x v="58"/>
          </reference>
        </references>
      </pivotArea>
    </format>
    <format dxfId="550">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549">
      <pivotArea dataOnly="0" labelOnly="1" outline="0" fieldPosition="0">
        <references count="1">
          <reference field="4" count="1">
            <x v="7"/>
          </reference>
        </references>
      </pivotArea>
    </format>
    <format dxfId="548">
      <pivotArea dataOnly="0" labelOnly="1" outline="0" fieldPosition="0">
        <references count="2">
          <reference field="4" count="1" selected="0">
            <x v="7"/>
          </reference>
          <reference field="19" count="2">
            <x v="59"/>
            <x v="79"/>
          </reference>
        </references>
      </pivotArea>
    </format>
    <format dxfId="547">
      <pivotArea dataOnly="0" labelOnly="1" outline="0" fieldPosition="0">
        <references count="3">
          <reference field="4" count="1" selected="0">
            <x v="7"/>
          </reference>
          <reference field="5" count="1">
            <x v="92"/>
          </reference>
          <reference field="19" count="1" selected="0">
            <x v="59"/>
          </reference>
        </references>
      </pivotArea>
    </format>
    <format dxfId="546">
      <pivotArea dataOnly="0" labelOnly="1" outline="0" fieldPosition="0">
        <references count="3">
          <reference field="4" count="1" selected="0">
            <x v="7"/>
          </reference>
          <reference field="5" count="1">
            <x v="68"/>
          </reference>
          <reference field="19" count="1" selected="0">
            <x v="79"/>
          </reference>
        </references>
      </pivotArea>
    </format>
    <format dxfId="545">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544">
      <pivotArea dataOnly="0" labelOnly="1" outline="0" fieldPosition="0">
        <references count="1">
          <reference field="4" count="1">
            <x v="8"/>
          </reference>
        </references>
      </pivotArea>
    </format>
    <format dxfId="543">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542">
      <pivotArea dataOnly="0" labelOnly="1" outline="0" fieldPosition="0">
        <references count="3">
          <reference field="4" count="1" selected="0">
            <x v="8"/>
          </reference>
          <reference field="5" count="1">
            <x v="54"/>
          </reference>
          <reference field="19" count="1" selected="0">
            <x v="43"/>
          </reference>
        </references>
      </pivotArea>
    </format>
    <format dxfId="541">
      <pivotArea dataOnly="0" labelOnly="1" outline="0" fieldPosition="0">
        <references count="3">
          <reference field="4" count="1" selected="0">
            <x v="8"/>
          </reference>
          <reference field="5" count="1">
            <x v="46"/>
          </reference>
          <reference field="19" count="1" selected="0">
            <x v="45"/>
          </reference>
        </references>
      </pivotArea>
    </format>
    <format dxfId="540">
      <pivotArea dataOnly="0" labelOnly="1" outline="0" fieldPosition="0">
        <references count="3">
          <reference field="4" count="1" selected="0">
            <x v="8"/>
          </reference>
          <reference field="5" count="1">
            <x v="71"/>
          </reference>
          <reference field="19" count="1" selected="0">
            <x v="46"/>
          </reference>
        </references>
      </pivotArea>
    </format>
    <format dxfId="539">
      <pivotArea dataOnly="0" labelOnly="1" outline="0" fieldPosition="0">
        <references count="3">
          <reference field="4" count="1" selected="0">
            <x v="8"/>
          </reference>
          <reference field="5" count="1">
            <x v="42"/>
          </reference>
          <reference field="19" count="1" selected="0">
            <x v="47"/>
          </reference>
        </references>
      </pivotArea>
    </format>
    <format dxfId="538">
      <pivotArea dataOnly="0" labelOnly="1" outline="0" fieldPosition="0">
        <references count="3">
          <reference field="4" count="1" selected="0">
            <x v="8"/>
          </reference>
          <reference field="5" count="1">
            <x v="32"/>
          </reference>
          <reference field="19" count="1" selected="0">
            <x v="51"/>
          </reference>
        </references>
      </pivotArea>
    </format>
    <format dxfId="537">
      <pivotArea dataOnly="0" labelOnly="1" outline="0" fieldPosition="0">
        <references count="3">
          <reference field="4" count="1" selected="0">
            <x v="8"/>
          </reference>
          <reference field="5" count="1">
            <x v="33"/>
          </reference>
          <reference field="19" count="1" selected="0">
            <x v="52"/>
          </reference>
        </references>
      </pivotArea>
    </format>
    <format dxfId="536">
      <pivotArea dataOnly="0" labelOnly="1" outline="0" fieldPosition="0">
        <references count="3">
          <reference field="4" count="1" selected="0">
            <x v="8"/>
          </reference>
          <reference field="5" count="1">
            <x v="31"/>
          </reference>
          <reference field="19" count="1" selected="0">
            <x v="53"/>
          </reference>
        </references>
      </pivotArea>
    </format>
    <format dxfId="535">
      <pivotArea dataOnly="0" labelOnly="1" outline="0" fieldPosition="0">
        <references count="3">
          <reference field="4" count="1" selected="0">
            <x v="8"/>
          </reference>
          <reference field="5" count="1">
            <x v="73"/>
          </reference>
          <reference field="19" count="1" selected="0">
            <x v="54"/>
          </reference>
        </references>
      </pivotArea>
    </format>
    <format dxfId="534">
      <pivotArea dataOnly="0" labelOnly="1" outline="0" fieldPosition="0">
        <references count="3">
          <reference field="4" count="1" selected="0">
            <x v="8"/>
          </reference>
          <reference field="5" count="1">
            <x v="86"/>
          </reference>
          <reference field="19" count="1" selected="0">
            <x v="55"/>
          </reference>
        </references>
      </pivotArea>
    </format>
    <format dxfId="533">
      <pivotArea dataOnly="0" labelOnly="1" outline="0" fieldPosition="0">
        <references count="3">
          <reference field="4" count="1" selected="0">
            <x v="8"/>
          </reference>
          <reference field="5" count="1">
            <x v="19"/>
          </reference>
          <reference field="19" count="1" selected="0">
            <x v="70"/>
          </reference>
        </references>
      </pivotArea>
    </format>
    <format dxfId="532">
      <pivotArea dataOnly="0" labelOnly="1" outline="0" fieldPosition="0">
        <references count="3">
          <reference field="4" count="1" selected="0">
            <x v="8"/>
          </reference>
          <reference field="5" count="1">
            <x v="15"/>
          </reference>
          <reference field="19" count="1" selected="0">
            <x v="71"/>
          </reference>
        </references>
      </pivotArea>
    </format>
    <format dxfId="531">
      <pivotArea dataOnly="0" labelOnly="1" outline="0" fieldPosition="0">
        <references count="3">
          <reference field="4" count="1" selected="0">
            <x v="8"/>
          </reference>
          <reference field="5" count="1">
            <x v="10"/>
          </reference>
          <reference field="19" count="1" selected="0">
            <x v="72"/>
          </reference>
        </references>
      </pivotArea>
    </format>
    <format dxfId="530">
      <pivotArea dataOnly="0" labelOnly="1" outline="0" fieldPosition="0">
        <references count="3">
          <reference field="4" count="1" selected="0">
            <x v="8"/>
          </reference>
          <reference field="5" count="1">
            <x v="75"/>
          </reference>
          <reference field="19" count="1" selected="0">
            <x v="73"/>
          </reference>
        </references>
      </pivotArea>
    </format>
    <format dxfId="529">
      <pivotArea dataOnly="0" labelOnly="1" outline="0" fieldPosition="0">
        <references count="3">
          <reference field="4" count="1" selected="0">
            <x v="8"/>
          </reference>
          <reference field="5" count="1">
            <x v="70"/>
          </reference>
          <reference field="19" count="1" selected="0">
            <x v="75"/>
          </reference>
        </references>
      </pivotArea>
    </format>
    <format dxfId="528">
      <pivotArea dataOnly="0" labelOnly="1" outline="0" fieldPosition="0">
        <references count="3">
          <reference field="4" count="1" selected="0">
            <x v="8"/>
          </reference>
          <reference field="5" count="1">
            <x v="112"/>
          </reference>
          <reference field="19" count="1" selected="0">
            <x v="111"/>
          </reference>
        </references>
      </pivotArea>
    </format>
    <format dxfId="527">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526">
      <pivotArea dataOnly="0" labelOnly="1" outline="0" fieldPosition="0">
        <references count="1">
          <reference field="4" count="1">
            <x v="9"/>
          </reference>
        </references>
      </pivotArea>
    </format>
    <format dxfId="525">
      <pivotArea dataOnly="0" labelOnly="1" outline="0" fieldPosition="0">
        <references count="2">
          <reference field="4" count="1" selected="0">
            <x v="9"/>
          </reference>
          <reference field="19" count="3">
            <x v="99"/>
            <x v="123"/>
            <x v="124"/>
          </reference>
        </references>
      </pivotArea>
    </format>
    <format dxfId="524">
      <pivotArea dataOnly="0" labelOnly="1" outline="0" fieldPosition="0">
        <references count="3">
          <reference field="4" count="1" selected="0">
            <x v="9"/>
          </reference>
          <reference field="5" count="1">
            <x v="56"/>
          </reference>
          <reference field="19" count="1" selected="0">
            <x v="99"/>
          </reference>
        </references>
      </pivotArea>
    </format>
    <format dxfId="523">
      <pivotArea dataOnly="0" labelOnly="1" outline="0" fieldPosition="0">
        <references count="3">
          <reference field="4" count="1" selected="0">
            <x v="9"/>
          </reference>
          <reference field="5" count="1">
            <x v="125"/>
          </reference>
          <reference field="19" count="1" selected="0">
            <x v="123"/>
          </reference>
        </references>
      </pivotArea>
    </format>
    <format dxfId="522">
      <pivotArea dataOnly="0" labelOnly="1" outline="0" fieldPosition="0">
        <references count="3">
          <reference field="4" count="1" selected="0">
            <x v="9"/>
          </reference>
          <reference field="5" count="1">
            <x v="126"/>
          </reference>
          <reference field="19" count="1" selected="0">
            <x v="124"/>
          </reference>
        </references>
      </pivotArea>
    </format>
    <format dxfId="521">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520">
      <pivotArea dataOnly="0" labelOnly="1" outline="0" fieldPosition="0">
        <references count="1">
          <reference field="4" count="1">
            <x v="10"/>
          </reference>
        </references>
      </pivotArea>
    </format>
    <format dxfId="519">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518">
      <pivotArea dataOnly="0" labelOnly="1" outline="0" fieldPosition="0">
        <references count="3">
          <reference field="4" count="1" selected="0">
            <x v="10"/>
          </reference>
          <reference field="5" count="2">
            <x v="84"/>
            <x v="116"/>
          </reference>
          <reference field="19" count="1" selected="0">
            <x v="0"/>
          </reference>
        </references>
      </pivotArea>
    </format>
    <format dxfId="517">
      <pivotArea dataOnly="0" labelOnly="1" outline="0" fieldPosition="0">
        <references count="3">
          <reference field="4" count="1" selected="0">
            <x v="10"/>
          </reference>
          <reference field="5" count="1">
            <x v="94"/>
          </reference>
          <reference field="19" count="1" selected="0">
            <x v="1"/>
          </reference>
        </references>
      </pivotArea>
    </format>
    <format dxfId="516">
      <pivotArea dataOnly="0" labelOnly="1" outline="0" fieldPosition="0">
        <references count="3">
          <reference field="4" count="1" selected="0">
            <x v="10"/>
          </reference>
          <reference field="5" count="1">
            <x v="72"/>
          </reference>
          <reference field="19" count="1" selected="0">
            <x v="2"/>
          </reference>
        </references>
      </pivotArea>
    </format>
    <format dxfId="515">
      <pivotArea dataOnly="0" labelOnly="1" outline="0" fieldPosition="0">
        <references count="3">
          <reference field="4" count="1" selected="0">
            <x v="10"/>
          </reference>
          <reference field="5" count="1">
            <x v="96"/>
          </reference>
          <reference field="19" count="1" selected="0">
            <x v="3"/>
          </reference>
        </references>
      </pivotArea>
    </format>
    <format dxfId="514">
      <pivotArea dataOnly="0" labelOnly="1" outline="0" fieldPosition="0">
        <references count="3">
          <reference field="4" count="1" selected="0">
            <x v="10"/>
          </reference>
          <reference field="5" count="1">
            <x v="95"/>
          </reference>
          <reference field="19" count="1" selected="0">
            <x v="4"/>
          </reference>
        </references>
      </pivotArea>
    </format>
    <format dxfId="513">
      <pivotArea dataOnly="0" labelOnly="1" outline="0" fieldPosition="0">
        <references count="3">
          <reference field="4" count="1" selected="0">
            <x v="10"/>
          </reference>
          <reference field="5" count="1">
            <x v="97"/>
          </reference>
          <reference field="19" count="1" selected="0">
            <x v="5"/>
          </reference>
        </references>
      </pivotArea>
    </format>
    <format dxfId="512">
      <pivotArea dataOnly="0" labelOnly="1" outline="0" fieldPosition="0">
        <references count="3">
          <reference field="4" count="1" selected="0">
            <x v="10"/>
          </reference>
          <reference field="5" count="1">
            <x v="87"/>
          </reference>
          <reference field="19" count="1" selected="0">
            <x v="6"/>
          </reference>
        </references>
      </pivotArea>
    </format>
    <format dxfId="511">
      <pivotArea dataOnly="0" labelOnly="1" outline="0" fieldPosition="0">
        <references count="3">
          <reference field="4" count="1" selected="0">
            <x v="10"/>
          </reference>
          <reference field="5" count="1">
            <x v="43"/>
          </reference>
          <reference field="19" count="1" selected="0">
            <x v="7"/>
          </reference>
        </references>
      </pivotArea>
    </format>
    <format dxfId="510">
      <pivotArea dataOnly="0" labelOnly="1" outline="0" fieldPosition="0">
        <references count="3">
          <reference field="4" count="1" selected="0">
            <x v="10"/>
          </reference>
          <reference field="5" count="1">
            <x v="91"/>
          </reference>
          <reference field="19" count="1" selected="0">
            <x v="8"/>
          </reference>
        </references>
      </pivotArea>
    </format>
    <format dxfId="509">
      <pivotArea dataOnly="0" labelOnly="1" outline="0" fieldPosition="0">
        <references count="3">
          <reference field="4" count="1" selected="0">
            <x v="10"/>
          </reference>
          <reference field="5" count="1">
            <x v="9"/>
          </reference>
          <reference field="19" count="1" selected="0">
            <x v="9"/>
          </reference>
        </references>
      </pivotArea>
    </format>
    <format dxfId="508">
      <pivotArea dataOnly="0" labelOnly="1" outline="0" fieldPosition="0">
        <references count="3">
          <reference field="4" count="1" selected="0">
            <x v="10"/>
          </reference>
          <reference field="5" count="1">
            <x v="8"/>
          </reference>
          <reference field="19" count="1" selected="0">
            <x v="10"/>
          </reference>
        </references>
      </pivotArea>
    </format>
    <format dxfId="507">
      <pivotArea dataOnly="0" labelOnly="1" outline="0" fieldPosition="0">
        <references count="3">
          <reference field="4" count="1" selected="0">
            <x v="10"/>
          </reference>
          <reference field="5" count="1">
            <x v="22"/>
          </reference>
          <reference field="19" count="1" selected="0">
            <x v="11"/>
          </reference>
        </references>
      </pivotArea>
    </format>
    <format dxfId="506">
      <pivotArea dataOnly="0" labelOnly="1" outline="0" fieldPosition="0">
        <references count="3">
          <reference field="4" count="1" selected="0">
            <x v="10"/>
          </reference>
          <reference field="5" count="1">
            <x v="27"/>
          </reference>
          <reference field="19" count="1" selected="0">
            <x v="12"/>
          </reference>
        </references>
      </pivotArea>
    </format>
    <format dxfId="505">
      <pivotArea dataOnly="0" labelOnly="1" outline="0" fieldPosition="0">
        <references count="3">
          <reference field="4" count="1" selected="0">
            <x v="10"/>
          </reference>
          <reference field="5" count="1">
            <x v="26"/>
          </reference>
          <reference field="19" count="1" selected="0">
            <x v="13"/>
          </reference>
        </references>
      </pivotArea>
    </format>
    <format dxfId="504">
      <pivotArea dataOnly="0" labelOnly="1" outline="0" fieldPosition="0">
        <references count="3">
          <reference field="4" count="1" selected="0">
            <x v="10"/>
          </reference>
          <reference field="5" count="1">
            <x v="41"/>
          </reference>
          <reference field="19" count="1" selected="0">
            <x v="14"/>
          </reference>
        </references>
      </pivotArea>
    </format>
    <format dxfId="503">
      <pivotArea dataOnly="0" labelOnly="1" outline="0" fieldPosition="0">
        <references count="3">
          <reference field="4" count="1" selected="0">
            <x v="10"/>
          </reference>
          <reference field="5" count="1">
            <x v="17"/>
          </reference>
          <reference field="19" count="1" selected="0">
            <x v="15"/>
          </reference>
        </references>
      </pivotArea>
    </format>
    <format dxfId="502">
      <pivotArea dataOnly="0" labelOnly="1" outline="0" fieldPosition="0">
        <references count="3">
          <reference field="4" count="1" selected="0">
            <x v="10"/>
          </reference>
          <reference field="5" count="1">
            <x v="18"/>
          </reference>
          <reference field="19" count="1" selected="0">
            <x v="16"/>
          </reference>
        </references>
      </pivotArea>
    </format>
    <format dxfId="501">
      <pivotArea dataOnly="0" labelOnly="1" outline="0" fieldPosition="0">
        <references count="3">
          <reference field="4" count="1" selected="0">
            <x v="10"/>
          </reference>
          <reference field="5" count="1">
            <x v="51"/>
          </reference>
          <reference field="19" count="1" selected="0">
            <x v="17"/>
          </reference>
        </references>
      </pivotArea>
    </format>
    <format dxfId="500">
      <pivotArea dataOnly="0" labelOnly="1" outline="0" fieldPosition="0">
        <references count="3">
          <reference field="4" count="1" selected="0">
            <x v="10"/>
          </reference>
          <reference field="5" count="1">
            <x v="52"/>
          </reference>
          <reference field="19" count="1" selected="0">
            <x v="18"/>
          </reference>
        </references>
      </pivotArea>
    </format>
    <format dxfId="499">
      <pivotArea dataOnly="0" labelOnly="1" outline="0" fieldPosition="0">
        <references count="3">
          <reference field="4" count="1" selected="0">
            <x v="10"/>
          </reference>
          <reference field="5" count="1">
            <x v="104"/>
          </reference>
          <reference field="19" count="1" selected="0">
            <x v="19"/>
          </reference>
        </references>
      </pivotArea>
    </format>
    <format dxfId="498">
      <pivotArea dataOnly="0" labelOnly="1" outline="0" fieldPosition="0">
        <references count="3">
          <reference field="4" count="1" selected="0">
            <x v="10"/>
          </reference>
          <reference field="5" count="1">
            <x v="64"/>
          </reference>
          <reference field="19" count="1" selected="0">
            <x v="20"/>
          </reference>
        </references>
      </pivotArea>
    </format>
    <format dxfId="497">
      <pivotArea dataOnly="0" labelOnly="1" outline="0" fieldPosition="0">
        <references count="3">
          <reference field="4" count="1" selected="0">
            <x v="10"/>
          </reference>
          <reference field="5" count="1">
            <x v="74"/>
          </reference>
          <reference field="19" count="1" selected="0">
            <x v="81"/>
          </reference>
        </references>
      </pivotArea>
    </format>
    <format dxfId="496">
      <pivotArea dataOnly="0" labelOnly="1" outline="0" fieldPosition="0">
        <references count="3">
          <reference field="4" count="1" selected="0">
            <x v="10"/>
          </reference>
          <reference field="5" count="1">
            <x v="131"/>
          </reference>
          <reference field="19" count="1" selected="0">
            <x v="130"/>
          </reference>
        </references>
      </pivotArea>
    </format>
    <format dxfId="495">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94">
      <pivotArea dataOnly="0" labelOnly="1" outline="0" fieldPosition="0">
        <references count="1">
          <reference field="4" count="1">
            <x v="11"/>
          </reference>
        </references>
      </pivotArea>
    </format>
    <format dxfId="493">
      <pivotArea dataOnly="0" labelOnly="1" outline="0" fieldPosition="0">
        <references count="2">
          <reference field="4" count="1" selected="0">
            <x v="11"/>
          </reference>
          <reference field="19" count="4">
            <x v="97"/>
            <x v="98"/>
            <x v="125"/>
            <x v="126"/>
          </reference>
        </references>
      </pivotArea>
    </format>
    <format dxfId="492">
      <pivotArea dataOnly="0" labelOnly="1" outline="0" fieldPosition="0">
        <references count="3">
          <reference field="4" count="1" selected="0">
            <x v="11"/>
          </reference>
          <reference field="5" count="1">
            <x v="59"/>
          </reference>
          <reference field="19" count="1" selected="0">
            <x v="97"/>
          </reference>
        </references>
      </pivotArea>
    </format>
    <format dxfId="491">
      <pivotArea dataOnly="0" labelOnly="1" outline="0" fieldPosition="0">
        <references count="3">
          <reference field="4" count="1" selected="0">
            <x v="11"/>
          </reference>
          <reference field="5" count="1">
            <x v="58"/>
          </reference>
          <reference field="19" count="1" selected="0">
            <x v="98"/>
          </reference>
        </references>
      </pivotArea>
    </format>
    <format dxfId="490">
      <pivotArea dataOnly="0" labelOnly="1" outline="0" fieldPosition="0">
        <references count="3">
          <reference field="4" count="1" selected="0">
            <x v="11"/>
          </reference>
          <reference field="5" count="1">
            <x v="127"/>
          </reference>
          <reference field="19" count="1" selected="0">
            <x v="125"/>
          </reference>
        </references>
      </pivotArea>
    </format>
    <format dxfId="489">
      <pivotArea dataOnly="0" labelOnly="1" outline="0" fieldPosition="0">
        <references count="3">
          <reference field="4" count="1" selected="0">
            <x v="11"/>
          </reference>
          <reference field="5" count="1">
            <x v="128"/>
          </reference>
          <reference field="19" count="1" selected="0">
            <x v="126"/>
          </reference>
        </references>
      </pivotArea>
    </format>
    <format dxfId="488">
      <pivotArea outline="0" collapsedLevelsAreSubtotals="1" fieldPosition="0">
        <references count="3">
          <reference field="4" count="1" selected="0">
            <x v="12"/>
          </reference>
          <reference field="5" count="1" selected="0">
            <x v="63"/>
          </reference>
          <reference field="19" count="1" selected="0">
            <x v="103"/>
          </reference>
        </references>
      </pivotArea>
    </format>
    <format dxfId="487">
      <pivotArea dataOnly="0" labelOnly="1" outline="0" fieldPosition="0">
        <references count="1">
          <reference field="4" count="1">
            <x v="12"/>
          </reference>
        </references>
      </pivotArea>
    </format>
    <format dxfId="486">
      <pivotArea dataOnly="0" labelOnly="1" outline="0" fieldPosition="0">
        <references count="2">
          <reference field="4" count="1" selected="0">
            <x v="12"/>
          </reference>
          <reference field="19" count="1">
            <x v="103"/>
          </reference>
        </references>
      </pivotArea>
    </format>
    <format dxfId="485">
      <pivotArea dataOnly="0" labelOnly="1" outline="0" fieldPosition="0">
        <references count="3">
          <reference field="4" count="1" selected="0">
            <x v="12"/>
          </reference>
          <reference field="5" count="1">
            <x v="63"/>
          </reference>
          <reference field="19" count="1" selected="0">
            <x v="103"/>
          </reference>
        </references>
      </pivotArea>
    </format>
    <format dxfId="484">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83">
      <pivotArea dataOnly="0" labelOnly="1" outline="0" fieldPosition="0">
        <references count="1">
          <reference field="4" count="1">
            <x v="13"/>
          </reference>
        </references>
      </pivotArea>
    </format>
    <format dxfId="482">
      <pivotArea dataOnly="0" labelOnly="1" outline="0" fieldPosition="0">
        <references count="2">
          <reference field="4" count="1" selected="0">
            <x v="13"/>
          </reference>
          <reference field="19" count="2">
            <x v="49"/>
            <x v="50"/>
          </reference>
        </references>
      </pivotArea>
    </format>
    <format dxfId="481">
      <pivotArea dataOnly="0" labelOnly="1" outline="0" fieldPosition="0">
        <references count="3">
          <reference field="4" count="1" selected="0">
            <x v="13"/>
          </reference>
          <reference field="5" count="1">
            <x v="89"/>
          </reference>
          <reference field="19" count="1" selected="0">
            <x v="49"/>
          </reference>
        </references>
      </pivotArea>
    </format>
    <format dxfId="480">
      <pivotArea dataOnly="0" labelOnly="1" outline="0" fieldPosition="0">
        <references count="3">
          <reference field="4" count="1" selected="0">
            <x v="13"/>
          </reference>
          <reference field="5" count="1">
            <x v="90"/>
          </reference>
          <reference field="19" count="1" selected="0">
            <x v="50"/>
          </reference>
        </references>
      </pivotArea>
    </format>
    <format dxfId="479">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78">
      <pivotArea dataOnly="0" labelOnly="1" outline="0" fieldPosition="0">
        <references count="1">
          <reference field="4" count="1">
            <x v="14"/>
          </reference>
        </references>
      </pivotArea>
    </format>
    <format dxfId="477">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76">
      <pivotArea dataOnly="0" labelOnly="1" outline="0" fieldPosition="0">
        <references count="3">
          <reference field="4" count="1" selected="0">
            <x v="14"/>
          </reference>
          <reference field="5" count="1">
            <x v="79"/>
          </reference>
          <reference field="19" count="1" selected="0">
            <x v="21"/>
          </reference>
        </references>
      </pivotArea>
    </format>
    <format dxfId="475">
      <pivotArea dataOnly="0" labelOnly="1" outline="0" fieldPosition="0">
        <references count="3">
          <reference field="4" count="1" selected="0">
            <x v="14"/>
          </reference>
          <reference field="5" count="1">
            <x v="81"/>
          </reference>
          <reference field="19" count="1" selected="0">
            <x v="22"/>
          </reference>
        </references>
      </pivotArea>
    </format>
    <format dxfId="474">
      <pivotArea dataOnly="0" labelOnly="1" outline="0" fieldPosition="0">
        <references count="3">
          <reference field="4" count="1" selected="0">
            <x v="14"/>
          </reference>
          <reference field="5" count="1">
            <x v="35"/>
          </reference>
          <reference field="19" count="1" selected="0">
            <x v="23"/>
          </reference>
        </references>
      </pivotArea>
    </format>
    <format dxfId="473">
      <pivotArea dataOnly="0" labelOnly="1" outline="0" fieldPosition="0">
        <references count="3">
          <reference field="4" count="1" selected="0">
            <x v="14"/>
          </reference>
          <reference field="5" count="1">
            <x v="11"/>
          </reference>
          <reference field="19" count="1" selected="0">
            <x v="24"/>
          </reference>
        </references>
      </pivotArea>
    </format>
    <format dxfId="472">
      <pivotArea dataOnly="0" labelOnly="1" outline="0" fieldPosition="0">
        <references count="3">
          <reference field="4" count="1" selected="0">
            <x v="14"/>
          </reference>
          <reference field="5" count="1">
            <x v="38"/>
          </reference>
          <reference field="19" count="1" selected="0">
            <x v="25"/>
          </reference>
        </references>
      </pivotArea>
    </format>
    <format dxfId="471">
      <pivotArea dataOnly="0" labelOnly="1" outline="0" fieldPosition="0">
        <references count="3">
          <reference field="4" count="1" selected="0">
            <x v="14"/>
          </reference>
          <reference field="5" count="1">
            <x v="80"/>
          </reference>
          <reference field="19" count="1" selected="0">
            <x v="26"/>
          </reference>
        </references>
      </pivotArea>
    </format>
    <format dxfId="470">
      <pivotArea dataOnly="0" labelOnly="1" outline="0" fieldPosition="0">
        <references count="3">
          <reference field="4" count="1" selected="0">
            <x v="14"/>
          </reference>
          <reference field="5" count="1">
            <x v="37"/>
          </reference>
          <reference field="19" count="1" selected="0">
            <x v="27"/>
          </reference>
        </references>
      </pivotArea>
    </format>
    <format dxfId="469">
      <pivotArea dataOnly="0" labelOnly="1" outline="0" fieldPosition="0">
        <references count="3">
          <reference field="4" count="1" selected="0">
            <x v="14"/>
          </reference>
          <reference field="5" count="1">
            <x v="78"/>
          </reference>
          <reference field="19" count="1" selected="0">
            <x v="28"/>
          </reference>
        </references>
      </pivotArea>
    </format>
    <format dxfId="468">
      <pivotArea dataOnly="0" labelOnly="1" outline="0" fieldPosition="0">
        <references count="3">
          <reference field="4" count="1" selected="0">
            <x v="14"/>
          </reference>
          <reference field="5" count="1">
            <x v="100"/>
          </reference>
          <reference field="19" count="1" selected="0">
            <x v="29"/>
          </reference>
        </references>
      </pivotArea>
    </format>
    <format dxfId="467">
      <pivotArea dataOnly="0" labelOnly="1" outline="0" fieldPosition="0">
        <references count="3">
          <reference field="4" count="1" selected="0">
            <x v="14"/>
          </reference>
          <reference field="5" count="1">
            <x v="98"/>
          </reference>
          <reference field="19" count="1" selected="0">
            <x v="30"/>
          </reference>
        </references>
      </pivotArea>
    </format>
    <format dxfId="466">
      <pivotArea dataOnly="0" labelOnly="1" outline="0" fieldPosition="0">
        <references count="3">
          <reference field="4" count="1" selected="0">
            <x v="14"/>
          </reference>
          <reference field="5" count="1">
            <x v="99"/>
          </reference>
          <reference field="19" count="1" selected="0">
            <x v="31"/>
          </reference>
        </references>
      </pivotArea>
    </format>
    <format dxfId="465">
      <pivotArea dataOnly="0" labelOnly="1" outline="0" fieldPosition="0">
        <references count="3">
          <reference field="4" count="1" selected="0">
            <x v="14"/>
          </reference>
          <reference field="5" count="1">
            <x v="40"/>
          </reference>
          <reference field="19" count="1" selected="0">
            <x v="32"/>
          </reference>
        </references>
      </pivotArea>
    </format>
    <format dxfId="464">
      <pivotArea dataOnly="0" labelOnly="1" outline="0" fieldPosition="0">
        <references count="3">
          <reference field="4" count="1" selected="0">
            <x v="14"/>
          </reference>
          <reference field="5" count="1">
            <x v="39"/>
          </reference>
          <reference field="19" count="1" selected="0">
            <x v="33"/>
          </reference>
        </references>
      </pivotArea>
    </format>
    <format dxfId="463">
      <pivotArea dataOnly="0" labelOnly="1" outline="0" fieldPosition="0">
        <references count="3">
          <reference field="4" count="1" selected="0">
            <x v="14"/>
          </reference>
          <reference field="5" count="1">
            <x v="88"/>
          </reference>
          <reference field="19" count="1" selected="0">
            <x v="34"/>
          </reference>
        </references>
      </pivotArea>
    </format>
    <format dxfId="462">
      <pivotArea dataOnly="0" labelOnly="1" outline="0" fieldPosition="0">
        <references count="3">
          <reference field="4" count="1" selected="0">
            <x v="14"/>
          </reference>
          <reference field="5" count="1">
            <x v="4"/>
          </reference>
          <reference field="19" count="1" selected="0">
            <x v="66"/>
          </reference>
        </references>
      </pivotArea>
    </format>
    <format dxfId="461">
      <pivotArea dataOnly="0" labelOnly="1" outline="0" fieldPosition="0">
        <references count="3">
          <reference field="4" count="1" selected="0">
            <x v="14"/>
          </reference>
          <reference field="5" count="1">
            <x v="12"/>
          </reference>
          <reference field="19" count="1" selected="0">
            <x v="67"/>
          </reference>
        </references>
      </pivotArea>
    </format>
    <format dxfId="460">
      <pivotArea dataOnly="0" labelOnly="1" outline="0" fieldPosition="0">
        <references count="3">
          <reference field="4" count="1" selected="0">
            <x v="14"/>
          </reference>
          <reference field="5" count="1">
            <x v="103"/>
          </reference>
          <reference field="19" count="1" selected="0">
            <x v="68"/>
          </reference>
        </references>
      </pivotArea>
    </format>
    <format dxfId="459">
      <pivotArea dataOnly="0" labelOnly="1" outline="0" fieldPosition="0">
        <references count="3">
          <reference field="4" count="1" selected="0">
            <x v="14"/>
          </reference>
          <reference field="5" count="1">
            <x v="36"/>
          </reference>
          <reference field="19" count="1" selected="0">
            <x v="69"/>
          </reference>
        </references>
      </pivotArea>
    </format>
    <format dxfId="458">
      <pivotArea dataOnly="0" labelOnly="1" outline="0" fieldPosition="0">
        <references count="3">
          <reference field="4" count="1" selected="0">
            <x v="14"/>
          </reference>
          <reference field="5" count="1">
            <x v="77"/>
          </reference>
          <reference field="19" count="1" selected="0">
            <x v="80"/>
          </reference>
        </references>
      </pivotArea>
    </format>
    <format dxfId="457">
      <pivotArea dataOnly="0" labelOnly="1" outline="0" fieldPosition="0">
        <references count="3">
          <reference field="4" count="1" selected="0">
            <x v="14"/>
          </reference>
          <reference field="5" count="1">
            <x v="110"/>
          </reference>
          <reference field="19" count="1" selected="0">
            <x v="109"/>
          </reference>
        </references>
      </pivotArea>
    </format>
    <format dxfId="456">
      <pivotArea dataOnly="0" labelOnly="1" outline="0" fieldPosition="0">
        <references count="3">
          <reference field="4" count="1" selected="0">
            <x v="14"/>
          </reference>
          <reference field="5" count="1">
            <x v="130"/>
          </reference>
          <reference field="19" count="1" selected="0">
            <x v="129"/>
          </reference>
        </references>
      </pivotArea>
    </format>
    <format dxfId="455">
      <pivotArea dataOnly="0" labelOnly="1" outline="0" fieldPosition="0">
        <references count="3">
          <reference field="4" count="1" selected="0">
            <x v="14"/>
          </reference>
          <reference field="5" count="1">
            <x v="132"/>
          </reference>
          <reference field="19" count="1" selected="0">
            <x v="131"/>
          </reference>
        </references>
      </pivotArea>
    </format>
    <format dxfId="454">
      <pivotArea outline="0" collapsedLevelsAreSubtotals="1" fieldPosition="0">
        <references count="3">
          <reference field="4" count="1" selected="0">
            <x v="15"/>
          </reference>
          <reference field="5" count="1" selected="0">
            <x v="116"/>
          </reference>
          <reference field="19" count="1" selected="0">
            <x v="0"/>
          </reference>
        </references>
      </pivotArea>
    </format>
    <format dxfId="453">
      <pivotArea dataOnly="0" labelOnly="1" outline="0" fieldPosition="0">
        <references count="1">
          <reference field="4" count="1">
            <x v="15"/>
          </reference>
        </references>
      </pivotArea>
    </format>
    <format dxfId="452">
      <pivotArea dataOnly="0" labelOnly="1" outline="0" fieldPosition="0">
        <references count="2">
          <reference field="4" count="1" selected="0">
            <x v="15"/>
          </reference>
          <reference field="19" count="1">
            <x v="0"/>
          </reference>
        </references>
      </pivotArea>
    </format>
    <format dxfId="451">
      <pivotArea dataOnly="0" labelOnly="1" outline="0" fieldPosition="0">
        <references count="3">
          <reference field="4" count="1" selected="0">
            <x v="15"/>
          </reference>
          <reference field="5" count="1">
            <x v="116"/>
          </reference>
          <reference field="19" count="1" selected="0">
            <x v="0"/>
          </reference>
        </references>
      </pivotArea>
    </format>
    <format dxfId="450">
      <pivotArea grandRow="1" outline="0" collapsedLevelsAreSubtotals="1" fieldPosition="0"/>
    </format>
    <format dxfId="449">
      <pivotArea dataOnly="0" labelOnly="1" grandRow="1" outline="0" fieldPosition="0"/>
    </format>
    <format dxfId="448">
      <pivotArea type="all" dataOnly="0" outline="0" fieldPosition="0"/>
    </format>
    <format dxfId="447">
      <pivotArea dataOnly="0" labelOnly="1" outline="0" fieldPosition="0">
        <references count="1">
          <reference field="4" count="0"/>
        </references>
      </pivotArea>
    </format>
    <format dxfId="446">
      <pivotArea dataOnly="0" labelOnly="1" grandRow="1" outline="0" offset="A256" fieldPosition="0"/>
    </format>
    <format dxfId="445">
      <pivotArea field="5" type="button" dataOnly="0" labelOnly="1" outline="0" axis="axisRow" fieldPosition="2"/>
    </format>
    <format dxfId="444">
      <pivotArea dataOnly="0" labelOnly="1" grandRow="1" outline="0" offset="IV256" fieldPosition="0"/>
    </format>
    <format dxfId="443">
      <pivotArea dataOnly="0" labelOnly="1" outline="0" fieldPosition="0">
        <references count="3">
          <reference field="4" count="1" selected="0">
            <x v="0"/>
          </reference>
          <reference field="5" count="1">
            <x v="83"/>
          </reference>
          <reference field="19" count="1" selected="0">
            <x v="36"/>
          </reference>
        </references>
      </pivotArea>
    </format>
    <format dxfId="442">
      <pivotArea dataOnly="0" labelOnly="1" outline="0" fieldPosition="0">
        <references count="3">
          <reference field="4" count="1" selected="0">
            <x v="0"/>
          </reference>
          <reference field="5" count="1">
            <x v="30"/>
          </reference>
          <reference field="19" count="1" selected="0">
            <x v="37"/>
          </reference>
        </references>
      </pivotArea>
    </format>
    <format dxfId="441">
      <pivotArea dataOnly="0" labelOnly="1" outline="0" fieldPosition="0">
        <references count="3">
          <reference field="4" count="1" selected="0">
            <x v="0"/>
          </reference>
          <reference field="5" count="1">
            <x v="1"/>
          </reference>
          <reference field="19" count="1" selected="0">
            <x v="38"/>
          </reference>
        </references>
      </pivotArea>
    </format>
    <format dxfId="440">
      <pivotArea dataOnly="0" labelOnly="1" outline="0" fieldPosition="0">
        <references count="3">
          <reference field="4" count="1" selected="0">
            <x v="0"/>
          </reference>
          <reference field="5" count="1">
            <x v="16"/>
          </reference>
          <reference field="19" count="1" selected="0">
            <x v="39"/>
          </reference>
        </references>
      </pivotArea>
    </format>
    <format dxfId="439">
      <pivotArea dataOnly="0" labelOnly="1" outline="0" fieldPosition="0">
        <references count="3">
          <reference field="4" count="1" selected="0">
            <x v="0"/>
          </reference>
          <reference field="5" count="1">
            <x v="105"/>
          </reference>
          <reference field="19" count="1" selected="0">
            <x v="40"/>
          </reference>
        </references>
      </pivotArea>
    </format>
    <format dxfId="438">
      <pivotArea dataOnly="0" labelOnly="1" outline="0" fieldPosition="0">
        <references count="3">
          <reference field="4" count="1" selected="0">
            <x v="0"/>
          </reference>
          <reference field="5" count="1">
            <x v="65"/>
          </reference>
          <reference field="19" count="1" selected="0">
            <x v="41"/>
          </reference>
        </references>
      </pivotArea>
    </format>
    <format dxfId="437">
      <pivotArea dataOnly="0" labelOnly="1" outline="0" fieldPosition="0">
        <references count="3">
          <reference field="4" count="1" selected="0">
            <x v="0"/>
          </reference>
          <reference field="5" count="1">
            <x v="93"/>
          </reference>
          <reference field="19" count="1" selected="0">
            <x v="42"/>
          </reference>
        </references>
      </pivotArea>
    </format>
    <format dxfId="436">
      <pivotArea dataOnly="0" labelOnly="1" outline="0" fieldPosition="0">
        <references count="3">
          <reference field="4" count="1" selected="0">
            <x v="0"/>
          </reference>
          <reference field="5" count="1">
            <x v="76"/>
          </reference>
          <reference field="19" count="1" selected="0">
            <x v="92"/>
          </reference>
        </references>
      </pivotArea>
    </format>
    <format dxfId="435">
      <pivotArea dataOnly="0" labelOnly="1" outline="0" fieldPosition="0">
        <references count="3">
          <reference field="4" count="1" selected="0">
            <x v="0"/>
          </reference>
          <reference field="5" count="1">
            <x v="111"/>
          </reference>
          <reference field="19" count="1" selected="0">
            <x v="110"/>
          </reference>
        </references>
      </pivotArea>
    </format>
    <format dxfId="434">
      <pivotArea dataOnly="0" labelOnly="1" outline="0" fieldPosition="0">
        <references count="3">
          <reference field="4" count="1" selected="0">
            <x v="0"/>
          </reference>
          <reference field="5" count="1">
            <x v="114"/>
          </reference>
          <reference field="19" count="1" selected="0">
            <x v="113"/>
          </reference>
        </references>
      </pivotArea>
    </format>
    <format dxfId="433">
      <pivotArea dataOnly="0" labelOnly="1" outline="0" fieldPosition="0">
        <references count="3">
          <reference field="4" count="1" selected="0">
            <x v="1"/>
          </reference>
          <reference field="5" count="1">
            <x v="6"/>
          </reference>
          <reference field="19" count="1" selected="0">
            <x v="35"/>
          </reference>
        </references>
      </pivotArea>
    </format>
    <format dxfId="432">
      <pivotArea dataOnly="0" labelOnly="1" outline="0" fieldPosition="0">
        <references count="3">
          <reference field="4" count="1" selected="0">
            <x v="1"/>
          </reference>
          <reference field="5" count="1">
            <x v="28"/>
          </reference>
          <reference field="19" count="1" selected="0">
            <x v="93"/>
          </reference>
        </references>
      </pivotArea>
    </format>
    <format dxfId="431">
      <pivotArea dataOnly="0" labelOnly="1" outline="0" fieldPosition="0">
        <references count="3">
          <reference field="4" count="1" selected="0">
            <x v="1"/>
          </reference>
          <reference field="5" count="1">
            <x v="117"/>
          </reference>
          <reference field="19" count="1" selected="0">
            <x v="115"/>
          </reference>
        </references>
      </pivotArea>
    </format>
    <format dxfId="430">
      <pivotArea dataOnly="0" labelOnly="1" outline="0" fieldPosition="0">
        <references count="3">
          <reference field="4" count="1" selected="0">
            <x v="2"/>
          </reference>
          <reference field="5" count="2">
            <x v="102"/>
            <x v="116"/>
          </reference>
          <reference field="19" count="1" selected="0">
            <x v="0"/>
          </reference>
        </references>
      </pivotArea>
    </format>
    <format dxfId="429">
      <pivotArea dataOnly="0" labelOnly="1" outline="0" fieldPosition="0">
        <references count="3">
          <reference field="4" count="1" selected="0">
            <x v="2"/>
          </reference>
          <reference field="5" count="1">
            <x v="53"/>
          </reference>
          <reference field="19" count="1" selected="0">
            <x v="61"/>
          </reference>
        </references>
      </pivotArea>
    </format>
    <format dxfId="428">
      <pivotArea dataOnly="0" labelOnly="1" outline="0" fieldPosition="0">
        <references count="3">
          <reference field="4" count="1" selected="0">
            <x v="2"/>
          </reference>
          <reference field="5" count="1">
            <x v="66"/>
          </reference>
          <reference field="19" count="1" selected="0">
            <x v="63"/>
          </reference>
        </references>
      </pivotArea>
    </format>
    <format dxfId="427">
      <pivotArea dataOnly="0" labelOnly="1" outline="0" fieldPosition="0">
        <references count="3">
          <reference field="4" count="1" selected="0">
            <x v="2"/>
          </reference>
          <reference field="5" count="1">
            <x v="106"/>
          </reference>
          <reference field="19" count="1" selected="0">
            <x v="64"/>
          </reference>
        </references>
      </pivotArea>
    </format>
    <format dxfId="426">
      <pivotArea dataOnly="0" labelOnly="1" outline="0" fieldPosition="0">
        <references count="3">
          <reference field="4" count="1" selected="0">
            <x v="2"/>
          </reference>
          <reference field="5" count="1">
            <x v="5"/>
          </reference>
          <reference field="19" count="1" selected="0">
            <x v="65"/>
          </reference>
        </references>
      </pivotArea>
    </format>
    <format dxfId="425">
      <pivotArea dataOnly="0" labelOnly="1" outline="0" fieldPosition="0">
        <references count="3">
          <reference field="4" count="1" selected="0">
            <x v="2"/>
          </reference>
          <reference field="5" count="1">
            <x v="3"/>
          </reference>
          <reference field="19" count="1" selected="0">
            <x v="82"/>
          </reference>
        </references>
      </pivotArea>
    </format>
    <format dxfId="424">
      <pivotArea dataOnly="0" labelOnly="1" outline="0" fieldPosition="0">
        <references count="3">
          <reference field="4" count="1" selected="0">
            <x v="2"/>
          </reference>
          <reference field="5" count="1">
            <x v="7"/>
          </reference>
          <reference field="19" count="1" selected="0">
            <x v="83"/>
          </reference>
        </references>
      </pivotArea>
    </format>
    <format dxfId="423">
      <pivotArea dataOnly="0" labelOnly="1" outline="0" fieldPosition="0">
        <references count="3">
          <reference field="4" count="1" selected="0">
            <x v="2"/>
          </reference>
          <reference field="5" count="1">
            <x v="2"/>
          </reference>
          <reference field="19" count="1" selected="0">
            <x v="84"/>
          </reference>
        </references>
      </pivotArea>
    </format>
    <format dxfId="422">
      <pivotArea dataOnly="0" labelOnly="1" outline="0" fieldPosition="0">
        <references count="3">
          <reference field="4" count="1" selected="0">
            <x v="2"/>
          </reference>
          <reference field="5" count="1">
            <x v="0"/>
          </reference>
          <reference field="19" count="1" selected="0">
            <x v="85"/>
          </reference>
        </references>
      </pivotArea>
    </format>
    <format dxfId="421">
      <pivotArea dataOnly="0" labelOnly="1" outline="0" fieldPosition="0">
        <references count="3">
          <reference field="4" count="1" selected="0">
            <x v="2"/>
          </reference>
          <reference field="5" count="1">
            <x v="29"/>
          </reference>
          <reference field="19" count="1" selected="0">
            <x v="86"/>
          </reference>
        </references>
      </pivotArea>
    </format>
    <format dxfId="420">
      <pivotArea dataOnly="0" labelOnly="1" outline="0" fieldPosition="0">
        <references count="3">
          <reference field="4" count="1" selected="0">
            <x v="2"/>
          </reference>
          <reference field="5" count="1">
            <x v="82"/>
          </reference>
          <reference field="19" count="1" selected="0">
            <x v="87"/>
          </reference>
        </references>
      </pivotArea>
    </format>
    <format dxfId="419">
      <pivotArea dataOnly="0" labelOnly="1" outline="0" fieldPosition="0">
        <references count="3">
          <reference field="4" count="1" selected="0">
            <x v="2"/>
          </reference>
          <reference field="5" count="1">
            <x v="85"/>
          </reference>
          <reference field="19" count="1" selected="0">
            <x v="88"/>
          </reference>
        </references>
      </pivotArea>
    </format>
    <format dxfId="418">
      <pivotArea dataOnly="0" labelOnly="1" outline="0" fieldPosition="0">
        <references count="3">
          <reference field="4" count="1" selected="0">
            <x v="2"/>
          </reference>
          <reference field="5" count="1">
            <x v="101"/>
          </reference>
          <reference field="19" count="1" selected="0">
            <x v="89"/>
          </reference>
        </references>
      </pivotArea>
    </format>
    <format dxfId="417">
      <pivotArea dataOnly="0" labelOnly="1" outline="0" fieldPosition="0">
        <references count="3">
          <reference field="4" count="1" selected="0">
            <x v="2"/>
          </reference>
          <reference field="5" count="1">
            <x v="13"/>
          </reference>
          <reference field="19" count="1" selected="0">
            <x v="90"/>
          </reference>
        </references>
      </pivotArea>
    </format>
    <format dxfId="416">
      <pivotArea dataOnly="0" labelOnly="1" outline="0" fieldPosition="0">
        <references count="3">
          <reference field="4" count="1" selected="0">
            <x v="2"/>
          </reference>
          <reference field="5" count="1">
            <x v="62"/>
          </reference>
          <reference field="19" count="1" selected="0">
            <x v="91"/>
          </reference>
        </references>
      </pivotArea>
    </format>
    <format dxfId="415">
      <pivotArea dataOnly="0" labelOnly="1" outline="0" fieldPosition="0">
        <references count="3">
          <reference field="4" count="1" selected="0">
            <x v="2"/>
          </reference>
          <reference field="5" count="1">
            <x v="113"/>
          </reference>
          <reference field="19" count="1" selected="0">
            <x v="112"/>
          </reference>
        </references>
      </pivotArea>
    </format>
    <format dxfId="414">
      <pivotArea dataOnly="0" labelOnly="1" outline="0" fieldPosition="0">
        <references count="3">
          <reference field="4" count="1" selected="0">
            <x v="2"/>
          </reference>
          <reference field="5" count="1">
            <x v="121"/>
          </reference>
          <reference field="19" count="1" selected="0">
            <x v="119"/>
          </reference>
        </references>
      </pivotArea>
    </format>
    <format dxfId="413">
      <pivotArea dataOnly="0" labelOnly="1" outline="0" fieldPosition="0">
        <references count="3">
          <reference field="4" count="1" selected="0">
            <x v="2"/>
          </reference>
          <reference field="5" count="1">
            <x v="122"/>
          </reference>
          <reference field="19" count="1" selected="0">
            <x v="120"/>
          </reference>
        </references>
      </pivotArea>
    </format>
    <format dxfId="412">
      <pivotArea dataOnly="0" labelOnly="1" outline="0" fieldPosition="0">
        <references count="3">
          <reference field="4" count="1" selected="0">
            <x v="3"/>
          </reference>
          <reference field="5" count="1">
            <x v="60"/>
          </reference>
          <reference field="19" count="1" selected="0">
            <x v="100"/>
          </reference>
        </references>
      </pivotArea>
    </format>
    <format dxfId="411">
      <pivotArea dataOnly="0" labelOnly="1" outline="0" fieldPosition="0">
        <references count="3">
          <reference field="4" count="1" selected="0">
            <x v="3"/>
          </reference>
          <reference field="5" count="1">
            <x v="20"/>
          </reference>
          <reference field="19" count="1" selected="0">
            <x v="104"/>
          </reference>
        </references>
      </pivotArea>
    </format>
    <format dxfId="410">
      <pivotArea dataOnly="0" labelOnly="1" outline="0" fieldPosition="0">
        <references count="3">
          <reference field="4" count="1" selected="0">
            <x v="3"/>
          </reference>
          <reference field="5" count="1">
            <x v="21"/>
          </reference>
          <reference field="19" count="1" selected="0">
            <x v="105"/>
          </reference>
        </references>
      </pivotArea>
    </format>
    <format dxfId="409">
      <pivotArea dataOnly="0" labelOnly="1" outline="0" fieldPosition="0">
        <references count="3">
          <reference field="4" count="1" selected="0">
            <x v="3"/>
          </reference>
          <reference field="5" count="1">
            <x v="119"/>
          </reference>
          <reference field="19" count="1" selected="0">
            <x v="117"/>
          </reference>
        </references>
      </pivotArea>
    </format>
    <format dxfId="408">
      <pivotArea dataOnly="0" labelOnly="1" outline="0" fieldPosition="0">
        <references count="3">
          <reference field="4" count="1" selected="0">
            <x v="3"/>
          </reference>
          <reference field="5" count="1">
            <x v="124"/>
          </reference>
          <reference field="19" count="1" selected="0">
            <x v="122"/>
          </reference>
        </references>
      </pivotArea>
    </format>
    <format dxfId="407">
      <pivotArea dataOnly="0" labelOnly="1" outline="0" fieldPosition="0">
        <references count="3">
          <reference field="4" count="1" selected="0">
            <x v="3"/>
          </reference>
          <reference field="5" count="1">
            <x v="129"/>
          </reference>
          <reference field="19" count="1" selected="0">
            <x v="127"/>
          </reference>
        </references>
      </pivotArea>
    </format>
    <format dxfId="406">
      <pivotArea dataOnly="0" labelOnly="1" outline="0" fieldPosition="0">
        <references count="3">
          <reference field="4" count="1" selected="0">
            <x v="3"/>
          </reference>
          <reference field="5" count="1">
            <x v="133"/>
          </reference>
          <reference field="19" count="1" selected="0">
            <x v="128"/>
          </reference>
        </references>
      </pivotArea>
    </format>
    <format dxfId="405">
      <pivotArea dataOnly="0" labelOnly="1" outline="0" fieldPosition="0">
        <references count="3">
          <reference field="4" count="1" selected="0">
            <x v="4"/>
          </reference>
          <reference field="5" count="1">
            <x v="49"/>
          </reference>
          <reference field="19" count="1" selected="0">
            <x v="48"/>
          </reference>
        </references>
      </pivotArea>
    </format>
    <format dxfId="404">
      <pivotArea dataOnly="0" labelOnly="1" outline="0" fieldPosition="0">
        <references count="3">
          <reference field="4" count="1" selected="0">
            <x v="4"/>
          </reference>
          <reference field="5" count="1">
            <x v="25"/>
          </reference>
          <reference field="19" count="1" selected="0">
            <x v="74"/>
          </reference>
        </references>
      </pivotArea>
    </format>
    <format dxfId="403">
      <pivotArea dataOnly="0" labelOnly="1" outline="0" fieldPosition="0">
        <references count="3">
          <reference field="4" count="1" selected="0">
            <x v="4"/>
          </reference>
          <reference field="5" count="1">
            <x v="45"/>
          </reference>
          <reference field="19" count="1" selected="0">
            <x v="76"/>
          </reference>
        </references>
      </pivotArea>
    </format>
    <format dxfId="402">
      <pivotArea dataOnly="0" labelOnly="1" outline="0" fieldPosition="0">
        <references count="3">
          <reference field="4" count="1" selected="0">
            <x v="4"/>
          </reference>
          <reference field="5" count="1">
            <x v="44"/>
          </reference>
          <reference field="19" count="1" selected="0">
            <x v="77"/>
          </reference>
        </references>
      </pivotArea>
    </format>
    <format dxfId="401">
      <pivotArea dataOnly="0" labelOnly="1" outline="0" fieldPosition="0">
        <references count="3">
          <reference field="4" count="1" selected="0">
            <x v="4"/>
          </reference>
          <reference field="5" count="1">
            <x v="34"/>
          </reference>
          <reference field="19" count="1" selected="0">
            <x v="78"/>
          </reference>
        </references>
      </pivotArea>
    </format>
    <format dxfId="400">
      <pivotArea dataOnly="0" labelOnly="1" outline="0" fieldPosition="0">
        <references count="3">
          <reference field="4" count="1" selected="0">
            <x v="4"/>
          </reference>
          <reference field="5" count="1">
            <x v="107"/>
          </reference>
          <reference field="19" count="1" selected="0">
            <x v="106"/>
          </reference>
        </references>
      </pivotArea>
    </format>
    <format dxfId="399">
      <pivotArea dataOnly="0" labelOnly="1" outline="0" fieldPosition="0">
        <references count="3">
          <reference field="4" count="1" selected="0">
            <x v="4"/>
          </reference>
          <reference field="5" count="1">
            <x v="109"/>
          </reference>
          <reference field="19" count="1" selected="0">
            <x v="108"/>
          </reference>
        </references>
      </pivotArea>
    </format>
    <format dxfId="398">
      <pivotArea dataOnly="0" labelOnly="1" outline="0" fieldPosition="0">
        <references count="3">
          <reference field="4" count="1" selected="0">
            <x v="4"/>
          </reference>
          <reference field="5" count="1">
            <x v="118"/>
          </reference>
          <reference field="19" count="1" selected="0">
            <x v="116"/>
          </reference>
        </references>
      </pivotArea>
    </format>
    <format dxfId="397">
      <pivotArea dataOnly="0" labelOnly="1" outline="0" fieldPosition="0">
        <references count="3">
          <reference field="4" count="1" selected="0">
            <x v="4"/>
          </reference>
          <reference field="5" count="1">
            <x v="120"/>
          </reference>
          <reference field="19" count="1" selected="0">
            <x v="118"/>
          </reference>
        </references>
      </pivotArea>
    </format>
    <format dxfId="396">
      <pivotArea dataOnly="0" labelOnly="1" outline="0" fieldPosition="0">
        <references count="3">
          <reference field="4" count="1" selected="0">
            <x v="5"/>
          </reference>
          <reference field="5" count="1">
            <x v="47"/>
          </reference>
          <reference field="19" count="1" selected="0">
            <x v="101"/>
          </reference>
        </references>
      </pivotArea>
    </format>
    <format dxfId="395">
      <pivotArea dataOnly="0" labelOnly="1" outline="0" fieldPosition="0">
        <references count="3">
          <reference field="4" count="1" selected="0">
            <x v="5"/>
          </reference>
          <reference field="5" count="1">
            <x v="14"/>
          </reference>
          <reference field="19" count="1" selected="0">
            <x v="102"/>
          </reference>
        </references>
      </pivotArea>
    </format>
    <format dxfId="394">
      <pivotArea dataOnly="0" labelOnly="1" outline="0" fieldPosition="0">
        <references count="3">
          <reference field="4" count="1" selected="0">
            <x v="5"/>
          </reference>
          <reference field="5" count="1">
            <x v="134"/>
          </reference>
          <reference field="19" count="1" selected="0">
            <x v="132"/>
          </reference>
        </references>
      </pivotArea>
    </format>
    <format dxfId="393">
      <pivotArea dataOnly="0" labelOnly="1" outline="0" fieldPosition="0">
        <references count="3">
          <reference field="4" count="1" selected="0">
            <x v="6"/>
          </reference>
          <reference field="5" count="1">
            <x v="48"/>
          </reference>
          <reference field="19" count="1" selected="0">
            <x v="56"/>
          </reference>
        </references>
      </pivotArea>
    </format>
    <format dxfId="392">
      <pivotArea dataOnly="0" labelOnly="1" outline="0" fieldPosition="0">
        <references count="3">
          <reference field="4" count="1" selected="0">
            <x v="6"/>
          </reference>
          <reference field="5" count="1">
            <x v="23"/>
          </reference>
          <reference field="19" count="1" selected="0">
            <x v="57"/>
          </reference>
        </references>
      </pivotArea>
    </format>
    <format dxfId="391">
      <pivotArea dataOnly="0" labelOnly="1" outline="0" fieldPosition="0">
        <references count="3">
          <reference field="4" count="1" selected="0">
            <x v="6"/>
          </reference>
          <reference field="5" count="1">
            <x v="67"/>
          </reference>
          <reference field="19" count="1" selected="0">
            <x v="58"/>
          </reference>
        </references>
      </pivotArea>
    </format>
    <format dxfId="390">
      <pivotArea dataOnly="0" labelOnly="1" outline="0" fieldPosition="0">
        <references count="3">
          <reference field="4" count="1" selected="0">
            <x v="7"/>
          </reference>
          <reference field="5" count="1">
            <x v="92"/>
          </reference>
          <reference field="19" count="1" selected="0">
            <x v="59"/>
          </reference>
        </references>
      </pivotArea>
    </format>
    <format dxfId="389">
      <pivotArea dataOnly="0" labelOnly="1" outline="0" fieldPosition="0">
        <references count="3">
          <reference field="4" count="1" selected="0">
            <x v="7"/>
          </reference>
          <reference field="5" count="1">
            <x v="68"/>
          </reference>
          <reference field="19" count="1" selected="0">
            <x v="79"/>
          </reference>
        </references>
      </pivotArea>
    </format>
    <format dxfId="388">
      <pivotArea dataOnly="0" labelOnly="1" outline="0" fieldPosition="0">
        <references count="3">
          <reference field="4" count="1" selected="0">
            <x v="8"/>
          </reference>
          <reference field="5" count="1">
            <x v="54"/>
          </reference>
          <reference field="19" count="1" selected="0">
            <x v="43"/>
          </reference>
        </references>
      </pivotArea>
    </format>
    <format dxfId="387">
      <pivotArea dataOnly="0" labelOnly="1" outline="0" fieldPosition="0">
        <references count="3">
          <reference field="4" count="1" selected="0">
            <x v="8"/>
          </reference>
          <reference field="5" count="1">
            <x v="46"/>
          </reference>
          <reference field="19" count="1" selected="0">
            <x v="45"/>
          </reference>
        </references>
      </pivotArea>
    </format>
    <format dxfId="386">
      <pivotArea dataOnly="0" labelOnly="1" outline="0" fieldPosition="0">
        <references count="3">
          <reference field="4" count="1" selected="0">
            <x v="8"/>
          </reference>
          <reference field="5" count="1">
            <x v="71"/>
          </reference>
          <reference field="19" count="1" selected="0">
            <x v="46"/>
          </reference>
        </references>
      </pivotArea>
    </format>
    <format dxfId="385">
      <pivotArea dataOnly="0" labelOnly="1" outline="0" fieldPosition="0">
        <references count="3">
          <reference field="4" count="1" selected="0">
            <x v="8"/>
          </reference>
          <reference field="5" count="1">
            <x v="42"/>
          </reference>
          <reference field="19" count="1" selected="0">
            <x v="47"/>
          </reference>
        </references>
      </pivotArea>
    </format>
    <format dxfId="384">
      <pivotArea dataOnly="0" labelOnly="1" outline="0" fieldPosition="0">
        <references count="3">
          <reference field="4" count="1" selected="0">
            <x v="8"/>
          </reference>
          <reference field="5" count="1">
            <x v="32"/>
          </reference>
          <reference field="19" count="1" selected="0">
            <x v="51"/>
          </reference>
        </references>
      </pivotArea>
    </format>
    <format dxfId="383">
      <pivotArea dataOnly="0" labelOnly="1" outline="0" fieldPosition="0">
        <references count="3">
          <reference field="4" count="1" selected="0">
            <x v="8"/>
          </reference>
          <reference field="5" count="1">
            <x v="33"/>
          </reference>
          <reference field="19" count="1" selected="0">
            <x v="52"/>
          </reference>
        </references>
      </pivotArea>
    </format>
    <format dxfId="382">
      <pivotArea dataOnly="0" labelOnly="1" outline="0" fieldPosition="0">
        <references count="3">
          <reference field="4" count="1" selected="0">
            <x v="8"/>
          </reference>
          <reference field="5" count="1">
            <x v="31"/>
          </reference>
          <reference field="19" count="1" selected="0">
            <x v="53"/>
          </reference>
        </references>
      </pivotArea>
    </format>
    <format dxfId="381">
      <pivotArea dataOnly="0" labelOnly="1" outline="0" fieldPosition="0">
        <references count="3">
          <reference field="4" count="1" selected="0">
            <x v="8"/>
          </reference>
          <reference field="5" count="1">
            <x v="73"/>
          </reference>
          <reference field="19" count="1" selected="0">
            <x v="54"/>
          </reference>
        </references>
      </pivotArea>
    </format>
    <format dxfId="380">
      <pivotArea dataOnly="0" labelOnly="1" outline="0" fieldPosition="0">
        <references count="3">
          <reference field="4" count="1" selected="0">
            <x v="8"/>
          </reference>
          <reference field="5" count="1">
            <x v="86"/>
          </reference>
          <reference field="19" count="1" selected="0">
            <x v="55"/>
          </reference>
        </references>
      </pivotArea>
    </format>
    <format dxfId="379">
      <pivotArea dataOnly="0" labelOnly="1" outline="0" fieldPosition="0">
        <references count="3">
          <reference field="4" count="1" selected="0">
            <x v="8"/>
          </reference>
          <reference field="5" count="1">
            <x v="19"/>
          </reference>
          <reference field="19" count="1" selected="0">
            <x v="70"/>
          </reference>
        </references>
      </pivotArea>
    </format>
    <format dxfId="378">
      <pivotArea dataOnly="0" labelOnly="1" outline="0" fieldPosition="0">
        <references count="3">
          <reference field="4" count="1" selected="0">
            <x v="8"/>
          </reference>
          <reference field="5" count="1">
            <x v="15"/>
          </reference>
          <reference field="19" count="1" selected="0">
            <x v="71"/>
          </reference>
        </references>
      </pivotArea>
    </format>
    <format dxfId="377">
      <pivotArea dataOnly="0" labelOnly="1" outline="0" fieldPosition="0">
        <references count="3">
          <reference field="4" count="1" selected="0">
            <x v="8"/>
          </reference>
          <reference field="5" count="1">
            <x v="10"/>
          </reference>
          <reference field="19" count="1" selected="0">
            <x v="72"/>
          </reference>
        </references>
      </pivotArea>
    </format>
    <format dxfId="376">
      <pivotArea dataOnly="0" labelOnly="1" outline="0" fieldPosition="0">
        <references count="3">
          <reference field="4" count="1" selected="0">
            <x v="8"/>
          </reference>
          <reference field="5" count="1">
            <x v="75"/>
          </reference>
          <reference field="19" count="1" selected="0">
            <x v="73"/>
          </reference>
        </references>
      </pivotArea>
    </format>
    <format dxfId="375">
      <pivotArea dataOnly="0" labelOnly="1" outline="0" fieldPosition="0">
        <references count="3">
          <reference field="4" count="1" selected="0">
            <x v="8"/>
          </reference>
          <reference field="5" count="1">
            <x v="70"/>
          </reference>
          <reference field="19" count="1" selected="0">
            <x v="75"/>
          </reference>
        </references>
      </pivotArea>
    </format>
    <format dxfId="374">
      <pivotArea dataOnly="0" labelOnly="1" outline="0" fieldPosition="0">
        <references count="3">
          <reference field="4" count="1" selected="0">
            <x v="8"/>
          </reference>
          <reference field="5" count="1">
            <x v="112"/>
          </reference>
          <reference field="19" count="1" selected="0">
            <x v="111"/>
          </reference>
        </references>
      </pivotArea>
    </format>
    <format dxfId="373">
      <pivotArea dataOnly="0" labelOnly="1" outline="0" fieldPosition="0">
        <references count="3">
          <reference field="4" count="1" selected="0">
            <x v="9"/>
          </reference>
          <reference field="5" count="1">
            <x v="56"/>
          </reference>
          <reference field="19" count="1" selected="0">
            <x v="99"/>
          </reference>
        </references>
      </pivotArea>
    </format>
    <format dxfId="372">
      <pivotArea dataOnly="0" labelOnly="1" outline="0" fieldPosition="0">
        <references count="3">
          <reference field="4" count="1" selected="0">
            <x v="9"/>
          </reference>
          <reference field="5" count="1">
            <x v="125"/>
          </reference>
          <reference field="19" count="1" selected="0">
            <x v="123"/>
          </reference>
        </references>
      </pivotArea>
    </format>
    <format dxfId="371">
      <pivotArea dataOnly="0" labelOnly="1" outline="0" fieldPosition="0">
        <references count="3">
          <reference field="4" count="1" selected="0">
            <x v="9"/>
          </reference>
          <reference field="5" count="1">
            <x v="126"/>
          </reference>
          <reference field="19" count="1" selected="0">
            <x v="124"/>
          </reference>
        </references>
      </pivotArea>
    </format>
    <format dxfId="370">
      <pivotArea dataOnly="0" labelOnly="1" outline="0" fieldPosition="0">
        <references count="3">
          <reference field="4" count="1" selected="0">
            <x v="10"/>
          </reference>
          <reference field="5" count="2">
            <x v="84"/>
            <x v="116"/>
          </reference>
          <reference field="19" count="1" selected="0">
            <x v="0"/>
          </reference>
        </references>
      </pivotArea>
    </format>
    <format dxfId="369">
      <pivotArea dataOnly="0" labelOnly="1" outline="0" fieldPosition="0">
        <references count="3">
          <reference field="4" count="1" selected="0">
            <x v="10"/>
          </reference>
          <reference field="5" count="1">
            <x v="94"/>
          </reference>
          <reference field="19" count="1" selected="0">
            <x v="1"/>
          </reference>
        </references>
      </pivotArea>
    </format>
    <format dxfId="368">
      <pivotArea dataOnly="0" labelOnly="1" outline="0" fieldPosition="0">
        <references count="3">
          <reference field="4" count="1" selected="0">
            <x v="10"/>
          </reference>
          <reference field="5" count="1">
            <x v="72"/>
          </reference>
          <reference field="19" count="1" selected="0">
            <x v="2"/>
          </reference>
        </references>
      </pivotArea>
    </format>
    <format dxfId="367">
      <pivotArea dataOnly="0" labelOnly="1" outline="0" fieldPosition="0">
        <references count="3">
          <reference field="4" count="1" selected="0">
            <x v="10"/>
          </reference>
          <reference field="5" count="1">
            <x v="96"/>
          </reference>
          <reference field="19" count="1" selected="0">
            <x v="3"/>
          </reference>
        </references>
      </pivotArea>
    </format>
    <format dxfId="366">
      <pivotArea dataOnly="0" labelOnly="1" outline="0" fieldPosition="0">
        <references count="3">
          <reference field="4" count="1" selected="0">
            <x v="10"/>
          </reference>
          <reference field="5" count="1">
            <x v="95"/>
          </reference>
          <reference field="19" count="1" selected="0">
            <x v="4"/>
          </reference>
        </references>
      </pivotArea>
    </format>
    <format dxfId="365">
      <pivotArea dataOnly="0" labelOnly="1" outline="0" fieldPosition="0">
        <references count="3">
          <reference field="4" count="1" selected="0">
            <x v="10"/>
          </reference>
          <reference field="5" count="1">
            <x v="97"/>
          </reference>
          <reference field="19" count="1" selected="0">
            <x v="5"/>
          </reference>
        </references>
      </pivotArea>
    </format>
    <format dxfId="364">
      <pivotArea dataOnly="0" labelOnly="1" outline="0" fieldPosition="0">
        <references count="3">
          <reference field="4" count="1" selected="0">
            <x v="10"/>
          </reference>
          <reference field="5" count="1">
            <x v="87"/>
          </reference>
          <reference field="19" count="1" selected="0">
            <x v="6"/>
          </reference>
        </references>
      </pivotArea>
    </format>
    <format dxfId="363">
      <pivotArea dataOnly="0" labelOnly="1" outline="0" fieldPosition="0">
        <references count="3">
          <reference field="4" count="1" selected="0">
            <x v="10"/>
          </reference>
          <reference field="5" count="1">
            <x v="43"/>
          </reference>
          <reference field="19" count="1" selected="0">
            <x v="7"/>
          </reference>
        </references>
      </pivotArea>
    </format>
    <format dxfId="362">
      <pivotArea dataOnly="0" labelOnly="1" outline="0" fieldPosition="0">
        <references count="3">
          <reference field="4" count="1" selected="0">
            <x v="10"/>
          </reference>
          <reference field="5" count="1">
            <x v="91"/>
          </reference>
          <reference field="19" count="1" selected="0">
            <x v="8"/>
          </reference>
        </references>
      </pivotArea>
    </format>
    <format dxfId="361">
      <pivotArea dataOnly="0" labelOnly="1" outline="0" fieldPosition="0">
        <references count="3">
          <reference field="4" count="1" selected="0">
            <x v="10"/>
          </reference>
          <reference field="5" count="1">
            <x v="9"/>
          </reference>
          <reference field="19" count="1" selected="0">
            <x v="9"/>
          </reference>
        </references>
      </pivotArea>
    </format>
    <format dxfId="360">
      <pivotArea dataOnly="0" labelOnly="1" outline="0" fieldPosition="0">
        <references count="3">
          <reference field="4" count="1" selected="0">
            <x v="10"/>
          </reference>
          <reference field="5" count="1">
            <x v="8"/>
          </reference>
          <reference field="19" count="1" selected="0">
            <x v="10"/>
          </reference>
        </references>
      </pivotArea>
    </format>
    <format dxfId="359">
      <pivotArea dataOnly="0" labelOnly="1" outline="0" fieldPosition="0">
        <references count="3">
          <reference field="4" count="1" selected="0">
            <x v="10"/>
          </reference>
          <reference field="5" count="1">
            <x v="22"/>
          </reference>
          <reference field="19" count="1" selected="0">
            <x v="11"/>
          </reference>
        </references>
      </pivotArea>
    </format>
    <format dxfId="358">
      <pivotArea dataOnly="0" labelOnly="1" outline="0" fieldPosition="0">
        <references count="3">
          <reference field="4" count="1" selected="0">
            <x v="10"/>
          </reference>
          <reference field="5" count="1">
            <x v="27"/>
          </reference>
          <reference field="19" count="1" selected="0">
            <x v="12"/>
          </reference>
        </references>
      </pivotArea>
    </format>
    <format dxfId="357">
      <pivotArea dataOnly="0" labelOnly="1" outline="0" fieldPosition="0">
        <references count="3">
          <reference field="4" count="1" selected="0">
            <x v="10"/>
          </reference>
          <reference field="5" count="1">
            <x v="26"/>
          </reference>
          <reference field="19" count="1" selected="0">
            <x v="13"/>
          </reference>
        </references>
      </pivotArea>
    </format>
    <format dxfId="356">
      <pivotArea dataOnly="0" labelOnly="1" outline="0" fieldPosition="0">
        <references count="3">
          <reference field="4" count="1" selected="0">
            <x v="10"/>
          </reference>
          <reference field="5" count="1">
            <x v="41"/>
          </reference>
          <reference field="19" count="1" selected="0">
            <x v="14"/>
          </reference>
        </references>
      </pivotArea>
    </format>
    <format dxfId="355">
      <pivotArea dataOnly="0" labelOnly="1" outline="0" fieldPosition="0">
        <references count="3">
          <reference field="4" count="1" selected="0">
            <x v="10"/>
          </reference>
          <reference field="5" count="1">
            <x v="17"/>
          </reference>
          <reference field="19" count="1" selected="0">
            <x v="15"/>
          </reference>
        </references>
      </pivotArea>
    </format>
    <format dxfId="354">
      <pivotArea dataOnly="0" labelOnly="1" outline="0" fieldPosition="0">
        <references count="3">
          <reference field="4" count="1" selected="0">
            <x v="10"/>
          </reference>
          <reference field="5" count="1">
            <x v="18"/>
          </reference>
          <reference field="19" count="1" selected="0">
            <x v="16"/>
          </reference>
        </references>
      </pivotArea>
    </format>
    <format dxfId="353">
      <pivotArea dataOnly="0" labelOnly="1" outline="0" fieldPosition="0">
        <references count="3">
          <reference field="4" count="1" selected="0">
            <x v="10"/>
          </reference>
          <reference field="5" count="1">
            <x v="51"/>
          </reference>
          <reference field="19" count="1" selected="0">
            <x v="17"/>
          </reference>
        </references>
      </pivotArea>
    </format>
    <format dxfId="352">
      <pivotArea dataOnly="0" labelOnly="1" outline="0" fieldPosition="0">
        <references count="3">
          <reference field="4" count="1" selected="0">
            <x v="10"/>
          </reference>
          <reference field="5" count="1">
            <x v="52"/>
          </reference>
          <reference field="19" count="1" selected="0">
            <x v="18"/>
          </reference>
        </references>
      </pivotArea>
    </format>
    <format dxfId="351">
      <pivotArea dataOnly="0" labelOnly="1" outline="0" fieldPosition="0">
        <references count="3">
          <reference field="4" count="1" selected="0">
            <x v="10"/>
          </reference>
          <reference field="5" count="1">
            <x v="104"/>
          </reference>
          <reference field="19" count="1" selected="0">
            <x v="19"/>
          </reference>
        </references>
      </pivotArea>
    </format>
    <format dxfId="350">
      <pivotArea dataOnly="0" labelOnly="1" outline="0" fieldPosition="0">
        <references count="3">
          <reference field="4" count="1" selected="0">
            <x v="10"/>
          </reference>
          <reference field="5" count="1">
            <x v="64"/>
          </reference>
          <reference field="19" count="1" selected="0">
            <x v="20"/>
          </reference>
        </references>
      </pivotArea>
    </format>
    <format dxfId="349">
      <pivotArea dataOnly="0" labelOnly="1" outline="0" fieldPosition="0">
        <references count="3">
          <reference field="4" count="1" selected="0">
            <x v="10"/>
          </reference>
          <reference field="5" count="1">
            <x v="74"/>
          </reference>
          <reference field="19" count="1" selected="0">
            <x v="81"/>
          </reference>
        </references>
      </pivotArea>
    </format>
    <format dxfId="348">
      <pivotArea dataOnly="0" labelOnly="1" outline="0" fieldPosition="0">
        <references count="3">
          <reference field="4" count="1" selected="0">
            <x v="10"/>
          </reference>
          <reference field="5" count="1">
            <x v="131"/>
          </reference>
          <reference field="19" count="1" selected="0">
            <x v="130"/>
          </reference>
        </references>
      </pivotArea>
    </format>
    <format dxfId="347">
      <pivotArea dataOnly="0" labelOnly="1" outline="0" fieldPosition="0">
        <references count="3">
          <reference field="4" count="1" selected="0">
            <x v="11"/>
          </reference>
          <reference field="5" count="1">
            <x v="59"/>
          </reference>
          <reference field="19" count="1" selected="0">
            <x v="97"/>
          </reference>
        </references>
      </pivotArea>
    </format>
    <format dxfId="346">
      <pivotArea dataOnly="0" labelOnly="1" outline="0" fieldPosition="0">
        <references count="3">
          <reference field="4" count="1" selected="0">
            <x v="11"/>
          </reference>
          <reference field="5" count="1">
            <x v="58"/>
          </reference>
          <reference field="19" count="1" selected="0">
            <x v="98"/>
          </reference>
        </references>
      </pivotArea>
    </format>
    <format dxfId="345">
      <pivotArea dataOnly="0" labelOnly="1" outline="0" fieldPosition="0">
        <references count="3">
          <reference field="4" count="1" selected="0">
            <x v="11"/>
          </reference>
          <reference field="5" count="1">
            <x v="127"/>
          </reference>
          <reference field="19" count="1" selected="0">
            <x v="125"/>
          </reference>
        </references>
      </pivotArea>
    </format>
    <format dxfId="344">
      <pivotArea dataOnly="0" labelOnly="1" outline="0" fieldPosition="0">
        <references count="3">
          <reference field="4" count="1" selected="0">
            <x v="11"/>
          </reference>
          <reference field="5" count="1">
            <x v="128"/>
          </reference>
          <reference field="19" count="1" selected="0">
            <x v="126"/>
          </reference>
        </references>
      </pivotArea>
    </format>
    <format dxfId="343">
      <pivotArea dataOnly="0" labelOnly="1" outline="0" fieldPosition="0">
        <references count="3">
          <reference field="4" count="1" selected="0">
            <x v="12"/>
          </reference>
          <reference field="5" count="1">
            <x v="63"/>
          </reference>
          <reference field="19" count="1" selected="0">
            <x v="103"/>
          </reference>
        </references>
      </pivotArea>
    </format>
    <format dxfId="342">
      <pivotArea dataOnly="0" labelOnly="1" outline="0" fieldPosition="0">
        <references count="3">
          <reference field="4" count="1" selected="0">
            <x v="13"/>
          </reference>
          <reference field="5" count="1">
            <x v="89"/>
          </reference>
          <reference field="19" count="1" selected="0">
            <x v="49"/>
          </reference>
        </references>
      </pivotArea>
    </format>
    <format dxfId="341">
      <pivotArea dataOnly="0" labelOnly="1" outline="0" fieldPosition="0">
        <references count="3">
          <reference field="4" count="1" selected="0">
            <x v="13"/>
          </reference>
          <reference field="5" count="1">
            <x v="90"/>
          </reference>
          <reference field="19" count="1" selected="0">
            <x v="50"/>
          </reference>
        </references>
      </pivotArea>
    </format>
    <format dxfId="340">
      <pivotArea dataOnly="0" labelOnly="1" outline="0" fieldPosition="0">
        <references count="3">
          <reference field="4" count="1" selected="0">
            <x v="14"/>
          </reference>
          <reference field="5" count="1">
            <x v="79"/>
          </reference>
          <reference field="19" count="1" selected="0">
            <x v="21"/>
          </reference>
        </references>
      </pivotArea>
    </format>
    <format dxfId="339">
      <pivotArea dataOnly="0" labelOnly="1" outline="0" fieldPosition="0">
        <references count="3">
          <reference field="4" count="1" selected="0">
            <x v="14"/>
          </reference>
          <reference field="5" count="1">
            <x v="81"/>
          </reference>
          <reference field="19" count="1" selected="0">
            <x v="22"/>
          </reference>
        </references>
      </pivotArea>
    </format>
    <format dxfId="338">
      <pivotArea dataOnly="0" labelOnly="1" outline="0" fieldPosition="0">
        <references count="3">
          <reference field="4" count="1" selected="0">
            <x v="14"/>
          </reference>
          <reference field="5" count="1">
            <x v="35"/>
          </reference>
          <reference field="19" count="1" selected="0">
            <x v="23"/>
          </reference>
        </references>
      </pivotArea>
    </format>
    <format dxfId="337">
      <pivotArea dataOnly="0" labelOnly="1" outline="0" fieldPosition="0">
        <references count="3">
          <reference field="4" count="1" selected="0">
            <x v="14"/>
          </reference>
          <reference field="5" count="1">
            <x v="11"/>
          </reference>
          <reference field="19" count="1" selected="0">
            <x v="24"/>
          </reference>
        </references>
      </pivotArea>
    </format>
    <format dxfId="336">
      <pivotArea dataOnly="0" labelOnly="1" outline="0" fieldPosition="0">
        <references count="3">
          <reference field="4" count="1" selected="0">
            <x v="14"/>
          </reference>
          <reference field="5" count="1">
            <x v="38"/>
          </reference>
          <reference field="19" count="1" selected="0">
            <x v="25"/>
          </reference>
        </references>
      </pivotArea>
    </format>
    <format dxfId="335">
      <pivotArea dataOnly="0" labelOnly="1" outline="0" fieldPosition="0">
        <references count="3">
          <reference field="4" count="1" selected="0">
            <x v="14"/>
          </reference>
          <reference field="5" count="1">
            <x v="80"/>
          </reference>
          <reference field="19" count="1" selected="0">
            <x v="26"/>
          </reference>
        </references>
      </pivotArea>
    </format>
    <format dxfId="334">
      <pivotArea dataOnly="0" labelOnly="1" outline="0" fieldPosition="0">
        <references count="3">
          <reference field="4" count="1" selected="0">
            <x v="14"/>
          </reference>
          <reference field="5" count="1">
            <x v="37"/>
          </reference>
          <reference field="19" count="1" selected="0">
            <x v="27"/>
          </reference>
        </references>
      </pivotArea>
    </format>
    <format dxfId="333">
      <pivotArea dataOnly="0" labelOnly="1" outline="0" fieldPosition="0">
        <references count="3">
          <reference field="4" count="1" selected="0">
            <x v="14"/>
          </reference>
          <reference field="5" count="1">
            <x v="78"/>
          </reference>
          <reference field="19" count="1" selected="0">
            <x v="28"/>
          </reference>
        </references>
      </pivotArea>
    </format>
    <format dxfId="332">
      <pivotArea dataOnly="0" labelOnly="1" outline="0" fieldPosition="0">
        <references count="3">
          <reference field="4" count="1" selected="0">
            <x v="14"/>
          </reference>
          <reference field="5" count="1">
            <x v="100"/>
          </reference>
          <reference field="19" count="1" selected="0">
            <x v="29"/>
          </reference>
        </references>
      </pivotArea>
    </format>
    <format dxfId="331">
      <pivotArea dataOnly="0" labelOnly="1" outline="0" fieldPosition="0">
        <references count="3">
          <reference field="4" count="1" selected="0">
            <x v="14"/>
          </reference>
          <reference field="5" count="1">
            <x v="98"/>
          </reference>
          <reference field="19" count="1" selected="0">
            <x v="30"/>
          </reference>
        </references>
      </pivotArea>
    </format>
    <format dxfId="330">
      <pivotArea dataOnly="0" labelOnly="1" outline="0" fieldPosition="0">
        <references count="3">
          <reference field="4" count="1" selected="0">
            <x v="14"/>
          </reference>
          <reference field="5" count="1">
            <x v="99"/>
          </reference>
          <reference field="19" count="1" selected="0">
            <x v="31"/>
          </reference>
        </references>
      </pivotArea>
    </format>
    <format dxfId="329">
      <pivotArea dataOnly="0" labelOnly="1" outline="0" fieldPosition="0">
        <references count="3">
          <reference field="4" count="1" selected="0">
            <x v="14"/>
          </reference>
          <reference field="5" count="1">
            <x v="40"/>
          </reference>
          <reference field="19" count="1" selected="0">
            <x v="32"/>
          </reference>
        </references>
      </pivotArea>
    </format>
    <format dxfId="328">
      <pivotArea dataOnly="0" labelOnly="1" outline="0" fieldPosition="0">
        <references count="3">
          <reference field="4" count="1" selected="0">
            <x v="14"/>
          </reference>
          <reference field="5" count="1">
            <x v="39"/>
          </reference>
          <reference field="19" count="1" selected="0">
            <x v="33"/>
          </reference>
        </references>
      </pivotArea>
    </format>
    <format dxfId="327">
      <pivotArea dataOnly="0" labelOnly="1" outline="0" fieldPosition="0">
        <references count="3">
          <reference field="4" count="1" selected="0">
            <x v="14"/>
          </reference>
          <reference field="5" count="1">
            <x v="88"/>
          </reference>
          <reference field="19" count="1" selected="0">
            <x v="34"/>
          </reference>
        </references>
      </pivotArea>
    </format>
    <format dxfId="326">
      <pivotArea dataOnly="0" labelOnly="1" outline="0" fieldPosition="0">
        <references count="3">
          <reference field="4" count="1" selected="0">
            <x v="14"/>
          </reference>
          <reference field="5" count="1">
            <x v="4"/>
          </reference>
          <reference field="19" count="1" selected="0">
            <x v="66"/>
          </reference>
        </references>
      </pivotArea>
    </format>
    <format dxfId="325">
      <pivotArea dataOnly="0" labelOnly="1" outline="0" fieldPosition="0">
        <references count="3">
          <reference field="4" count="1" selected="0">
            <x v="14"/>
          </reference>
          <reference field="5" count="1">
            <x v="12"/>
          </reference>
          <reference field="19" count="1" selected="0">
            <x v="67"/>
          </reference>
        </references>
      </pivotArea>
    </format>
    <format dxfId="324">
      <pivotArea dataOnly="0" labelOnly="1" outline="0" fieldPosition="0">
        <references count="3">
          <reference field="4" count="1" selected="0">
            <x v="14"/>
          </reference>
          <reference field="5" count="1">
            <x v="103"/>
          </reference>
          <reference field="19" count="1" selected="0">
            <x v="68"/>
          </reference>
        </references>
      </pivotArea>
    </format>
    <format dxfId="323">
      <pivotArea dataOnly="0" labelOnly="1" outline="0" fieldPosition="0">
        <references count="3">
          <reference field="4" count="1" selected="0">
            <x v="14"/>
          </reference>
          <reference field="5" count="1">
            <x v="36"/>
          </reference>
          <reference field="19" count="1" selected="0">
            <x v="69"/>
          </reference>
        </references>
      </pivotArea>
    </format>
    <format dxfId="322">
      <pivotArea dataOnly="0" labelOnly="1" outline="0" fieldPosition="0">
        <references count="3">
          <reference field="4" count="1" selected="0">
            <x v="14"/>
          </reference>
          <reference field="5" count="1">
            <x v="77"/>
          </reference>
          <reference field="19" count="1" selected="0">
            <x v="80"/>
          </reference>
        </references>
      </pivotArea>
    </format>
    <format dxfId="321">
      <pivotArea dataOnly="0" labelOnly="1" outline="0" fieldPosition="0">
        <references count="3">
          <reference field="4" count="1" selected="0">
            <x v="14"/>
          </reference>
          <reference field="5" count="1">
            <x v="110"/>
          </reference>
          <reference field="19" count="1" selected="0">
            <x v="109"/>
          </reference>
        </references>
      </pivotArea>
    </format>
    <format dxfId="320">
      <pivotArea dataOnly="0" labelOnly="1" outline="0" fieldPosition="0">
        <references count="3">
          <reference field="4" count="1" selected="0">
            <x v="14"/>
          </reference>
          <reference field="5" count="1">
            <x v="130"/>
          </reference>
          <reference field="19" count="1" selected="0">
            <x v="129"/>
          </reference>
        </references>
      </pivotArea>
    </format>
    <format dxfId="319">
      <pivotArea dataOnly="0" labelOnly="1" outline="0" fieldPosition="0">
        <references count="3">
          <reference field="4" count="1" selected="0">
            <x v="14"/>
          </reference>
          <reference field="5" count="1">
            <x v="132"/>
          </reference>
          <reference field="19" count="1" selected="0">
            <x v="131"/>
          </reference>
        </references>
      </pivotArea>
    </format>
    <format dxfId="318">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103">
      <pivotArea outline="0" collapsedLevelsAreSubtotals="1" fieldPosition="0"/>
    </format>
    <format dxfId="10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3"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4">
        <item h="1" x="1"/>
        <item x="0"/>
        <item h="1" x="2"/>
        <item t="default"/>
      </items>
    </pivotField>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3">
        <item x="0"/>
        <item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927">
      <pivotArea collapsedLevelsAreSubtotals="1" fieldPosition="0">
        <references count="2">
          <reference field="4294967294" count="1" selected="0">
            <x v="2"/>
          </reference>
          <reference field="1" count="1">
            <x v="0"/>
          </reference>
        </references>
      </pivotArea>
    </format>
    <format dxfId="926">
      <pivotArea collapsedLevelsAreSubtotals="1" fieldPosition="0">
        <references count="3">
          <reference field="4294967294" count="1" selected="0">
            <x v="2"/>
          </reference>
          <reference field="1" count="1" selected="0">
            <x v="0"/>
          </reference>
          <reference field="19" count="0"/>
        </references>
      </pivotArea>
    </format>
    <format dxfId="925">
      <pivotArea collapsedLevelsAreSubtotals="1" fieldPosition="0">
        <references count="2">
          <reference field="4294967294" count="1" selected="0">
            <x v="2"/>
          </reference>
          <reference field="1" count="1">
            <x v="1"/>
          </reference>
        </references>
      </pivotArea>
    </format>
    <format dxfId="924">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40" firstHeaderRow="1" firstDataRow="1" firstDataCol="1" rowPageCount="1" colPageCount="1"/>
  <pivotFields count="46">
    <pivotField numFmtId="169" showAll="0"/>
    <pivotField axis="axisPage" multipleItemSelectionAllowed="1" showAll="0" defaultSubtotal="0">
      <items count="21">
        <item x="0"/>
        <item x="12"/>
        <item x="9"/>
        <item x="10"/>
        <item x="11"/>
        <item x="1"/>
        <item x="13"/>
        <item x="2"/>
        <item x="14"/>
        <item x="3"/>
        <item x="4"/>
        <item x="5"/>
        <item x="6"/>
        <item x="7"/>
        <item x="8"/>
        <item x="15"/>
        <item x="16"/>
        <item x="17"/>
        <item x="18"/>
        <item x="19"/>
        <item x="20"/>
      </items>
    </pivotField>
    <pivotField showAll="0"/>
    <pivotField showAll="0"/>
    <pivotField showAll="0"/>
    <pivotField axis="axisRow" dataField="1" showAll="0">
      <items count="22">
        <item x="5"/>
        <item x="7"/>
        <item x="6"/>
        <item x="10"/>
        <item x="9"/>
        <item x="2"/>
        <item x="1"/>
        <item x="11"/>
        <item x="4"/>
        <item x="8"/>
        <item x="12"/>
        <item x="0"/>
        <item x="15"/>
        <item x="16"/>
        <item x="3"/>
        <item x="14"/>
        <item x="13"/>
        <item x="17"/>
        <item x="18"/>
        <item x="19"/>
        <item x="2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4"/>
    </i>
    <i>
      <x v="5"/>
    </i>
    <i>
      <x v="6"/>
    </i>
    <i>
      <x v="7"/>
    </i>
    <i>
      <x v="8"/>
    </i>
    <i>
      <x v="9"/>
    </i>
    <i>
      <x v="10"/>
    </i>
    <i>
      <x v="11"/>
    </i>
    <i>
      <x v="12"/>
    </i>
    <i>
      <x v="13"/>
    </i>
    <i>
      <x v="14"/>
    </i>
    <i>
      <x v="15"/>
    </i>
    <i>
      <x v="16"/>
    </i>
    <i>
      <x v="17"/>
    </i>
    <i>
      <x v="18"/>
    </i>
    <i>
      <x v="19"/>
    </i>
    <i>
      <x v="2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h="1" x="116"/>
        <item h="1" x="117"/>
        <item h="1" x="118"/>
        <item h="1" x="119"/>
        <item h="1" x="120"/>
        <item h="1" x="121"/>
        <item h="1" x="122"/>
        <item h="1" x="123"/>
        <item h="1" x="124"/>
        <item h="1" x="125"/>
        <item h="1" x="126"/>
        <item h="1" x="127"/>
        <item h="1" x="128"/>
        <item h="1" x="129"/>
        <item h="1" x="130"/>
        <item h="1" x="131"/>
        <item h="1" x="132"/>
        <item h="1" x="133"/>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83">
      <pivotArea outline="0" collapsedLevelsAreSubtotals="1" fieldPosition="0"/>
    </format>
    <format dxfId="82">
      <pivotArea dataOnly="0" labelOnly="1" fieldPosition="0">
        <references count="1">
          <reference field="2" count="3">
            <x v="0"/>
            <x v="1"/>
            <x v="2"/>
          </reference>
        </references>
      </pivotArea>
    </format>
    <format dxfId="81">
      <pivotArea field="0" type="button" dataOnly="0" labelOnly="1" outline="0" axis="axisPage" fieldPosition="0"/>
    </format>
    <format dxfId="80">
      <pivotArea field="2" type="button" dataOnly="0" labelOnly="1" outline="0" axis="axisRow" fieldPosition="0"/>
    </format>
    <format dxfId="79">
      <pivotArea dataOnly="0" labelOnly="1" outline="0" fieldPosition="0">
        <references count="1">
          <reference field="4294967294" count="1">
            <x v="0"/>
          </reference>
        </references>
      </pivotArea>
    </format>
    <format dxfId="78">
      <pivotArea field="2" type="button" dataOnly="0" labelOnly="1" outline="0" axis="axisRow" fieldPosition="0"/>
    </format>
    <format dxfId="77">
      <pivotArea dataOnly="0" labelOnly="1" outline="0" fieldPosition="0">
        <references count="1">
          <reference field="4294967294" count="1">
            <x v="0"/>
          </reference>
        </references>
      </pivotArea>
    </format>
    <format dxfId="76">
      <pivotArea dataOnly="0" labelOnly="1" outline="0" fieldPosition="0">
        <references count="1">
          <reference field="4294967294" count="1">
            <x v="0"/>
          </reference>
        </references>
      </pivotArea>
    </format>
    <format dxfId="75">
      <pivotArea type="all" dataOnly="0" outline="0" fieldPosition="0"/>
    </format>
    <format dxfId="74">
      <pivotArea outline="0" collapsedLevelsAreSubtotals="1" fieldPosition="0"/>
    </format>
    <format dxfId="73">
      <pivotArea dataOnly="0" labelOnly="1" outline="0" fieldPosition="0">
        <references count="1">
          <reference field="4294967294" count="1">
            <x v="0"/>
          </reference>
        </references>
      </pivotArea>
    </format>
    <format dxfId="72">
      <pivotArea field="2" grandRow="1" outline="0" collapsedLevelsAreSubtotals="1" axis="axisRow" fieldPosition="0">
        <references count="1">
          <reference field="4294967294" count="1" selected="0">
            <x v="0"/>
          </reference>
        </references>
      </pivotArea>
    </format>
    <format dxfId="71">
      <pivotArea dataOnly="0" labelOnly="1" grandRow="1" outline="0" fieldPosition="0"/>
    </format>
    <format dxfId="70">
      <pivotArea field="2" type="button" dataOnly="0" labelOnly="1" outline="0" axis="axisRow" fieldPosition="0"/>
    </format>
    <format dxfId="69">
      <pivotArea dataOnly="0" labelOnly="1" fieldPosition="0">
        <references count="1">
          <reference field="2" count="3">
            <x v="0"/>
            <x v="1"/>
            <x v="2"/>
          </reference>
        </references>
      </pivotArea>
    </format>
    <format dxfId="68">
      <pivotArea outline="0" collapsedLevelsAreSubtotals="1" fieldPosition="0"/>
    </format>
    <format dxfId="67">
      <pivotArea dataOnly="0" labelOnly="1" fieldPosition="0">
        <references count="1">
          <reference field="2" count="3">
            <x v="0"/>
            <x v="1"/>
            <x v="2"/>
          </reference>
        </references>
      </pivotArea>
    </format>
    <format dxfId="66">
      <pivotArea grandRow="1" outline="0" collapsedLevelsAreSubtotals="1" fieldPosition="0"/>
    </format>
    <format dxfId="65">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4">
        <item h="1" x="1"/>
        <item x="0"/>
        <item h="1" x="2"/>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3"/>
        <item x="2"/>
        <item x="11"/>
        <item x="21"/>
        <item x="22"/>
        <item x="12"/>
        <item x="7"/>
        <item x="18"/>
        <item x="14"/>
        <item x="5"/>
        <item x="19"/>
        <item x="9"/>
        <item x="10"/>
        <item x="4"/>
        <item x="17"/>
        <item x="0"/>
        <item x="16"/>
        <item x="20"/>
        <item x="8"/>
        <item x="6"/>
        <item x="13"/>
        <item x="15"/>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932">
      <pivotArea type="all" dataOnly="0" outline="0" fieldPosition="0"/>
    </format>
    <format dxfId="931">
      <pivotArea field="1" type="button" dataOnly="0" labelOnly="1" outline="0" axis="axisPage" fieldPosition="0"/>
    </format>
    <format dxfId="930">
      <pivotArea dataOnly="0" labelOnly="1" outline="0" fieldPosition="0">
        <references count="1">
          <reference field="4294967294" count="1">
            <x v="0"/>
          </reference>
        </references>
      </pivotArea>
    </format>
    <format dxfId="929">
      <pivotArea grandRow="1" outline="0" collapsedLevelsAreSubtotals="1" fieldPosition="0"/>
    </format>
    <format dxfId="92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3">
        <item x="0"/>
        <item h="1" x="1"/>
        <item t="default"/>
      </items>
    </pivotField>
    <pivotField showAll="0"/>
    <pivotField axis="axisRow" showAll="0">
      <items count="7">
        <item x="2"/>
        <item x="0"/>
        <item x="1"/>
        <item x="3"/>
        <item x="5"/>
        <item x="4"/>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933">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24"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4">
        <item h="1" x="1"/>
        <item x="0"/>
        <item h="1" x="2"/>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2">
        <item x="0"/>
        <item x="1"/>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946">
      <pivotArea type="all" dataOnly="0" outline="0" fieldPosition="0"/>
    </format>
    <format dxfId="945">
      <pivotArea field="1" type="button" dataOnly="0" labelOnly="1" outline="0" axis="axisPage" fieldPosition="0"/>
    </format>
    <format dxfId="944">
      <pivotArea grandRow="1" outline="0" collapsedLevelsAreSubtotals="1" fieldPosition="0"/>
    </format>
    <format dxfId="943">
      <pivotArea dataOnly="0" labelOnly="1" grandRow="1" outline="0" fieldPosition="0"/>
    </format>
    <format dxfId="942">
      <pivotArea outline="0" collapsedLevelsAreSubtotals="1" fieldPosition="0"/>
    </format>
    <format dxfId="941">
      <pivotArea dataOnly="0" labelOnly="1" fieldPosition="0">
        <references count="1">
          <reference field="0" count="0"/>
        </references>
      </pivotArea>
    </format>
    <format dxfId="940">
      <pivotArea dataOnly="0" labelOnly="1" grandRow="1" outline="0" fieldPosition="0"/>
    </format>
    <format dxfId="939">
      <pivotArea type="topRight" dataOnly="0" labelOnly="1" outline="0" fieldPosition="0"/>
    </format>
    <format dxfId="938">
      <pivotArea type="all" dataOnly="0" outline="0" fieldPosition="0"/>
    </format>
    <format dxfId="937">
      <pivotArea dataOnly="0" labelOnly="1" outline="0" fieldPosition="0">
        <references count="1">
          <reference field="1" count="0"/>
        </references>
      </pivotArea>
    </format>
    <format dxfId="936">
      <pivotArea type="all" dataOnly="0" outline="0" fieldPosition="0"/>
    </format>
    <format dxfId="935">
      <pivotArea collapsedLevelsAreSubtotals="1" fieldPosition="0">
        <references count="1">
          <reference field="0" count="0"/>
        </references>
      </pivotArea>
    </format>
    <format dxfId="934">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24"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4">
        <item h="1" x="1"/>
        <item x="0"/>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948">
      <pivotArea outline="0" collapsedLevelsAreSubtotals="1" fieldPosition="0"/>
    </format>
    <format dxfId="94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4">
        <item h="1" x="1"/>
        <item x="0"/>
        <item h="1" x="2"/>
        <item t="default"/>
      </items>
    </pivotField>
    <pivotField showAll="0"/>
    <pivotField showAll="0"/>
    <pivotField showAll="0"/>
    <pivotField showAll="0"/>
    <pivotField axis="axisRow" showAll="0">
      <items count="24">
        <item x="3"/>
        <item x="2"/>
        <item x="11"/>
        <item x="21"/>
        <item x="22"/>
        <item x="12"/>
        <item x="7"/>
        <item x="18"/>
        <item x="14"/>
        <item x="5"/>
        <item x="19"/>
        <item x="9"/>
        <item x="10"/>
        <item x="4"/>
        <item x="17"/>
        <item x="0"/>
        <item x="16"/>
        <item x="20"/>
        <item x="8"/>
        <item x="6"/>
        <item x="13"/>
        <item x="15"/>
        <item x="1"/>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4">
        <item h="1" x="1"/>
        <item x="0"/>
        <item h="1" x="2"/>
        <item t="default"/>
      </items>
    </pivotField>
    <pivotField axis="axisPage" multipleItemSelectionAllowed="1" showAll="0">
      <items count="3">
        <item x="0"/>
        <item x="1"/>
        <item t="default"/>
      </items>
    </pivotField>
    <pivotField showAll="0"/>
    <pivotField showAll="0"/>
    <pivotField showAll="0"/>
    <pivotField axis="axisRow" showAll="0">
      <items count="24">
        <item x="3"/>
        <item x="2"/>
        <item x="11"/>
        <item x="21"/>
        <item x="22"/>
        <item x="12"/>
        <item x="7"/>
        <item x="18"/>
        <item x="14"/>
        <item x="5"/>
        <item x="19"/>
        <item x="9"/>
        <item x="10"/>
        <item x="4"/>
        <item x="17"/>
        <item x="0"/>
        <item x="16"/>
        <item x="20"/>
        <item x="8"/>
        <item x="6"/>
        <item x="13"/>
        <item x="1"/>
        <item x="15"/>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0" firstHeaderRow="0" firstDataRow="1" firstDataCol="5" rowPageCount="1" colPageCount="1"/>
  <pivotFields count="31">
    <pivotField axis="axisPage" compact="0" outline="0" multipleItemSelectionAllowed="1" showAll="0" defaultSubtotal="0">
      <items count="3">
        <item x="1"/>
        <item h="1"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7">
        <item x="139"/>
        <item x="147"/>
        <item x="136"/>
        <item x="47"/>
        <item x="144"/>
        <item x="157"/>
        <item x="141"/>
        <item x="161"/>
        <item x="138"/>
        <item x="86"/>
        <item x="177"/>
        <item x="178"/>
        <item x="176"/>
        <item x="137"/>
        <item x="155"/>
        <item x="140"/>
        <item x="107"/>
        <item x="106"/>
        <item x="119"/>
        <item x="188"/>
        <item x="103"/>
        <item x="82"/>
        <item x="39"/>
        <item x="131"/>
        <item x="142"/>
        <item x="116"/>
        <item x="148"/>
        <item x="154"/>
        <item x="257"/>
        <item x="258"/>
        <item x="43"/>
        <item x="25"/>
        <item x="108"/>
        <item x="129"/>
        <item x="158"/>
        <item x="156"/>
        <item x="134"/>
        <item x="241"/>
        <item x="251"/>
        <item x="191"/>
        <item x="40"/>
        <item x="115"/>
        <item x="49"/>
        <item x="170"/>
        <item x="179"/>
        <item x="189"/>
        <item x="15"/>
        <item x="16"/>
        <item x="114"/>
        <item x="45"/>
        <item x="164"/>
        <item x="245"/>
        <item x="246"/>
        <item x="247"/>
        <item x="10"/>
        <item x="74"/>
        <item x="71"/>
        <item x="166"/>
        <item x="42"/>
        <item x="118"/>
        <item x="128"/>
        <item x="127"/>
        <item x="12"/>
        <item x="11"/>
        <item x="162"/>
        <item x="149"/>
        <item x="135"/>
        <item x="46"/>
        <item x="68"/>
        <item x="66"/>
        <item x="67"/>
        <item x="124"/>
        <item x="101"/>
        <item x="183"/>
        <item x="24"/>
        <item x="112"/>
        <item x="61"/>
        <item x="28"/>
        <item x="26"/>
        <item x="37"/>
        <item x="36"/>
        <item x="180"/>
        <item x="185"/>
        <item x="13"/>
        <item x="59"/>
        <item x="7"/>
        <item x="174"/>
        <item x="175"/>
        <item x="60"/>
        <item x="163"/>
        <item x="122"/>
        <item x="192"/>
        <item x="121"/>
        <item x="190"/>
        <item x="123"/>
        <item x="111"/>
        <item x="55"/>
        <item x="240"/>
        <item x="255"/>
        <item x="63"/>
        <item x="88"/>
        <item x="87"/>
        <item x="90"/>
        <item x="92"/>
        <item x="93"/>
        <item x="89"/>
        <item x="94"/>
        <item x="91"/>
        <item x="17"/>
        <item x="18"/>
        <item x="100"/>
        <item x="84"/>
        <item x="81"/>
        <item x="80"/>
        <item x="85"/>
        <item x="83"/>
        <item x="146"/>
        <item x="53"/>
        <item x="54"/>
        <item x="243"/>
        <item x="237"/>
        <item x="203"/>
        <item x="167"/>
        <item x="238"/>
        <item x="263"/>
        <item x="249"/>
        <item x="145"/>
        <item x="259"/>
        <item x="262"/>
        <item x="48"/>
        <item x="14"/>
        <item x="58"/>
        <item x="125"/>
        <item x="236"/>
        <item x="233"/>
        <item x="260"/>
        <item x="235"/>
        <item x="252"/>
        <item x="234"/>
        <item x="253"/>
        <item x="242"/>
        <item x="239"/>
        <item x="168"/>
        <item x="171"/>
        <item x="126"/>
        <item x="159"/>
        <item x="244"/>
        <item x="256"/>
        <item x="261"/>
        <item x="21"/>
        <item x="51"/>
        <item x="97"/>
        <item x="77"/>
        <item x="254"/>
        <item x="75"/>
        <item x="182"/>
        <item x="30"/>
        <item x="130"/>
        <item x="78"/>
        <item x="79"/>
        <item x="120"/>
        <item x="56"/>
        <item x="1"/>
        <item x="69"/>
        <item x="133"/>
        <item x="117"/>
        <item x="172"/>
        <item x="96"/>
        <item x="160"/>
        <item x="62"/>
        <item x="132"/>
        <item x="29"/>
        <item x="22"/>
        <item x="27"/>
        <item x="23"/>
        <item x="150"/>
        <item x="44"/>
        <item x="102"/>
        <item x="151"/>
        <item x="98"/>
        <item x="187"/>
        <item x="70"/>
        <item x="5"/>
        <item x="6"/>
        <item x="38"/>
        <item x="64"/>
        <item x="65"/>
        <item x="8"/>
        <item x="181"/>
        <item x="76"/>
        <item x="184"/>
        <item x="169"/>
        <item x="52"/>
        <item x="104"/>
        <item x="57"/>
        <item x="0"/>
        <item x="3"/>
        <item x="2"/>
        <item x="4"/>
        <item x="34"/>
        <item x="186"/>
        <item x="95"/>
        <item x="173"/>
        <item x="72"/>
        <item x="35"/>
        <item x="33"/>
        <item x="153"/>
        <item x="152"/>
        <item x="109"/>
        <item x="41"/>
        <item x="143"/>
        <item x="19"/>
        <item x="50"/>
        <item x="99"/>
        <item x="165"/>
        <item x="250"/>
        <item x="193"/>
        <item x="194"/>
        <item x="195"/>
        <item x="32"/>
        <item x="31"/>
        <item x="110"/>
        <item x="113"/>
        <item x="20"/>
        <item x="105"/>
        <item x="196"/>
        <item x="264"/>
        <item x="197"/>
        <item x="198"/>
        <item x="199"/>
        <item x="200"/>
        <item x="201"/>
        <item x="202"/>
        <item x="265"/>
        <item x="204"/>
        <item x="269"/>
        <item x="270"/>
        <item x="267"/>
        <item x="268"/>
        <item x="272"/>
        <item x="273"/>
        <item x="205"/>
        <item x="206"/>
        <item x="207"/>
        <item x="208"/>
        <item x="209"/>
        <item x="274"/>
        <item x="275"/>
        <item x="276"/>
        <item x="277"/>
        <item x="278"/>
        <item x="279"/>
        <item x="280"/>
        <item x="281"/>
        <item x="282"/>
        <item x="283"/>
        <item x="284"/>
        <item x="285"/>
        <item x="286"/>
        <item x="287"/>
        <item x="288"/>
        <item x="289"/>
        <item x="290"/>
        <item x="291"/>
        <item x="292"/>
        <item x="293"/>
        <item x="210"/>
        <item x="211"/>
        <item x="212"/>
        <item x="294"/>
        <item x="214"/>
        <item x="216"/>
        <item x="9"/>
        <item x="218"/>
        <item x="73"/>
        <item x="217"/>
        <item x="219"/>
        <item x="295"/>
        <item x="220"/>
        <item x="271"/>
        <item x="248"/>
        <item x="266"/>
        <item x="221"/>
        <item x="222"/>
        <item x="224"/>
        <item x="226"/>
        <item x="228"/>
        <item x="229"/>
        <item x="231"/>
        <item x="232"/>
        <item x="215"/>
        <item x="223"/>
        <item x="225"/>
        <item x="296"/>
        <item x="230"/>
        <item x="227"/>
        <item x="213"/>
      </items>
      <extLst>
        <ext xmlns:x14="http://schemas.microsoft.com/office/spreadsheetml/2009/9/main" uri="{2946ED86-A175-432a-8AC1-64E0C546D7DE}">
          <x14:pivotField fillDownLabels="1"/>
        </ext>
      </extLst>
    </pivotField>
    <pivotField name="CpPcode" axis="axisRow" compact="0" outline="0" showAll="0" defaultSubtotal="0">
      <items count="3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196"/>
        <item x="197"/>
        <item x="198"/>
        <item x="267"/>
        <item x="199"/>
        <item x="200"/>
        <item x="201"/>
        <item x="202"/>
        <item x="203"/>
        <item x="204"/>
        <item x="205"/>
        <item x="268"/>
        <item x="207"/>
        <item x="206"/>
        <item x="269"/>
        <item x="270"/>
        <item x="271"/>
        <item x="272"/>
        <item x="273"/>
        <item x="274"/>
        <item x="275"/>
        <item x="276"/>
        <item x="208"/>
        <item x="209"/>
        <item x="210"/>
        <item x="211"/>
        <item x="212"/>
        <item x="277"/>
        <item x="278"/>
        <item x="279"/>
        <item x="280"/>
        <item x="281"/>
        <item x="282"/>
        <item x="283"/>
        <item x="284"/>
        <item x="285"/>
        <item x="286"/>
        <item x="287"/>
        <item x="288"/>
        <item x="289"/>
        <item x="290"/>
        <item x="291"/>
        <item x="292"/>
        <item x="293"/>
        <item x="294"/>
        <item x="295"/>
        <item x="296"/>
        <item x="213"/>
        <item x="214"/>
        <item x="215"/>
        <item x="297"/>
        <item x="216"/>
        <item x="217"/>
        <item x="218"/>
        <item x="219"/>
        <item x="220"/>
        <item x="221"/>
        <item x="222"/>
        <item x="223"/>
        <item x="298"/>
        <item x="224"/>
        <item x="225"/>
        <item x="226"/>
        <item x="227"/>
        <item x="228"/>
        <item x="229"/>
        <item x="230"/>
        <item x="231"/>
        <item x="232"/>
        <item x="233"/>
        <item x="234"/>
        <item x="235"/>
        <item x="299"/>
      </items>
      <extLst>
        <ext xmlns:x14="http://schemas.microsoft.com/office/spreadsheetml/2009/9/main" uri="{2946ED86-A175-432a-8AC1-64E0C546D7DE}">
          <x14:pivotField fillDownLabels="1"/>
        </ext>
      </extLst>
    </pivotField>
    <pivotField axis="axisRow" compact="0" outline="0" showAll="0" defaultSubtotal="0">
      <items count="208">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90"/>
        <item x="175"/>
        <item x="104"/>
        <item x="161"/>
        <item x="43"/>
        <item x="143"/>
        <item x="50"/>
        <item x="108"/>
        <item x="42"/>
        <item x="46"/>
        <item x="47"/>
        <item x="45"/>
        <item x="147"/>
        <item x="44"/>
        <item x="48"/>
        <item x="129"/>
        <item x="133"/>
        <item x="17"/>
        <item x="18"/>
        <item x="61"/>
        <item x="131"/>
        <item x="49"/>
        <item x="58"/>
        <item x="57"/>
        <item x="135"/>
        <item x="51"/>
        <item x="30"/>
        <item x="53"/>
        <item x="52"/>
        <item x="54"/>
        <item x="132"/>
        <item x="15"/>
        <item x="14"/>
        <item x="2"/>
        <item x="16"/>
        <item x="4"/>
        <item x="9"/>
        <item x="0"/>
        <item x="3"/>
        <item x="1"/>
        <item x="191"/>
        <item x="5"/>
        <item x="11"/>
        <item x="19"/>
        <item x="179"/>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9"/>
        <item x="170"/>
        <item x="187"/>
        <item x="171"/>
        <item x="193"/>
        <item x="194"/>
        <item x="67"/>
        <item x="142"/>
        <item x="91"/>
        <item x="64"/>
        <item x="65"/>
        <item x="66"/>
        <item x="63"/>
        <item x="92"/>
        <item x="96"/>
        <item x="84"/>
        <item x="183"/>
        <item x="87"/>
        <item x="174"/>
        <item x="185"/>
        <item x="86"/>
        <item x="180"/>
        <item x="192"/>
        <item x="195"/>
        <item x="85"/>
        <item x="181"/>
        <item x="182"/>
        <item x="106"/>
        <item x="38"/>
        <item x="172"/>
        <item x="186"/>
        <item x="176"/>
        <item x="177"/>
        <item x="68"/>
        <item x="184"/>
        <item x="173"/>
        <item x="178"/>
        <item x="189"/>
        <item x="41"/>
        <item x="40"/>
        <item x="31"/>
        <item x="154"/>
        <item x="155"/>
        <item x="146"/>
        <item x="39"/>
        <item x="130"/>
        <item x="141"/>
        <item x="148"/>
        <item x="21"/>
        <item x="156"/>
        <item x="197"/>
        <item x="158"/>
        <item x="159"/>
        <item x="160"/>
        <item x="198"/>
        <item x="153"/>
        <item x="199"/>
        <item x="202"/>
        <item x="201"/>
        <item x="205"/>
        <item x="196"/>
        <item x="200"/>
        <item x="157"/>
        <item x="204"/>
        <item x="162"/>
        <item x="20"/>
        <item x="203"/>
        <item x="206"/>
        <item x="207"/>
        <item x="110"/>
        <item x="163"/>
        <item x="188"/>
        <item x="164"/>
        <item x="165"/>
        <item x="166"/>
        <item x="167"/>
        <item x="16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7">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221"/>
      <x v="171"/>
      <x v="1"/>
      <x v="4"/>
    </i>
    <i>
      <x v="30"/>
      <x v="43"/>
      <x v="171"/>
      <x/>
      <x v="2"/>
    </i>
    <i>
      <x v="35"/>
      <x v="156"/>
      <x v="171"/>
      <x/>
      <x v="4"/>
    </i>
    <i>
      <x v="36"/>
      <x v="166"/>
      <x v="32"/>
      <x/>
      <x v="4"/>
    </i>
    <i>
      <x v="37"/>
      <x v="204"/>
      <x v="162"/>
      <x/>
      <x v="4"/>
    </i>
    <i>
      <x v="38"/>
      <x v="214"/>
      <x v="161"/>
      <x/>
      <x v="4"/>
    </i>
    <i>
      <x v="44"/>
      <x v="182"/>
      <x v="171"/>
      <x/>
      <x v="4"/>
    </i>
    <i>
      <x v="49"/>
      <x v="45"/>
      <x v="42"/>
      <x/>
      <x v="4"/>
    </i>
    <i>
      <x v="51"/>
      <x v="208"/>
      <x v="152"/>
      <x/>
      <x/>
    </i>
    <i>
      <x v="56"/>
      <x v="71"/>
      <x v="164"/>
      <x/>
      <x v="4"/>
    </i>
    <i>
      <x v="57"/>
      <x v="169"/>
      <x v="126"/>
      <x v="1"/>
      <x v="1"/>
    </i>
    <i>
      <x v="58"/>
      <x v="42"/>
      <x v="169"/>
      <x/>
      <x v="4"/>
    </i>
    <i>
      <x v="61"/>
      <x v="127"/>
      <x v="171"/>
      <x/>
      <x v="4"/>
    </i>
    <i>
      <x v="71"/>
      <x v="124"/>
      <x v="121"/>
      <x v="1"/>
      <x v="1"/>
    </i>
    <i>
      <x v="72"/>
      <x v="101"/>
      <x v="171"/>
      <x/>
      <x v="4"/>
    </i>
    <i>
      <x v="73"/>
      <x v="186"/>
      <x v="122"/>
      <x/>
      <x v="4"/>
    </i>
    <i>
      <x v="76"/>
      <x v="61"/>
      <x v="87"/>
      <x/>
      <x v="4"/>
    </i>
    <i>
      <x v="86"/>
      <x v="177"/>
      <x v="138"/>
      <x/>
      <x v="4"/>
    </i>
    <i>
      <x v="87"/>
      <x v="178"/>
      <x v="138"/>
      <x/>
      <x v="4"/>
    </i>
    <i>
      <x v="88"/>
      <x v="60"/>
      <x v="60"/>
      <x/>
      <x v="4"/>
    </i>
    <i>
      <x v="89"/>
      <x v="165"/>
      <x v="54"/>
      <x/>
      <x v="4"/>
    </i>
    <i>
      <x v="95"/>
      <x v="111"/>
      <x v="112"/>
      <x/>
      <x v="4"/>
    </i>
    <i>
      <x v="96"/>
      <x v="55"/>
      <x v="65"/>
      <x/>
      <x v="4"/>
    </i>
    <i>
      <x v="100"/>
      <x v="88"/>
      <x v="6"/>
      <x/>
      <x v="4"/>
    </i>
    <i>
      <x v="101"/>
      <x v="87"/>
      <x v="171"/>
      <x/>
      <x v="4"/>
    </i>
    <i>
      <x v="102"/>
      <x v="90"/>
      <x v="171"/>
      <x/>
      <x v="4"/>
    </i>
    <i>
      <x v="103"/>
      <x v="92"/>
      <x v="171"/>
      <x/>
      <x v="4"/>
    </i>
    <i>
      <x v="104"/>
      <x v="93"/>
      <x v="171"/>
      <x/>
      <x v="4"/>
    </i>
    <i>
      <x v="105"/>
      <x v="89"/>
      <x v="171"/>
      <x/>
      <x v="4"/>
    </i>
    <i>
      <x v="106"/>
      <x v="94"/>
      <x v="171"/>
      <x/>
      <x v="4"/>
    </i>
    <i>
      <x v="107"/>
      <x v="91"/>
      <x v="171"/>
      <x/>
      <x v="4"/>
    </i>
    <i>
      <x v="110"/>
      <x v="100"/>
      <x v="18"/>
      <x/>
      <x v="4"/>
    </i>
    <i>
      <x v="111"/>
      <x v="84"/>
      <x v="171"/>
      <x/>
      <x v="4"/>
    </i>
    <i>
      <x v="112"/>
      <x v="81"/>
      <x v="10"/>
      <x/>
      <x v="4"/>
    </i>
    <i>
      <x v="113"/>
      <x v="80"/>
      <x v="171"/>
      <x/>
      <x v="4"/>
    </i>
    <i>
      <x v="115"/>
      <x v="83"/>
      <x v="171"/>
      <x/>
      <x v="4"/>
    </i>
    <i>
      <x v="116"/>
      <x v="146"/>
      <x v="26"/>
      <x/>
      <x v="4"/>
    </i>
    <i>
      <x v="118"/>
      <x v="54"/>
      <x v="66"/>
      <x/>
      <x v="1"/>
    </i>
    <i>
      <x v="119"/>
      <x v="206"/>
      <x v="167"/>
      <x v="1"/>
      <x/>
    </i>
    <i>
      <x v="120"/>
      <x v="200"/>
      <x v="160"/>
      <x v="1"/>
      <x v="4"/>
    </i>
    <i>
      <x v="121"/>
      <x v="240"/>
      <x v="41"/>
      <x v="1"/>
      <x v="4"/>
    </i>
    <i>
      <x v="122"/>
      <x v="170"/>
      <x v="34"/>
      <x v="1"/>
      <x v="4"/>
    </i>
    <i>
      <x v="125"/>
      <x v="212"/>
      <x v="165"/>
      <x/>
      <x v="4"/>
    </i>
    <i>
      <x v="126"/>
      <x v="145"/>
      <x v="24"/>
      <x/>
      <x v="4"/>
    </i>
    <i>
      <x v="130"/>
      <x v="14"/>
      <x v="70"/>
      <x/>
      <x v="3"/>
    </i>
    <i>
      <x v="132"/>
      <x v="125"/>
      <x v="171"/>
      <x v="1"/>
      <x v="4"/>
    </i>
    <i>
      <x v="137"/>
      <x v="215"/>
      <x v="133"/>
      <x v="1"/>
      <x v="1"/>
    </i>
    <i>
      <x v="138"/>
      <x v="197"/>
      <x v="171"/>
      <x v="1"/>
      <x v="4"/>
    </i>
    <i>
      <x v="139"/>
      <x v="216"/>
      <x v="202"/>
      <x v="1"/>
      <x v="4"/>
    </i>
    <i>
      <x v="140"/>
      <x v="205"/>
      <x v="163"/>
      <x/>
      <x v="4"/>
    </i>
    <i>
      <x v="142"/>
      <x v="171"/>
      <x v="40"/>
      <x v="1"/>
      <x v="4"/>
    </i>
    <i>
      <x v="143"/>
      <x v="174"/>
      <x v="171"/>
      <x v="1"/>
      <x v="4"/>
    </i>
    <i>
      <x v="144"/>
      <x v="126"/>
      <x v="40"/>
      <x v="1"/>
      <x v="4"/>
    </i>
    <i>
      <x v="147"/>
      <x v="219"/>
      <x v="78"/>
      <x/>
      <x v="4"/>
    </i>
    <i>
      <x v="152"/>
      <x v="77"/>
      <x v="28"/>
      <x/>
      <x/>
    </i>
    <i>
      <x v="153"/>
      <x v="217"/>
      <x v="168"/>
      <x v="1"/>
      <x v="6"/>
    </i>
    <i>
      <x v="155"/>
      <x v="185"/>
      <x v="120"/>
      <x/>
      <x v="4"/>
    </i>
    <i>
      <x v="158"/>
      <x v="78"/>
      <x v="7"/>
      <x/>
      <x/>
    </i>
    <i>
      <x v="159"/>
      <x v="79"/>
      <x v="8"/>
      <x/>
      <x v="4"/>
    </i>
    <i>
      <x v="161"/>
      <x v="56"/>
      <x v="67"/>
      <x/>
      <x v="3"/>
    </i>
    <i>
      <x v="167"/>
      <x v="96"/>
      <x v="171"/>
      <x/>
      <x v="4"/>
    </i>
    <i>
      <x v="169"/>
      <x v="62"/>
      <x v="97"/>
      <x/>
      <x v="4"/>
    </i>
    <i>
      <x v="174"/>
      <x v="23"/>
      <x v="98"/>
      <x/>
      <x v="3"/>
    </i>
    <i>
      <x v="177"/>
      <x v="102"/>
      <x v="171"/>
      <x/>
      <x v="4"/>
    </i>
    <i>
      <x v="178"/>
      <x v="151"/>
      <x v="22"/>
      <x/>
      <x/>
    </i>
    <i>
      <x v="179"/>
      <x v="98"/>
      <x v="171"/>
      <x/>
      <x v="4"/>
    </i>
    <i>
      <x v="188"/>
      <x v="184"/>
      <x v="171"/>
      <x/>
      <x v="4"/>
    </i>
    <i>
      <x v="190"/>
      <x v="187"/>
      <x v="171"/>
      <x/>
      <x v="4"/>
    </i>
    <i>
      <x v="192"/>
      <x v="52"/>
      <x v="44"/>
      <x/>
      <x v="3"/>
    </i>
    <i>
      <x v="193"/>
      <x v="104"/>
      <x v="171"/>
      <x/>
      <x v="4"/>
    </i>
    <i>
      <x v="194"/>
      <x v="57"/>
      <x v="90"/>
      <x/>
      <x v="4"/>
    </i>
    <i>
      <x v="200"/>
      <x v="189"/>
      <x v="50"/>
      <x/>
      <x v="3"/>
    </i>
    <i>
      <x v="201"/>
      <x v="95"/>
      <x v="171"/>
      <x/>
      <x v="4"/>
    </i>
    <i>
      <x v="202"/>
      <x v="176"/>
      <x v="171"/>
      <x/>
      <x v="4"/>
    </i>
    <i>
      <x v="205"/>
      <x v="33"/>
      <x v="104"/>
      <x/>
      <x/>
    </i>
    <i>
      <x v="206"/>
      <x v="153"/>
      <x v="4"/>
      <x/>
      <x v="2"/>
    </i>
    <i>
      <x v="209"/>
      <x v="41"/>
      <x v="171"/>
      <x/>
      <x v="4"/>
    </i>
    <i>
      <x v="210"/>
      <x v="143"/>
      <x v="171"/>
      <x/>
      <x v="4"/>
    </i>
    <i>
      <x v="211"/>
      <x v="19"/>
      <x v="81"/>
      <x/>
      <x v="3"/>
    </i>
    <i>
      <x v="214"/>
      <x v="168"/>
      <x v="9"/>
      <x/>
      <x v="4"/>
    </i>
    <i>
      <x v="216"/>
      <x v="227"/>
      <x v="186"/>
      <x/>
      <x/>
    </i>
    <i>
      <x v="219"/>
      <x v="32"/>
      <x v="94"/>
      <x/>
      <x v="4"/>
    </i>
    <i>
      <x v="220"/>
      <x v="31"/>
      <x v="171"/>
      <x/>
      <x v="4"/>
    </i>
    <i>
      <x v="221"/>
      <x v="110"/>
      <x v="113"/>
      <x v="1"/>
      <x v="2"/>
    </i>
    <i>
      <x v="224"/>
      <x v="105"/>
      <x v="146"/>
      <x v="1"/>
      <x/>
    </i>
    <i>
      <x v="227"/>
      <x v="232"/>
      <x v="193"/>
      <x/>
      <x v="4"/>
    </i>
    <i>
      <x v="229"/>
      <x v="234"/>
      <x v="36"/>
      <x/>
      <x v="4"/>
    </i>
    <i>
      <x v="232"/>
      <x v="237"/>
      <x v="184"/>
      <x/>
      <x v="4"/>
    </i>
    <i>
      <x v="234"/>
      <x v="239"/>
      <x v="186"/>
      <x/>
      <x v="4"/>
    </i>
    <i>
      <x v="235"/>
      <x v="244"/>
      <x v="189"/>
      <x/>
      <x v="4"/>
    </i>
    <i>
      <x v="239"/>
      <x v="247"/>
      <x v="194"/>
      <x/>
      <x v="4"/>
    </i>
    <i>
      <x v="241"/>
      <x v="249"/>
      <x v="195"/>
      <x/>
      <x v="4"/>
    </i>
    <i>
      <x v="243"/>
      <x v="251"/>
      <x v="195"/>
      <x/>
      <x v="4"/>
    </i>
    <i>
      <x v="246"/>
      <x v="254"/>
      <x v="198"/>
      <x/>
      <x v="4"/>
    </i>
    <i>
      <x v="247"/>
      <x v="255"/>
      <x v="171"/>
      <x/>
      <x v="4"/>
    </i>
    <i>
      <x v="248"/>
      <x v="256"/>
      <x v="171"/>
      <x/>
      <x v="4"/>
    </i>
    <i>
      <x v="249"/>
      <x v="257"/>
      <x v="171"/>
      <x/>
      <x v="4"/>
    </i>
    <i>
      <x v="251"/>
      <x v="259"/>
      <x v="171"/>
      <x/>
      <x v="4"/>
    </i>
    <i>
      <x v="252"/>
      <x v="260"/>
      <x v="171"/>
      <x/>
      <x v="4"/>
    </i>
    <i>
      <x v="253"/>
      <x v="261"/>
      <x v="171"/>
      <x/>
      <x v="4"/>
    </i>
    <i>
      <x v="254"/>
      <x v="262"/>
      <x v="171"/>
      <x/>
      <x v="4"/>
    </i>
    <i>
      <x v="255"/>
      <x v="263"/>
      <x v="171"/>
      <x/>
      <x v="4"/>
    </i>
    <i>
      <x v="256"/>
      <x v="264"/>
      <x v="171"/>
      <x/>
      <x v="4"/>
    </i>
    <i>
      <x v="257"/>
      <x v="265"/>
      <x v="171"/>
      <x/>
      <x v="4"/>
    </i>
    <i>
      <x v="258"/>
      <x v="266"/>
      <x v="171"/>
      <x/>
      <x v="4"/>
    </i>
    <i>
      <x v="259"/>
      <x v="267"/>
      <x v="171"/>
      <x/>
      <x v="4"/>
    </i>
    <i>
      <x v="260"/>
      <x v="268"/>
      <x v="171"/>
      <x/>
      <x v="4"/>
    </i>
    <i>
      <x v="261"/>
      <x v="269"/>
      <x v="171"/>
      <x/>
      <x v="4"/>
    </i>
    <i>
      <x v="275"/>
      <x v="282"/>
      <x v="171"/>
      <x/>
      <x v="4"/>
    </i>
    <i>
      <x v="276"/>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6" tableType="xml" totalsRowShown="0" headerRowDxfId="993" dataDxfId="992" headerRowCellStyle="Normal_Sheet11">
  <autoFilter ref="B4:AF306">
    <filterColumn colId="0">
      <filters blank="1">
        <filter val="Open"/>
      </filters>
    </filterColumn>
  </autoFilter>
  <sortState ref="B5:AF305">
    <sortCondition sortBy="cellColor" ref="S4:S306" dxfId="24"/>
  </sortState>
  <tableColumns count="31">
    <tableColumn id="24" uniqueName="Status" name="Status" dataDxfId="991" dataCellStyle="Normal_Sheet3_1">
      <xmlColumnPr mapId="11" xpath="/dataroot/Camp_x005f_x0020_List/Status" xmlDataType="string"/>
    </tableColumn>
    <tableColumn id="2" uniqueName="State" name="State" dataDxfId="990">
      <xmlColumnPr mapId="11" xpath="/dataroot/Camp_x005f_x0020_List/State" xmlDataType="string"/>
    </tableColumn>
    <tableColumn id="12" uniqueName="S_Pcode" name="S_Pcode" dataDxfId="989">
      <xmlColumnPr mapId="11" xpath="/dataroot/Camp_x005f_x0020_List/S_Pcode" xmlDataType="string"/>
    </tableColumn>
    <tableColumn id="23" uniqueName="District" name="District" dataDxfId="988">
      <xmlColumnPr mapId="11" xpath="/dataroot/Camp_x005f_x0020_List/District" xmlDataType="string"/>
    </tableColumn>
    <tableColumn id="19" uniqueName="D_Pcode" name="D_Pcode" dataDxfId="987">
      <xmlColumnPr mapId="11" xpath="/dataroot/Camp_x005f_x0020_List/D_Pcode" xmlDataType="string"/>
    </tableColumn>
    <tableColumn id="3" uniqueName="Township" name="Township" dataDxfId="986">
      <xmlColumnPr mapId="11" xpath="/dataroot/Camp_x005f_x0020_List/Township" xmlDataType="string"/>
    </tableColumn>
    <tableColumn id="13" uniqueName="T_Pcode" name="T_Pcode" dataDxfId="985">
      <xmlColumnPr mapId="11" xpath="/dataroot/Camp_x005f_x0020_List/T_Pcode" xmlDataType="string"/>
    </tableColumn>
    <tableColumn id="14" uniqueName="VillageTracKTown" name="VillageTracKTown" dataDxfId="984">
      <xmlColumnPr mapId="11" xpath="/dataroot/Camp_x005f_x0020_List/VillageTracKTown" xmlDataType="string"/>
    </tableColumn>
    <tableColumn id="15" uniqueName="VTT_Pcode" name="VTT_Pcode" dataDxfId="983">
      <xmlColumnPr mapId="11" xpath="/dataroot/Camp_x005f_x0020_List/VTT_Pcode" xmlDataType="string"/>
    </tableColumn>
    <tableColumn id="16" uniqueName="VillageWard_Name" name="VillageWard_Name" dataDxfId="982">
      <xmlColumnPr mapId="11" xpath="/dataroot/Camp_x005f_x0020_List/VillageWard_Name" xmlDataType="string"/>
    </tableColumn>
    <tableColumn id="17" uniqueName="VW_Pcode" name="VW_Pcode" dataDxfId="981">
      <xmlColumnPr mapId="11" xpath="/dataroot/Camp_x005f_x0020_List/VW_Pcode" xmlDataType="string"/>
    </tableColumn>
    <tableColumn id="4" uniqueName="Camp" name="Camp" dataDxfId="980">
      <xmlColumnPr mapId="11" xpath="/dataroot/Camp_x005f_x0020_List/Camp" xmlDataType="string"/>
    </tableColumn>
    <tableColumn id="5" uniqueName="CP_Pcode" name="CP_Pcode" dataDxfId="979">
      <xmlColumnPr mapId="11" xpath="/dataroot/Camp_x005f_x0020_List/CP_Pcode" xmlDataType="string"/>
    </tableColumn>
    <tableColumn id="6" uniqueName="Longitude" name="Longitude" dataDxfId="978">
      <xmlColumnPr mapId="11" xpath="/dataroot/Camp_x005f_x0020_List/Longitude" xmlDataType="double"/>
    </tableColumn>
    <tableColumn id="7" uniqueName="Latitude" name="Latitude" dataDxfId="977">
      <xmlColumnPr mapId="11" xpath="/dataroot/Camp_x005f_x0020_List/Latitude" xmlDataType="double"/>
    </tableColumn>
    <tableColumn id="25" uniqueName="Altitude" name="Altitude" dataDxfId="976">
      <xmlColumnPr mapId="11" xpath="/dataroot/Camp_x005f_x0020_List/Altitude" xmlDataType="double"/>
    </tableColumn>
    <tableColumn id="8" uniqueName="HH" name="HH" dataDxfId="975">
      <xmlColumnPr mapId="11" xpath="/dataroot/Camp_x005f_x0020_List/HH" xmlDataType="double"/>
    </tableColumn>
    <tableColumn id="9" uniqueName="Total" name="Total" dataDxfId="974">
      <xmlColumnPr mapId="11" xpath="/dataroot/Camp_x005f_x0020_List/Total" xmlDataType="double"/>
    </tableColumn>
    <tableColumn id="11" uniqueName="Avg" name="Avg" dataDxfId="973">
      <calculatedColumnFormula>IF(CampList[[#This Row],[HH]]&gt;0,CampList[[#This Row],[Total]]/CampList[[#This Row],[HH]],"NA")</calculatedColumnFormula>
      <xmlColumnPr mapId="11" xpath="/dataroot/Camp_x005f_x0020_List/Avg" xmlDataType="string"/>
    </tableColumn>
    <tableColumn id="28" uniqueName="Accessibility" name="Accessibility" dataDxfId="972">
      <xmlColumnPr mapId="11" xpath="/dataroot/Camp_x005f_x0020_List/Accessibility" xmlDataType="string"/>
    </tableColumn>
    <tableColumn id="1" uniqueName="Affected Population" name="Affected Population" dataDxfId="971">
      <xmlColumnPr mapId="11" xpath="/dataroot/Camp_x005f_x0020_List/Affected_x005f_x0020_Population" xmlDataType="string"/>
    </tableColumn>
    <tableColumn id="29" uniqueName="Type of Accomodation" name="Type of Accomodation" dataDxfId="970">
      <xmlColumnPr mapId="11" xpath="/dataroot/Camp_x005f_x0020_List/Type_x005f_x0020_of_x005f_x0020_Accomodation" xmlDataType="string"/>
    </tableColumn>
    <tableColumn id="30" uniqueName="Type of Location" name="Type of Location" dataDxfId="969">
      <xmlColumnPr mapId="11" xpath="/dataroot/Camp_x005f_x0020_List/Type_x005f_x0020_of_x005f_x0020_Location" xmlDataType="string"/>
    </tableColumn>
    <tableColumn id="31" uniqueName="Opening Date" name="Opening Date" dataDxfId="968">
      <xmlColumnPr mapId="11" xpath="/dataroot/Camp_x005f_x0020_List/Opening_x005f_x0020_Date" xmlDataType="dateTime"/>
    </tableColumn>
    <tableColumn id="26" uniqueName="Responsible Agency" name="Responsible Agency" dataDxfId="967">
      <xmlColumnPr mapId="11" xpath="/dataroot/Camp_x005f_x0020_List/Responsible_x005f_x0020_Agency" xmlDataType="string"/>
    </tableColumn>
    <tableColumn id="18" uniqueName="Source" name="Source" dataDxfId="966">
      <xmlColumnPr mapId="11" xpath="/dataroot/Camp_x005f_x0020_List/Source" xmlDataType="string"/>
    </tableColumn>
    <tableColumn id="10" uniqueName="Update Date" name="Update Date" dataDxfId="965">
      <xmlColumnPr mapId="11" xpath="/dataroot/Camp_x005f_x0020_List/Update_x005f_x0020_Date" xmlDataType="dateTime"/>
    </tableColumn>
    <tableColumn id="21" uniqueName="Comment" name="Comment" dataDxfId="964">
      <xmlColumnPr mapId="11" xpath="/dataroot/Camp_x005f_x0020_List/Comment" xmlDataType="string"/>
    </tableColumn>
    <tableColumn id="35" uniqueName="Nearest_Town" name="Nearest_Town" dataDxfId="963">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962"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961">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360" tableType="xml" totalsRowShown="0" headerRowDxfId="154" dataDxfId="152" headerRowBorderDxfId="153" tableBorderDxfId="151" totalsRowBorderDxfId="150">
  <autoFilter ref="B5:AU360"/>
  <sortState ref="B6:AT180">
    <sortCondition ref="B5:B180"/>
  </sortState>
  <tableColumns count="46">
    <tableColumn id="1" uniqueName="Distribution Date" name="Distribution Date" dataDxfId="149">
      <xmlColumnPr mapId="8" xpath="/dataroot/NFI_x005f_x0020_Tracking/Distribution_x005f_x0020_Date" xmlDataType="dateTime"/>
    </tableColumn>
    <tableColumn id="29" uniqueName="29" name="Distribution Month/Year (Auto-calculated)" dataDxfId="148">
      <calculatedColumnFormula>MONTH(Table_NFI[[#This Row],[Distribution Date]]) &amp; "/" &amp; YEAR(Table_NFI[[#This Row],[Distribution Date]])</calculatedColumnFormula>
    </tableColumn>
    <tableColumn id="2" uniqueName="Organization" name="Agency" dataDxfId="147">
      <xmlColumnPr mapId="8" xpath="/dataroot/NFI_x005f_x0020_Tracking/Organization" xmlDataType="string"/>
    </tableColumn>
    <tableColumn id="3" uniqueName="Implementing Partner" name="Implementing Partner" dataDxfId="146">
      <xmlColumnPr mapId="8" xpath="/dataroot/NFI_x005f_x0020_Tracking/Implementing_x005f_x0020_Partner" xmlDataType="string"/>
    </tableColumn>
    <tableColumn id="4" uniqueName="State" name="State" dataDxfId="145">
      <xmlColumnPr mapId="8" xpath="/dataroot/NFI_x005f_x0020_Tracking/State" xmlDataType="string"/>
    </tableColumn>
    <tableColumn id="5" uniqueName="Township" name="Township" dataDxfId="144">
      <xmlColumnPr mapId="8" xpath="/dataroot/NFI_x005f_x0020_Tracking/Township" xmlDataType="string"/>
    </tableColumn>
    <tableColumn id="6" uniqueName="Camp Name" name="Location" dataDxfId="143">
      <xmlColumnPr mapId="8" xpath="/dataroot/NFI_x005f_x0020_Tracking/Camp_x005f_x0020_Name" xmlDataType="string"/>
    </tableColumn>
    <tableColumn id="44" uniqueName="44" name="Cash for NFI (# of HHs covered)" dataDxfId="142"/>
    <tableColumn id="7" uniqueName="Hygiene Kit" name="Hygiene Kit" dataDxfId="141">
      <xmlColumnPr mapId="8" xpath="/dataroot/NFI_x005f_x0020_Tracking/Hygiene_x005f_x0020_Kit" xmlDataType="string"/>
    </tableColumn>
    <tableColumn id="15" uniqueName="15" name="Dignity Kit" dataDxfId="140"/>
    <tableColumn id="8" uniqueName="NFI Core Kit" name="NFI Core Kit" dataDxfId="139">
      <xmlColumnPr mapId="8" xpath="/dataroot/NFI_x005f_x0020_Tracking/NFI_x005f_x0020_Core_x005f_x0020_Kit" xmlDataType="string"/>
    </tableColumn>
    <tableColumn id="9" uniqueName="Sanitary Kit" name="Sanitary Kit" dataDxfId="138">
      <xmlColumnPr mapId="8" xpath="/dataroot/NFI_x005f_x0020_Tracking/Sanitary_x005f_x0020_Kit" xmlDataType="string"/>
    </tableColumn>
    <tableColumn id="10" uniqueName="Mosquito net" name="Mosquito net" dataDxfId="137">
      <xmlColumnPr mapId="8" xpath="/dataroot/NFI_x005f_x0020_Tracking/Mosquito_x005f_x0020_net" xmlDataType="double"/>
    </tableColumn>
    <tableColumn id="11" uniqueName="Tarpaulin" name="Tarpaulin" dataDxfId="136">
      <xmlColumnPr mapId="8" xpath="/dataroot/NFI_x005f_x0020_Tracking/Tarpaulin" xmlDataType="double"/>
    </tableColumn>
    <tableColumn id="12" uniqueName="Blanket" name="Blanket" dataDxfId="135">
      <xmlColumnPr mapId="8" xpath="/dataroot/NFI_x005f_x0020_Tracking/Blanket" xmlDataType="double"/>
    </tableColumn>
    <tableColumn id="13" uniqueName="Kitchen Set" name="Kitchen Set" dataDxfId="134">
      <xmlColumnPr mapId="8" xpath="/dataroot/NFI_x005f_x0020_Tracking/Kitchen_x005f_x0020_Set" xmlDataType="double"/>
    </tableColumn>
    <tableColumn id="14" uniqueName="Clothes Kit" name="Clothes Kit" dataDxfId="133">
      <xmlColumnPr mapId="8" xpath="/dataroot/NFI_x005f_x0020_Tracking/Clothes_x005f_x0020_Kit" xmlDataType="double"/>
    </tableColumn>
    <tableColumn id="26" uniqueName="Plastic Bucket" name="Plastic Bucket" dataDxfId="132">
      <xmlColumnPr mapId="8" xpath="/dataroot/NFI_x005f_x0020_Tracking/Plastic_x005f_x0020_Bucket" xmlDataType="double"/>
    </tableColumn>
    <tableColumn id="25" uniqueName="Plastic Mat" name="Plastic Mat" dataDxfId="131">
      <xmlColumnPr mapId="8" xpath="/dataroot/NFI_x005f_x0020_Tracking/Plastic_x005f_x0020_Mat" xmlDataType="double"/>
    </tableColumn>
    <tableColumn id="47" uniqueName="Winter Clothes Adult" name="Winter Clothes Adult" dataDxfId="130">
      <xmlColumnPr mapId="8" xpath="/dataroot/NFI_x005f_x0020_Tracking/Winter_x005f_x0020_Clothes_x005f_x0020_Adult" xmlDataType="string"/>
    </tableColumn>
    <tableColumn id="46" uniqueName="Winter Clothes Children" name="Winter Clothes Children" dataDxfId="129">
      <xmlColumnPr mapId="8" xpath="/dataroot/NFI_x005f_x0020_Tracking/Winter_x005f_x0020_Clothes_x005f_x0020_Children" xmlDataType="string"/>
    </tableColumn>
    <tableColumn id="45" uniqueName="Winter Items Other" name="Winter Items Other" dataDxfId="128">
      <xmlColumnPr mapId="8" xpath="/dataroot/NFI_x005f_x0020_Tracking/Winter_x005f_x0020_Items_x005f_x0020_Other" xmlDataType="string"/>
    </tableColumn>
    <tableColumn id="32" uniqueName="Winter Blanket" name="Winter Blanket" dataDxfId="127">
      <xmlColumnPr mapId="8" xpath="/dataroot/NFI_x005f_x0020_Tracking/Winter_x005f_x0020_Blanket" xmlDataType="string"/>
    </tableColumn>
    <tableColumn id="38" uniqueName="38" name="Jerry Can" dataDxfId="126"/>
    <tableColumn id="23" uniqueName="23" name="Solar lamps" dataDxfId="125"/>
    <tableColumn id="41" uniqueName="41" name="Shelter Tool kit" dataDxfId="124"/>
    <tableColumn id="40" uniqueName="40" name="Tent" dataDxfId="123"/>
    <tableColumn id="16" uniqueName="NFI Core Kit_LS" name="NFI Core Kit_LS" dataDxfId="122">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121">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120">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119">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118">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117">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116">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115">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114">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113">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112">
      <xmlColumnPr mapId="8" xpath="/dataroot/NFI_x005f_x0020_Tracking/Winter_x005f_x0020_Clothes_x005f_x0020_Children_LS" xmlDataType="string"/>
    </tableColumn>
    <tableColumn id="48" uniqueName="Winter Items Other_LS" name="Winter Items Other_LS" dataDxfId="111">
      <xmlColumnPr mapId="8" xpath="/dataroot/NFI_x005f_x0020_Tracking/Winter_x005f_x0020_Items_x005f_x0020_Other_LS" xmlDataType="string"/>
    </tableColumn>
    <tableColumn id="33" uniqueName="Winter Blanket_LS" name="Winter Blanket_LS" dataDxfId="110">
      <xmlColumnPr mapId="8" xpath="/dataroot/NFI_x005f_x0020_Tracking/Winter_x005f_x0020_Blanket_LS" xmlDataType="string"/>
    </tableColumn>
    <tableColumn id="36" uniqueName="Winter" name="Winter" dataDxfId="109">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108"/>
    <tableColumn id="42" uniqueName="42" name="Shelter Tool kit_LS" dataDxfId="107"/>
    <tableColumn id="43" uniqueName="43" name="Tent_LS" dataDxfId="106"/>
    <tableColumn id="24" uniqueName="Pcode" name="Pcode" dataDxfId="105">
      <calculatedColumnFormula>IFERROR(VLOOKUP(Table_NFI[[#This Row],[Location]],CL,2,0),"")</calculatedColumnFormula>
      <xmlColumnPr mapId="8" xpath="/dataroot/NFI_x005f_x0020_Tracking/Pcode" xmlDataType="string"/>
    </tableColumn>
    <tableColumn id="37" uniqueName="Comment" name="Comment" dataDxfId="104">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101" headerRowBorderDxfId="100" tableBorderDxfId="99" totalsRowBorderDxfId="98">
  <autoFilter ref="A1:N168"/>
  <tableColumns count="14">
    <tableColumn id="5" name="Pcode" dataDxfId="97"/>
    <tableColumn id="2" name="Priority" dataDxfId="96">
      <calculatedColumnFormula>OFFSET(#REF!,MATCH(Table10[[#This Row],[Pcode]],CampList[CP_Pcode],0)-1,0,1,1)</calculatedColumnFormula>
    </tableColumn>
    <tableColumn id="1" name="Camp" dataDxfId="95">
      <calculatedColumnFormula>OFFSET(CampList[Camp],MATCH(Table10[[#This Row],[Pcode]],CampList[CP_Pcode],0)-1,0,1,1)</calculatedColumnFormula>
    </tableColumn>
    <tableColumn id="4" name="Township" dataDxfId="94">
      <calculatedColumnFormula>OFFSET(CampList[Township],MATCH(Table10[[#This Row],[Pcode]],CampList[CP_Pcode],0)-1,0,1,1)</calculatedColumnFormula>
    </tableColumn>
    <tableColumn id="6" name="HH" dataDxfId="93">
      <calculatedColumnFormula>OFFSET(CampList[HH],MATCH(Table10[[#This Row],[Pcode]],CampList[CP_Pcode],0)-1,0,1,1)</calculatedColumnFormula>
    </tableColumn>
    <tableColumn id="7" name="Ind" dataDxfId="92">
      <calculatedColumnFormula>OFFSET(CampList[Total],MATCH(Table10[[#This Row],[Pcode]],CampList[CP_Pcode],0)-1,0,1,1)</calculatedColumnFormula>
    </tableColumn>
    <tableColumn id="8" name="Winter Clothes Adult " dataDxfId="91">
      <calculatedColumnFormula>SUMIF('NFI Distributions'!AU$53:AU$1048576,Table10[[#This Row],[Pcode]],'NFI Distributions'!AM$53:AM$1048576)</calculatedColumnFormula>
    </tableColumn>
    <tableColumn id="9" name="Winter Clothes Children " dataDxfId="90">
      <calculatedColumnFormula>SUMIF('NFI Distributions'!AU$53:AU$1048576,Table10[[#This Row],[Pcode]],'NFI Distributions'!AN$53:AN$1048576)</calculatedColumnFormula>
    </tableColumn>
    <tableColumn id="10" name="Winter Items Other " dataDxfId="89">
      <calculatedColumnFormula>SUMIF('NFI Distributions'!AU$53:AU$1048576,Table10[[#This Row],[Pcode]],'NFI Distributions'!AO$53:AO$1048576)</calculatedColumnFormula>
    </tableColumn>
    <tableColumn id="11" name="WC_Adult_Gap" dataDxfId="88">
      <calculatedColumnFormula>MAX(Table10[[#This Row],[HH]]*VLOOKUP("Winter Clothes Adult",NFI,6)-Table10[[#This Row],[Winter Clothes Adult ]],0)</calculatedColumnFormula>
    </tableColumn>
    <tableColumn id="12" name="WC_Child_Gap" dataDxfId="87">
      <calculatedColumnFormula>MAX(Table10[[#This Row],[HH]]*VLOOKUP("Winter Clothes Children ",NFI,6)-Table10[[#This Row],[Winter Clothes Children ]],0)</calculatedColumnFormula>
    </tableColumn>
    <tableColumn id="13" name="WI_Other_Gap" dataDxfId="86">
      <calculatedColumnFormula>MAX(Table10[[#This Row],[HH]]*VLOOKUP("Winter Items Other ",NFI,6)-Table10[[#This Row],[Winter Items Other ]],0)</calculatedColumnFormula>
    </tableColumn>
    <tableColumn id="3" name="Planned Distribution" dataDxfId="85">
      <calculatedColumnFormula>IF(OR(Table10[[#This Row],[Winter Clothes Adult ]]&lt;&gt;0,Table10[[#This Row],[Winter Clothes Children ]]&lt;&gt;0,Table10[[#This Row],[Winter Items Other ]]&lt;&gt;0),"No","")</calculatedColumnFormula>
    </tableColumn>
    <tableColumn id="14" name="Check1" dataDxfId="84">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960"/>
    <tableColumn id="2" name="Nearest Town" dataDxfId="959"/>
    <tableColumn id="3" name="distance" dataDxfId="958"/>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957" dataDxfId="956">
  <autoFilter ref="J1:J4"/>
  <tableColumns count="1">
    <tableColumn id="1" name="State" dataDxfId="955"/>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954" dataDxfId="953">
  <autoFilter ref="L1:L24"/>
  <tableColumns count="1">
    <tableColumn id="1" name="Kachin" dataDxfId="952"/>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7" totalsRowShown="0" headerRowDxfId="951" dataDxfId="950">
  <autoFilter ref="N1:N7"/>
  <tableColumns count="1">
    <tableColumn id="1" name="Shan_North" dataDxfId="949"/>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919" dataDxfId="917" totalsRowDxfId="915" headerRowBorderDxfId="918" tableBorderDxfId="916" totalsRowBorderDxfId="914" dataCellStyle="Percent">
  <autoFilter ref="T2:AG25"/>
  <tableColumns count="14">
    <tableColumn id="1" name="Pcode" dataDxfId="913" totalsRowDxfId="912"/>
    <tableColumn id="2" name="Township" totalsRowLabel="Kachin/Shan" dataDxfId="911" totalsRowDxfId="910"/>
    <tableColumn id="3" name="Long." totalsRowLabel="96.00" dataDxfId="909" totalsRowDxfId="908"/>
    <tableColumn id="4" name="Lat." totalsRowLabel="27.00" dataDxfId="907" totalsRowDxfId="906"/>
    <tableColumn id="5" name="HS" totalsRowFunction="sum" dataDxfId="905" totalsRowDxfId="904">
      <calculatedColumnFormula>#REF!</calculatedColumnFormula>
    </tableColumn>
    <tableColumn id="6" name="Pop" totalsRowFunction="sum" dataDxfId="903" totalsRowDxfId="902" dataCellStyle="Comma"/>
    <tableColumn id="7" name="N_cps" totalsRowFunction="custom" dataDxfId="901" totalsRowDxfId="900">
      <calculatedColumnFormula>CONCATENATE(AG2," cp",IF(AG2&gt;1,"s",""))</calculatedColumnFormula>
      <totalsRowFormula>CONCATENATE(Table58[[#Totals],[Column1]]," camps")</totalsRowFormula>
    </tableColumn>
    <tableColumn id="8" name="Coverage" totalsRowFunction="custom" dataDxfId="899" totalsRowDxfId="898" dataCellStyle="Percent">
      <calculatedColumnFormula>#REF!</calculatedColumnFormula>
      <totalsRowFormula>SUMPRODUCT(Table58[Pop]*Table58[Coverage])/Table58[[#Totals],[Pop]]</totalsRowFormula>
    </tableColumn>
    <tableColumn id="9" name="Hygiene" totalsRowFunction="custom" dataDxfId="897" totalsRowDxfId="896" dataCellStyle="Percent">
      <totalsRowFormula>SUMPRODUCT(Table58[Pop]*Table58[Hygiene])/Table58[[#Totals],[Pop]]</totalsRowFormula>
    </tableColumn>
    <tableColumn id="10" name="Core" totalsRowFunction="custom" dataDxfId="895" totalsRowDxfId="894" dataCellStyle="Percent">
      <totalsRowFormula>SUMPRODUCT(Table58[Pop]*Table58[Core])/Table58[[#Totals],[Pop]]</totalsRowFormula>
    </tableColumn>
    <tableColumn id="11" name="Sanitary" totalsRowFunction="custom" dataDxfId="893" totalsRowDxfId="892" dataCellStyle="Percent">
      <totalsRowFormula>SUMPRODUCT(Table58[Pop]*Table58[Sanitary])/Table58[[#Totals],[Pop]]</totalsRowFormula>
    </tableColumn>
    <tableColumn id="12" name="Y" totalsRowFunction="custom" dataDxfId="891" totalsRowDxfId="890">
      <calculatedColumnFormula>$S$3-ROUND((W3-$S$1)*$S$5,0)</calculatedColumnFormula>
      <totalsRowFormula>1000-ROUND((W26-23.5)*$S$5,0)</totalsRowFormula>
    </tableColumn>
    <tableColumn id="13" name="X" totalsRowFunction="custom" dataDxfId="889" totalsRowDxfId="888">
      <calculatedColumnFormula>ROUND((V3-$S$2)*$S$5,0)+$S$4</calculatedColumnFormula>
      <totalsRowFormula>ROUND((V26-96.5)*$S$5,0)+100</totalsRowFormula>
    </tableColumn>
    <tableColumn id="14" name="Column1" totalsRowFunction="sum" dataDxfId="887" totalsRowDxfId="886"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307" dataDxfId="305" headerRowBorderDxfId="306" tableBorderDxfId="304" totalsRowBorderDxfId="303">
  <autoFilter ref="CD16:CG32"/>
  <tableColumns count="4">
    <tableColumn id="1" name="Township" dataDxfId="302">
      <calculatedColumnFormula>B10</calculatedColumnFormula>
    </tableColumn>
    <tableColumn id="2" name="V1" dataDxfId="301">
      <calculatedColumnFormula>C10-Shelter_Draw[[#This Row],[V2]]-Shelter_Draw[[#This Row],[V3]]</calculatedColumnFormula>
    </tableColumn>
    <tableColumn id="3" name="V2" dataDxfId="300">
      <calculatedColumnFormula>H10</calculatedColumnFormula>
    </tableColumn>
    <tableColumn id="4" name="V3" dataDxfId="299">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298" dataDxfId="297" tableBorderDxfId="296">
  <tableColumns count="7">
    <tableColumn id="1" name="Township" dataDxfId="295"/>
    <tableColumn id="2" name="# HHs" dataDxfId="294"/>
    <tableColumn id="3" name="# Individuals" dataDxfId="293"/>
    <tableColumn id="4" name="# Shelters needed" dataDxfId="292"/>
    <tableColumn id="5" name="# Shelters planned" dataDxfId="291"/>
    <tableColumn id="6" name="# Shelter gap*" dataDxfId="290"/>
    <tableColumn id="7" name="Current Coverage" dataDxfId="289">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N39" headerRowCount="0" totalsRowShown="0" headerRowDxfId="288" dataDxfId="286" headerRowBorderDxfId="287" tableBorderDxfId="285">
  <tableColumns count="65">
    <tableColumn id="1" name="Column1" headerRowDxfId="284" dataDxfId="283"/>
    <tableColumn id="2" name="Column2" headerRowDxfId="282" dataDxfId="281"/>
    <tableColumn id="3" name="Column3" headerRowDxfId="280" dataDxfId="279"/>
    <tableColumn id="4" name="Column4" headerRowDxfId="278" dataDxfId="277"/>
    <tableColumn id="5" name="Column5" headerRowDxfId="276" dataDxfId="275"/>
    <tableColumn id="6" name="Column6" headerRowDxfId="274" dataDxfId="273"/>
    <tableColumn id="7" name="Column7" headerRowDxfId="272" dataDxfId="271"/>
    <tableColumn id="8" name="Column8" headerRowDxfId="270" dataDxfId="269"/>
    <tableColumn id="9" name="Column9" headerRowDxfId="268" dataDxfId="267"/>
    <tableColumn id="10" name="Column10" headerRowDxfId="266" dataDxfId="265"/>
    <tableColumn id="11" name="Column11" headerRowDxfId="264" dataDxfId="263"/>
    <tableColumn id="65" name="Column65" headerRowDxfId="262" dataDxfId="261"/>
    <tableColumn id="64" name="Column64" headerRowDxfId="260" dataDxfId="259"/>
    <tableColumn id="63" name="Column63" headerRowDxfId="258" dataDxfId="257"/>
    <tableColumn id="59" name="Column62" headerRowDxfId="256" dataDxfId="255"/>
    <tableColumn id="58" name="Column61" headerRowDxfId="254" dataDxfId="253"/>
    <tableColumn id="57" name="Column60" headerRowDxfId="252" dataDxfId="251"/>
    <tableColumn id="12" name="Column12" headerRowDxfId="250" dataDxfId="249"/>
    <tableColumn id="13" name="Column13" headerRowDxfId="248" dataDxfId="247"/>
    <tableColumn id="14" name="Column14" headerRowDxfId="246" dataDxfId="245"/>
    <tableColumn id="15" name="Column15" headerRowDxfId="244" dataDxfId="243"/>
    <tableColumn id="16" name="Column16" headerRowDxfId="242" dataDxfId="241"/>
    <tableColumn id="17" name="Column17" headerRowDxfId="240" dataDxfId="239"/>
    <tableColumn id="18" name="Column18" headerRowDxfId="238" dataDxfId="237"/>
    <tableColumn id="19" name="Column19" headerRowDxfId="236" dataDxfId="235"/>
    <tableColumn id="20" name="Column20" headerRowDxfId="234" dataDxfId="233"/>
    <tableColumn id="21" name="Column21" headerRowDxfId="232" dataDxfId="231"/>
    <tableColumn id="22" name="Column22" headerRowDxfId="230" dataDxfId="229"/>
    <tableColumn id="23" name="Column23" headerRowDxfId="228" dataDxfId="227"/>
    <tableColumn id="24" name="Column24" headerRowDxfId="226" dataDxfId="225"/>
    <tableColumn id="25" name="Column25" headerRowDxfId="224" dataDxfId="223"/>
    <tableColumn id="26" name="Column26" headerRowDxfId="222" dataDxfId="221"/>
    <tableColumn id="27" name="Column27" headerRowDxfId="220" dataDxfId="219"/>
    <tableColumn id="28" name="Column28" headerRowDxfId="218" dataDxfId="217"/>
    <tableColumn id="29" name="Column29" headerRowDxfId="216" dataDxfId="215"/>
    <tableColumn id="30" name="Column30" headerRowDxfId="214" dataDxfId="213"/>
    <tableColumn id="31" name="Column31" headerRowDxfId="212" dataDxfId="211"/>
    <tableColumn id="32" name="Column32" headerRowDxfId="210" dataDxfId="209"/>
    <tableColumn id="60" name="Column57" headerRowDxfId="208" dataDxfId="207"/>
    <tableColumn id="61" name="Column58" headerRowDxfId="206" dataDxfId="205"/>
    <tableColumn id="62" name="Column59" headerRowDxfId="204" dataDxfId="203"/>
    <tableColumn id="33" name="Column33" headerRowDxfId="202" dataDxfId="201"/>
    <tableColumn id="34" name="Column34" headerRowDxfId="200" dataDxfId="199"/>
    <tableColumn id="35" name="Column35" headerRowDxfId="198" dataDxfId="197"/>
    <tableColumn id="36" name="Column36" headerRowDxfId="196" dataDxfId="195"/>
    <tableColumn id="37" name="Column37" headerRowDxfId="194" dataDxfId="193"/>
    <tableColumn id="38" name="Column38" headerRowDxfId="192" dataDxfId="191"/>
    <tableColumn id="51" name="Column51" headerRowDxfId="190" dataDxfId="189"/>
    <tableColumn id="52" name="Column52" headerRowDxfId="188" dataDxfId="187"/>
    <tableColumn id="53" name="Column53" headerRowDxfId="186" dataDxfId="185"/>
    <tableColumn id="54" name="Column54" headerRowDxfId="184" dataDxfId="183"/>
    <tableColumn id="55" name="Column55" headerRowDxfId="182" dataDxfId="181"/>
    <tableColumn id="56" name="Column56" headerRowDxfId="180" dataDxfId="179"/>
    <tableColumn id="39" name="Column39" headerRowDxfId="178" dataDxfId="177"/>
    <tableColumn id="40" name="Column40" headerRowDxfId="176" dataDxfId="175"/>
    <tableColumn id="41" name="Column41" headerRowDxfId="174" dataDxfId="173"/>
    <tableColumn id="42" name="Column42" headerRowDxfId="172" dataDxfId="171"/>
    <tableColumn id="43" name="Column43" headerRowDxfId="170" dataDxfId="169"/>
    <tableColumn id="44" name="Column44" headerRowDxfId="168" dataDxfId="167"/>
    <tableColumn id="45" name="Column45" headerRowDxfId="166" dataDxfId="165"/>
    <tableColumn id="46" name="Column46" headerRowDxfId="164" dataDxfId="163"/>
    <tableColumn id="47" name="Column47" headerRowDxfId="162" dataDxfId="161"/>
    <tableColumn id="48" name="Column48" headerRowDxfId="160" dataDxfId="159"/>
    <tableColumn id="49" name="Column49" headerRowDxfId="158" dataDxfId="157"/>
    <tableColumn id="50" name="Column50" headerRowDxfId="156" dataDxfId="15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1.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I311"/>
  <sheetViews>
    <sheetView showGridLines="0" showZeros="0" tabSelected="1" zoomScaleNormal="100" workbookViewId="0">
      <pane xSplit="2" ySplit="4" topLeftCell="M204" activePane="bottomRight" state="frozen"/>
      <selection pane="topRight" activeCell="C1" sqref="C1"/>
      <selection pane="bottomLeft" activeCell="A5" sqref="A5"/>
      <selection pane="bottomRight" activeCell="Z204" sqref="Z204"/>
    </sheetView>
  </sheetViews>
  <sheetFormatPr defaultColWidth="8.88671875" defaultRowHeight="15.6" customHeight="1" x14ac:dyDescent="0.3"/>
  <cols>
    <col min="1" max="1" width="1.33203125" style="174" customWidth="1"/>
    <col min="2" max="2" width="10.109375" style="239" customWidth="1"/>
    <col min="3" max="3" width="11.88671875" style="239" customWidth="1"/>
    <col min="4" max="4" width="9.33203125" style="587" customWidth="1"/>
    <col min="5" max="5" width="11" style="587" customWidth="1"/>
    <col min="6" max="6" width="13.33203125" style="587" bestFit="1" customWidth="1"/>
    <col min="7" max="7" width="16.88671875" style="587" customWidth="1"/>
    <col min="8" max="8" width="13" style="587" bestFit="1" customWidth="1"/>
    <col min="9" max="9" width="29.5546875" style="587" customWidth="1"/>
    <col min="10" max="10" width="15.33203125" style="587" bestFit="1" customWidth="1"/>
    <col min="11" max="11" width="34.88671875" style="587" bestFit="1" customWidth="1"/>
    <col min="12" max="12" width="19" style="587" customWidth="1"/>
    <col min="13" max="13" width="39.44140625" style="587" customWidth="1"/>
    <col min="14" max="14" width="15.6640625" style="587" bestFit="1" customWidth="1"/>
    <col min="15" max="15" width="14.44140625" style="588" hidden="1" customWidth="1"/>
    <col min="16" max="16" width="12.88671875" style="588" hidden="1" customWidth="1"/>
    <col min="17" max="17" width="8.6640625" style="588" customWidth="1"/>
    <col min="18" max="18" width="10.5546875" style="185" customWidth="1"/>
    <col min="19" max="19" width="10.109375" style="589" customWidth="1"/>
    <col min="20" max="20" width="14.6640625" style="590" customWidth="1"/>
    <col min="21" max="21" width="11.6640625" style="185" customWidth="1"/>
    <col min="22" max="22" width="14" style="185" customWidth="1"/>
    <col min="23" max="23" width="23.33203125" style="185" customWidth="1"/>
    <col min="24" max="24" width="11" style="185" customWidth="1"/>
    <col min="25" max="25" width="15.109375" style="591" customWidth="1"/>
    <col min="26" max="26" width="18.109375" style="592" customWidth="1"/>
    <col min="27" max="27" width="6.5546875" style="587" customWidth="1"/>
    <col min="28" max="28" width="12.44140625" style="588" customWidth="1"/>
    <col min="29" max="29" width="37.6640625" style="593" customWidth="1"/>
    <col min="30" max="30" width="16.6640625" style="185" customWidth="1"/>
    <col min="31" max="31" width="12.5546875" style="594" customWidth="1"/>
    <col min="32" max="32" width="23.33203125" style="588" customWidth="1"/>
    <col min="33" max="33" width="9.109375" style="174"/>
    <col min="34" max="34" width="9.109375" style="173"/>
    <col min="35" max="35" width="8.88671875" style="173"/>
    <col min="36" max="44" width="8.88671875" style="174"/>
    <col min="45" max="46" width="9.109375" style="174" customWidth="1"/>
    <col min="47" max="16384" width="8.88671875" style="174"/>
  </cols>
  <sheetData>
    <row r="1" spans="2:35" ht="8.4" customHeight="1" x14ac:dyDescent="0.3"/>
    <row r="2" spans="2:35" s="173" customFormat="1" ht="15.6" customHeight="1" x14ac:dyDescent="0.3">
      <c r="B2" s="572" t="s">
        <v>1291</v>
      </c>
      <c r="C2" s="573"/>
      <c r="D2" s="573"/>
      <c r="E2" s="573"/>
      <c r="F2" s="573"/>
      <c r="G2" s="573"/>
      <c r="H2" s="573"/>
      <c r="I2" s="573" t="s">
        <v>1385</v>
      </c>
      <c r="J2" s="573"/>
      <c r="K2" s="529"/>
      <c r="L2" s="573"/>
      <c r="M2" s="754" t="s">
        <v>1389</v>
      </c>
      <c r="N2" s="573"/>
      <c r="O2" s="574"/>
      <c r="P2" s="574"/>
      <c r="Q2" s="574"/>
      <c r="R2" s="529"/>
      <c r="S2" s="529"/>
      <c r="T2" s="575"/>
      <c r="U2" s="576"/>
      <c r="V2" s="576"/>
      <c r="W2" s="576"/>
      <c r="X2" s="576"/>
      <c r="Y2" s="577"/>
      <c r="Z2" s="578"/>
      <c r="AA2" s="573"/>
      <c r="AB2" s="574"/>
      <c r="AC2" s="595"/>
      <c r="AD2" s="596"/>
      <c r="AE2" s="597"/>
      <c r="AF2" s="598"/>
    </row>
    <row r="3" spans="2:35" s="173" customFormat="1" ht="45" customHeight="1" x14ac:dyDescent="0.3">
      <c r="B3" s="752">
        <f>Definition!B23</f>
        <v>43313</v>
      </c>
      <c r="C3" s="753"/>
      <c r="D3" s="753"/>
      <c r="E3" s="579"/>
      <c r="F3" s="579"/>
      <c r="G3" s="579"/>
      <c r="H3" s="579"/>
      <c r="I3" s="580" t="s">
        <v>1560</v>
      </c>
      <c r="J3" s="579"/>
      <c r="K3" s="581"/>
      <c r="L3" s="579"/>
      <c r="M3" s="755"/>
      <c r="N3" s="580"/>
      <c r="O3" s="582"/>
      <c r="P3" s="582"/>
      <c r="Q3" s="582"/>
      <c r="R3" s="530"/>
      <c r="S3" s="530"/>
      <c r="T3" s="583"/>
      <c r="U3" s="584"/>
      <c r="V3" s="584"/>
      <c r="W3" s="584"/>
      <c r="X3" s="584"/>
      <c r="Y3" s="585"/>
      <c r="Z3" s="586"/>
      <c r="AA3" s="579"/>
      <c r="AB3" s="582"/>
      <c r="AC3" s="599"/>
      <c r="AD3" s="600"/>
      <c r="AE3" s="601"/>
      <c r="AF3" s="602"/>
    </row>
    <row r="4" spans="2:35" s="608" customFormat="1" ht="15.75" customHeight="1" x14ac:dyDescent="0.3">
      <c r="B4" s="189" t="s">
        <v>458</v>
      </c>
      <c r="C4" s="189" t="s">
        <v>392</v>
      </c>
      <c r="D4" s="603" t="s">
        <v>827</v>
      </c>
      <c r="E4" s="189" t="s">
        <v>477</v>
      </c>
      <c r="F4" s="603" t="s">
        <v>828</v>
      </c>
      <c r="G4" s="189" t="s">
        <v>0</v>
      </c>
      <c r="H4" s="603" t="s">
        <v>829</v>
      </c>
      <c r="I4" s="189" t="s">
        <v>830</v>
      </c>
      <c r="J4" s="603" t="s">
        <v>831</v>
      </c>
      <c r="K4" s="189" t="s">
        <v>476</v>
      </c>
      <c r="L4" s="603" t="s">
        <v>832</v>
      </c>
      <c r="M4" s="189" t="s">
        <v>507</v>
      </c>
      <c r="N4" s="189" t="s">
        <v>833</v>
      </c>
      <c r="O4" s="189" t="s">
        <v>1</v>
      </c>
      <c r="P4" s="324" t="s">
        <v>1084</v>
      </c>
      <c r="Q4" s="604" t="s">
        <v>780</v>
      </c>
      <c r="R4" s="324" t="s">
        <v>2</v>
      </c>
      <c r="S4" s="195" t="s">
        <v>3</v>
      </c>
      <c r="T4" s="200" t="s">
        <v>451</v>
      </c>
      <c r="U4" s="189" t="s">
        <v>457</v>
      </c>
      <c r="V4" s="324" t="s">
        <v>1036</v>
      </c>
      <c r="W4" s="189" t="s">
        <v>398</v>
      </c>
      <c r="X4" s="324" t="s">
        <v>781</v>
      </c>
      <c r="Y4" s="609" t="s">
        <v>782</v>
      </c>
      <c r="Z4" s="324" t="s">
        <v>834</v>
      </c>
      <c r="AA4" s="302" t="s">
        <v>452</v>
      </c>
      <c r="AB4" s="201" t="s">
        <v>461</v>
      </c>
      <c r="AC4" s="202" t="s">
        <v>456</v>
      </c>
      <c r="AD4" s="189" t="s">
        <v>993</v>
      </c>
      <c r="AE4" s="531" t="s">
        <v>994</v>
      </c>
      <c r="AF4" s="531" t="s">
        <v>1015</v>
      </c>
      <c r="AH4" s="324"/>
      <c r="AI4" s="324"/>
    </row>
    <row r="5" spans="2:35" ht="15.75" customHeight="1" x14ac:dyDescent="0.3">
      <c r="B5" s="203" t="s">
        <v>1745</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274">
        <v>75</v>
      </c>
      <c r="S5" s="274">
        <v>433</v>
      </c>
      <c r="T5" s="207">
        <f>IF(CampList[[#This Row],[HH]]&gt;0,CampList[[#This Row],[Total]]/CampList[[#This Row],[HH]],"NA")</f>
        <v>5.7733333333333334</v>
      </c>
      <c r="U5" s="199" t="s">
        <v>464</v>
      </c>
      <c r="V5" s="199" t="s">
        <v>995</v>
      </c>
      <c r="W5" s="199" t="s">
        <v>507</v>
      </c>
      <c r="X5" s="199" t="s">
        <v>742</v>
      </c>
      <c r="Y5" s="312">
        <v>40695</v>
      </c>
      <c r="Z5" s="208" t="s">
        <v>424</v>
      </c>
      <c r="AA5" s="197" t="s">
        <v>774</v>
      </c>
      <c r="AB5" s="210">
        <v>43343</v>
      </c>
      <c r="AC5" s="211" t="s">
        <v>1835</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3">
      <c r="B6" s="203" t="s">
        <v>1745</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4">
        <v>68</v>
      </c>
      <c r="S6" s="274">
        <v>298</v>
      </c>
      <c r="T6" s="207">
        <f>IF(CampList[[#This Row],[HH]]&gt;0,CampList[[#This Row],[Total]]/CampList[[#This Row],[HH]],"NA")</f>
        <v>4.382352941176471</v>
      </c>
      <c r="U6" s="199" t="s">
        <v>464</v>
      </c>
      <c r="V6" s="199" t="s">
        <v>995</v>
      </c>
      <c r="W6" s="199" t="s">
        <v>507</v>
      </c>
      <c r="X6" s="199" t="s">
        <v>742</v>
      </c>
      <c r="Y6" s="312">
        <v>40695</v>
      </c>
      <c r="Z6" s="208" t="s">
        <v>424</v>
      </c>
      <c r="AA6" s="197" t="s">
        <v>774</v>
      </c>
      <c r="AB6" s="210">
        <v>43343</v>
      </c>
      <c r="AC6" s="211" t="s">
        <v>1836</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3">
      <c r="B7" s="203" t="s">
        <v>1745</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274">
        <v>32</v>
      </c>
      <c r="S7" s="274">
        <v>177</v>
      </c>
      <c r="T7" s="207">
        <f>IF(CampList[[#This Row],[HH]]&gt;0,CampList[[#This Row],[Total]]/CampList[[#This Row],[HH]],"NA")</f>
        <v>5.53125</v>
      </c>
      <c r="U7" s="199" t="s">
        <v>464</v>
      </c>
      <c r="V7" s="199" t="s">
        <v>995</v>
      </c>
      <c r="W7" s="199" t="s">
        <v>507</v>
      </c>
      <c r="X7" s="199" t="s">
        <v>742</v>
      </c>
      <c r="Y7" s="312">
        <v>40725</v>
      </c>
      <c r="Z7" s="208" t="s">
        <v>424</v>
      </c>
      <c r="AA7" s="197" t="s">
        <v>774</v>
      </c>
      <c r="AB7" s="210">
        <v>43343</v>
      </c>
      <c r="AC7" s="211" t="s">
        <v>1837</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3">
      <c r="B8" s="203" t="s">
        <v>1745</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274">
        <v>16</v>
      </c>
      <c r="S8" s="274">
        <v>77</v>
      </c>
      <c r="T8" s="207">
        <f>IF(CampList[[#This Row],[HH]]&gt;0,CampList[[#This Row],[Total]]/CampList[[#This Row],[HH]],"NA")</f>
        <v>4.8125</v>
      </c>
      <c r="U8" s="199" t="s">
        <v>464</v>
      </c>
      <c r="V8" s="199" t="s">
        <v>995</v>
      </c>
      <c r="W8" s="199" t="s">
        <v>1574</v>
      </c>
      <c r="X8" s="199" t="s">
        <v>742</v>
      </c>
      <c r="Y8" s="312">
        <v>40756</v>
      </c>
      <c r="Z8" s="208" t="s">
        <v>1317</v>
      </c>
      <c r="AA8" s="197" t="s">
        <v>774</v>
      </c>
      <c r="AB8" s="210">
        <v>43343</v>
      </c>
      <c r="AC8" s="211" t="s">
        <v>1911</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3">
      <c r="B9" s="203" t="s">
        <v>1745</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4">
        <v>46</v>
      </c>
      <c r="S9" s="274">
        <v>242</v>
      </c>
      <c r="T9" s="207">
        <f>IF(CampList[[#This Row],[HH]]&gt;0,CampList[[#This Row],[Total]]/CampList[[#This Row],[HH]],"NA")</f>
        <v>5.2608695652173916</v>
      </c>
      <c r="U9" s="199" t="s">
        <v>464</v>
      </c>
      <c r="V9" s="199" t="s">
        <v>995</v>
      </c>
      <c r="W9" s="199" t="s">
        <v>507</v>
      </c>
      <c r="X9" s="199" t="s">
        <v>742</v>
      </c>
      <c r="Y9" s="312">
        <v>40817</v>
      </c>
      <c r="Z9" s="208" t="s">
        <v>424</v>
      </c>
      <c r="AA9" s="197" t="s">
        <v>774</v>
      </c>
      <c r="AB9" s="210">
        <v>43343</v>
      </c>
      <c r="AC9" s="211" t="s">
        <v>1838</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3">
      <c r="B10" s="203" t="s">
        <v>1745</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4">
        <v>120</v>
      </c>
      <c r="S10" s="274">
        <v>582</v>
      </c>
      <c r="T10" s="207">
        <f>IF(CampList[[#This Row],[HH]]&gt;0,CampList[[#This Row],[Total]]/CampList[[#This Row],[HH]],"NA")</f>
        <v>4.8499999999999996</v>
      </c>
      <c r="U10" s="199" t="s">
        <v>464</v>
      </c>
      <c r="V10" s="199" t="s">
        <v>995</v>
      </c>
      <c r="W10" s="199" t="s">
        <v>507</v>
      </c>
      <c r="X10" s="199" t="s">
        <v>742</v>
      </c>
      <c r="Y10" s="312">
        <v>40756</v>
      </c>
      <c r="Z10" s="208" t="s">
        <v>424</v>
      </c>
      <c r="AA10" s="197" t="s">
        <v>774</v>
      </c>
      <c r="AB10" s="210">
        <v>43343</v>
      </c>
      <c r="AC10" s="211" t="s">
        <v>1839</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3">
      <c r="B11" s="203" t="s">
        <v>1745</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4">
        <v>23</v>
      </c>
      <c r="S11" s="274">
        <v>113</v>
      </c>
      <c r="T11" s="207">
        <f>IF(CampList[[#This Row],[HH]]&gt;0,CampList[[#This Row],[Total]]/CampList[[#This Row],[HH]],"NA")</f>
        <v>4.9130434782608692</v>
      </c>
      <c r="U11" s="199" t="s">
        <v>464</v>
      </c>
      <c r="V11" s="199" t="s">
        <v>995</v>
      </c>
      <c r="W11" s="199" t="s">
        <v>507</v>
      </c>
      <c r="X11" s="199" t="s">
        <v>742</v>
      </c>
      <c r="Y11" s="312">
        <v>40909</v>
      </c>
      <c r="Z11" s="208" t="s">
        <v>462</v>
      </c>
      <c r="AA11" s="197" t="s">
        <v>774</v>
      </c>
      <c r="AB11" s="210">
        <v>43343</v>
      </c>
      <c r="AC11" s="211" t="s">
        <v>1816</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3">
      <c r="B12" s="203" t="s">
        <v>1745</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4">
        <v>103</v>
      </c>
      <c r="S12" s="274">
        <v>593</v>
      </c>
      <c r="T12" s="207">
        <f>IF(CampList[[#This Row],[HH]]&gt;0,CampList[[#This Row],[Total]]/CampList[[#This Row],[HH]],"NA")</f>
        <v>5.7572815533980579</v>
      </c>
      <c r="U12" s="199" t="s">
        <v>464</v>
      </c>
      <c r="V12" s="199" t="s">
        <v>995</v>
      </c>
      <c r="W12" s="199" t="s">
        <v>507</v>
      </c>
      <c r="X12" s="199" t="s">
        <v>742</v>
      </c>
      <c r="Y12" s="312">
        <v>40725</v>
      </c>
      <c r="Z12" s="208" t="s">
        <v>424</v>
      </c>
      <c r="AA12" s="223" t="s">
        <v>774</v>
      </c>
      <c r="AB12" s="210">
        <v>43343</v>
      </c>
      <c r="AC12" s="203" t="s">
        <v>1840</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3">
      <c r="B13" s="203" t="s">
        <v>1745</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274">
        <v>95</v>
      </c>
      <c r="S13" s="274">
        <v>546</v>
      </c>
      <c r="T13" s="207">
        <f>IF(CampList[[#This Row],[HH]]&gt;0,CampList[[#This Row],[Total]]/CampList[[#This Row],[HH]],"NA")</f>
        <v>5.7473684210526317</v>
      </c>
      <c r="U13" s="199" t="s">
        <v>464</v>
      </c>
      <c r="V13" s="199" t="s">
        <v>995</v>
      </c>
      <c r="W13" s="199" t="s">
        <v>507</v>
      </c>
      <c r="X13" s="199" t="s">
        <v>742</v>
      </c>
      <c r="Y13" s="312">
        <v>40725</v>
      </c>
      <c r="Z13" s="208" t="s">
        <v>424</v>
      </c>
      <c r="AA13" s="197" t="s">
        <v>774</v>
      </c>
      <c r="AB13" s="210">
        <v>43343</v>
      </c>
      <c r="AC13" s="211" t="s">
        <v>1841</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15.75" customHeight="1" x14ac:dyDescent="0.3">
      <c r="B14" s="203" t="s">
        <v>1745</v>
      </c>
      <c r="C14" s="197" t="s">
        <v>378</v>
      </c>
      <c r="D14" s="197" t="s">
        <v>478</v>
      </c>
      <c r="E14" s="197" t="s">
        <v>237</v>
      </c>
      <c r="F14" s="197" t="s">
        <v>484</v>
      </c>
      <c r="G14" s="197" t="s">
        <v>237</v>
      </c>
      <c r="H14" s="197" t="s">
        <v>488</v>
      </c>
      <c r="I14" s="211" t="s">
        <v>611</v>
      </c>
      <c r="J14" s="211" t="s">
        <v>612</v>
      </c>
      <c r="K14" s="211" t="s">
        <v>618</v>
      </c>
      <c r="L14" s="211" t="s">
        <v>619</v>
      </c>
      <c r="M14" s="197" t="s">
        <v>1512</v>
      </c>
      <c r="N14" s="197" t="s">
        <v>244</v>
      </c>
      <c r="O14" s="204">
        <v>97.382997575757599</v>
      </c>
      <c r="P14" s="204">
        <v>25.3959740909091</v>
      </c>
      <c r="Q14" s="205">
        <v>0</v>
      </c>
      <c r="R14" s="310">
        <v>42</v>
      </c>
      <c r="S14" s="311">
        <v>187</v>
      </c>
      <c r="T14" s="207">
        <f>IF(CampList[[#This Row],[HH]]&gt;0,CampList[[#This Row],[Total]]/CampList[[#This Row],[HH]],"NA")</f>
        <v>4.4523809523809526</v>
      </c>
      <c r="U14" s="199" t="s">
        <v>464</v>
      </c>
      <c r="V14" s="199" t="s">
        <v>995</v>
      </c>
      <c r="W14" s="199" t="s">
        <v>507</v>
      </c>
      <c r="X14" s="199" t="s">
        <v>742</v>
      </c>
      <c r="Y14" s="312">
        <v>40695</v>
      </c>
      <c r="Z14" s="208" t="s">
        <v>424</v>
      </c>
      <c r="AA14" s="198" t="s">
        <v>774</v>
      </c>
      <c r="AB14" s="210">
        <v>43343</v>
      </c>
      <c r="AC14" s="203" t="s">
        <v>1842</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customHeight="1" x14ac:dyDescent="0.3">
      <c r="B15" s="203" t="s">
        <v>1745</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4">
        <v>45</v>
      </c>
      <c r="S15" s="274">
        <v>209</v>
      </c>
      <c r="T15" s="207">
        <f>IF(CampList[[#This Row],[HH]]&gt;0,CampList[[#This Row],[Total]]/CampList[[#This Row],[HH]],"NA")</f>
        <v>4.6444444444444448</v>
      </c>
      <c r="U15" s="199" t="s">
        <v>464</v>
      </c>
      <c r="V15" s="199" t="s">
        <v>995</v>
      </c>
      <c r="W15" s="199" t="s">
        <v>507</v>
      </c>
      <c r="X15" s="199" t="s">
        <v>742</v>
      </c>
      <c r="Y15" s="312">
        <v>40909</v>
      </c>
      <c r="Z15" s="208" t="s">
        <v>424</v>
      </c>
      <c r="AA15" s="223" t="s">
        <v>774</v>
      </c>
      <c r="AB15" s="210">
        <v>43343</v>
      </c>
      <c r="AC15" s="203" t="s">
        <v>1843</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3">
      <c r="B16" s="203" t="s">
        <v>1745</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4">
        <v>138</v>
      </c>
      <c r="S16" s="274">
        <v>701</v>
      </c>
      <c r="T16" s="207">
        <f>IF(CampList[[#This Row],[HH]]&gt;0,CampList[[#This Row],[Total]]/CampList[[#This Row],[HH]],"NA")</f>
        <v>5.0797101449275361</v>
      </c>
      <c r="U16" s="199" t="s">
        <v>464</v>
      </c>
      <c r="V16" s="199" t="s">
        <v>995</v>
      </c>
      <c r="W16" s="199" t="s">
        <v>507</v>
      </c>
      <c r="X16" s="199" t="s">
        <v>742</v>
      </c>
      <c r="Y16" s="312">
        <v>40695</v>
      </c>
      <c r="Z16" s="208" t="s">
        <v>424</v>
      </c>
      <c r="AA16" s="223" t="s">
        <v>774</v>
      </c>
      <c r="AB16" s="210">
        <v>43343</v>
      </c>
      <c r="AC16" s="203" t="s">
        <v>1844</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3">
      <c r="B17" s="203" t="s">
        <v>1745</v>
      </c>
      <c r="C17" s="197" t="s">
        <v>378</v>
      </c>
      <c r="D17" s="197" t="s">
        <v>478</v>
      </c>
      <c r="E17" s="197" t="s">
        <v>237</v>
      </c>
      <c r="F17" s="197" t="s">
        <v>484</v>
      </c>
      <c r="G17" s="197" t="s">
        <v>237</v>
      </c>
      <c r="H17" s="197" t="s">
        <v>488</v>
      </c>
      <c r="I17" s="211" t="s">
        <v>611</v>
      </c>
      <c r="J17" s="211" t="s">
        <v>612</v>
      </c>
      <c r="K17" s="694" t="s">
        <v>627</v>
      </c>
      <c r="L17" s="694" t="s">
        <v>628</v>
      </c>
      <c r="M17" s="197" t="s">
        <v>258</v>
      </c>
      <c r="N17" s="197" t="s">
        <v>257</v>
      </c>
      <c r="O17" s="204">
        <v>97.4113064583333</v>
      </c>
      <c r="P17" s="204">
        <v>25.360463124999999</v>
      </c>
      <c r="Q17" s="205">
        <v>0</v>
      </c>
      <c r="R17" s="274">
        <v>62</v>
      </c>
      <c r="S17" s="274">
        <v>306</v>
      </c>
      <c r="T17" s="207">
        <f>IF(CampList[[#This Row],[HH]]&gt;0,CampList[[#This Row],[Total]]/CampList[[#This Row],[HH]],"NA")</f>
        <v>4.935483870967742</v>
      </c>
      <c r="U17" s="199" t="s">
        <v>464</v>
      </c>
      <c r="V17" s="199" t="s">
        <v>995</v>
      </c>
      <c r="W17" s="199" t="s">
        <v>507</v>
      </c>
      <c r="X17" s="199" t="s">
        <v>742</v>
      </c>
      <c r="Y17" s="312">
        <v>40756</v>
      </c>
      <c r="Z17" s="208" t="s">
        <v>424</v>
      </c>
      <c r="AA17" s="223" t="s">
        <v>774</v>
      </c>
      <c r="AB17" s="210">
        <v>43343</v>
      </c>
      <c r="AC17" s="203" t="s">
        <v>1846</v>
      </c>
      <c r="AD17" s="199" t="str">
        <f ca="1">IFERROR(OFFSET(DistanceToCamp[Nearest Town],MATCH(CampList[[#This Row],[CP_Pcode]],DistanceToCamp[CP_Pcode],0)-1,0,1,1),"")</f>
        <v>Waingmaw Town</v>
      </c>
      <c r="AE17" s="212">
        <f ca="1">IFERROR(OFFSET(DistanceToCamp[distance],MATCH(CampList[[#This Row],[CP_Pcode]],DistanceToCamp[CP_Pcode],0)-1,0,1,1),"")</f>
        <v>3.3362307375127798</v>
      </c>
      <c r="AF17" s="213">
        <f ca="1">IFERROR(INT(CampList[[#This Row],[Distance]]/5)+1,"")</f>
        <v>1</v>
      </c>
    </row>
    <row r="18" spans="2:32" ht="15.75" customHeight="1" x14ac:dyDescent="0.3">
      <c r="B18" s="203" t="s">
        <v>1745</v>
      </c>
      <c r="C18" s="197" t="s">
        <v>378</v>
      </c>
      <c r="D18" s="197" t="s">
        <v>478</v>
      </c>
      <c r="E18" s="197" t="s">
        <v>237</v>
      </c>
      <c r="F18" s="197" t="s">
        <v>484</v>
      </c>
      <c r="G18" s="197" t="s">
        <v>237</v>
      </c>
      <c r="H18" s="197" t="s">
        <v>488</v>
      </c>
      <c r="I18" s="211" t="s">
        <v>611</v>
      </c>
      <c r="J18" s="211" t="s">
        <v>612</v>
      </c>
      <c r="K18" s="695" t="s">
        <v>613</v>
      </c>
      <c r="L18" s="695"/>
      <c r="M18" s="197" t="s">
        <v>252</v>
      </c>
      <c r="N18" s="197" t="s">
        <v>251</v>
      </c>
      <c r="O18" s="232">
        <v>97.373361000000003</v>
      </c>
      <c r="P18" s="232">
        <v>25.403476999999999</v>
      </c>
      <c r="Q18" s="205">
        <v>0</v>
      </c>
      <c r="R18" s="274">
        <v>199</v>
      </c>
      <c r="S18" s="274">
        <v>1118</v>
      </c>
      <c r="T18" s="207">
        <f>IF(CampList[[#This Row],[HH]]&gt;0,CampList[[#This Row],[Total]]/CampList[[#This Row],[HH]],"NA")</f>
        <v>5.6180904522613062</v>
      </c>
      <c r="U18" s="199" t="s">
        <v>464</v>
      </c>
      <c r="V18" s="199" t="s">
        <v>995</v>
      </c>
      <c r="W18" s="199" t="s">
        <v>507</v>
      </c>
      <c r="X18" s="199" t="s">
        <v>742</v>
      </c>
      <c r="Y18" s="312">
        <v>40725</v>
      </c>
      <c r="Z18" s="208" t="s">
        <v>424</v>
      </c>
      <c r="AA18" s="223" t="s">
        <v>774</v>
      </c>
      <c r="AB18" s="210">
        <v>43343</v>
      </c>
      <c r="AC18" s="203" t="s">
        <v>1847</v>
      </c>
      <c r="AD18" s="199" t="str">
        <f ca="1">IFERROR(OFFSET(DistanceToCamp[Nearest Town],MATCH(CampList[[#This Row],[CP_Pcode]],DistanceToCamp[CP_Pcode],0)-1,0,1,1),"")</f>
        <v>Myitkyina Town</v>
      </c>
      <c r="AE18" s="212">
        <f ca="1">IFERROR(OFFSET(DistanceToCamp[distance],MATCH(CampList[[#This Row],[CP_Pcode]],DistanceToCamp[CP_Pcode],0)-1,0,1,1),"")</f>
        <v>2.4647367211404561</v>
      </c>
      <c r="AF18" s="213">
        <f ca="1">IFERROR(INT(CampList[[#This Row],[Distance]]/5)+1,"")</f>
        <v>1</v>
      </c>
    </row>
    <row r="19" spans="2:32" ht="15.75" hidden="1" customHeight="1" x14ac:dyDescent="0.3">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4"/>
      <c r="S19" s="285"/>
      <c r="T19" s="207" t="str">
        <f>IF(CampList[[#This Row],[HH]]&gt;0,CampList[[#This Row],[Total]]/CampList[[#This Row],[HH]],"NA")</f>
        <v>NA</v>
      </c>
      <c r="U19" s="199" t="s">
        <v>464</v>
      </c>
      <c r="V19" s="199" t="s">
        <v>995</v>
      </c>
      <c r="W19" s="199" t="s">
        <v>507</v>
      </c>
      <c r="X19" s="199" t="s">
        <v>742</v>
      </c>
      <c r="Y19" s="208">
        <v>40817</v>
      </c>
      <c r="Z19" s="208" t="s">
        <v>462</v>
      </c>
      <c r="AA19" s="223" t="s">
        <v>774</v>
      </c>
      <c r="AB19" s="210">
        <v>42180</v>
      </c>
      <c r="AC19" s="203" t="s">
        <v>1047</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3">
      <c r="B20" s="203" t="s">
        <v>1745</v>
      </c>
      <c r="C20" s="198" t="s">
        <v>378</v>
      </c>
      <c r="D20" s="198" t="s">
        <v>478</v>
      </c>
      <c r="E20" s="198" t="s">
        <v>237</v>
      </c>
      <c r="F20" s="198" t="s">
        <v>484</v>
      </c>
      <c r="G20" s="198" t="s">
        <v>237</v>
      </c>
      <c r="H20" s="198" t="s">
        <v>488</v>
      </c>
      <c r="I20" s="198" t="s">
        <v>611</v>
      </c>
      <c r="J20" s="216" t="s">
        <v>612</v>
      </c>
      <c r="K20" s="198" t="s">
        <v>613</v>
      </c>
      <c r="L20" s="198"/>
      <c r="M20" s="198" t="s">
        <v>254</v>
      </c>
      <c r="N20" s="198" t="s">
        <v>253</v>
      </c>
      <c r="O20" s="206">
        <v>97.379594999999995</v>
      </c>
      <c r="P20" s="206">
        <v>25.401061110000001</v>
      </c>
      <c r="Q20" s="217"/>
      <c r="R20" s="274">
        <v>117</v>
      </c>
      <c r="S20" s="274">
        <v>575</v>
      </c>
      <c r="T20" s="207">
        <f>IF(CampList[[#This Row],[HH]]&gt;0,CampList[[#This Row],[Total]]/CampList[[#This Row],[HH]],"NA")</f>
        <v>4.9145299145299148</v>
      </c>
      <c r="U20" s="183" t="s">
        <v>464</v>
      </c>
      <c r="V20" s="199" t="s">
        <v>995</v>
      </c>
      <c r="W20" s="183" t="s">
        <v>507</v>
      </c>
      <c r="X20" s="183" t="s">
        <v>742</v>
      </c>
      <c r="Y20" s="313">
        <v>40725</v>
      </c>
      <c r="Z20" s="217" t="s">
        <v>936</v>
      </c>
      <c r="AA20" s="198" t="s">
        <v>774</v>
      </c>
      <c r="AB20" s="210">
        <v>43343</v>
      </c>
      <c r="AC20" s="219" t="s">
        <v>1798</v>
      </c>
      <c r="AD20" s="220" t="str">
        <f ca="1">IFERROR(OFFSET(DistanceToCamp[Nearest Town],MATCH(CampList[[#This Row],[CP_Pcode]],DistanceToCamp[CP_Pcode],0)-1,0,1,1),"")</f>
        <v>Myitkyina Town</v>
      </c>
      <c r="AE20" s="212">
        <f ca="1">IFERROR(OFFSET(DistanceToCamp[distance],MATCH(CampList[[#This Row],[CP_Pcode]],DistanceToCamp[CP_Pcode],0)-1,0,1,1),"")</f>
        <v>1.8563710010113432</v>
      </c>
      <c r="AF20" s="221">
        <f ca="1">IFERROR(INT(CampList[[#This Row],[Distance]]/5)+1,"")</f>
        <v>1</v>
      </c>
    </row>
    <row r="21" spans="2:32" ht="15.75" customHeight="1" x14ac:dyDescent="0.3">
      <c r="B21" s="203" t="s">
        <v>1745</v>
      </c>
      <c r="C21" s="197" t="s">
        <v>378</v>
      </c>
      <c r="D21" s="197" t="s">
        <v>478</v>
      </c>
      <c r="E21" s="197" t="s">
        <v>237</v>
      </c>
      <c r="F21" s="197" t="s">
        <v>484</v>
      </c>
      <c r="G21" s="197" t="s">
        <v>237</v>
      </c>
      <c r="H21" s="197" t="s">
        <v>488</v>
      </c>
      <c r="I21" s="211" t="s">
        <v>588</v>
      </c>
      <c r="J21" s="211" t="s">
        <v>589</v>
      </c>
      <c r="K21" s="211" t="s">
        <v>588</v>
      </c>
      <c r="L21" s="211">
        <v>165698</v>
      </c>
      <c r="M21" s="197" t="s">
        <v>262</v>
      </c>
      <c r="N21" s="197" t="s">
        <v>261</v>
      </c>
      <c r="O21" s="204">
        <v>97.2843958974359</v>
      </c>
      <c r="P21" s="204">
        <v>25.374343974359</v>
      </c>
      <c r="Q21" s="205">
        <v>0</v>
      </c>
      <c r="R21" s="274">
        <v>22</v>
      </c>
      <c r="S21" s="274">
        <v>92</v>
      </c>
      <c r="T21" s="207">
        <f>IF(CampList[[#This Row],[HH]]&gt;0,CampList[[#This Row],[Total]]/CampList[[#This Row],[HH]],"NA")</f>
        <v>4.1818181818181817</v>
      </c>
      <c r="U21" s="199" t="s">
        <v>464</v>
      </c>
      <c r="V21" s="199" t="s">
        <v>995</v>
      </c>
      <c r="W21" s="199" t="s">
        <v>507</v>
      </c>
      <c r="X21" s="199" t="s">
        <v>784</v>
      </c>
      <c r="Y21" s="312">
        <v>40817</v>
      </c>
      <c r="Z21" s="676" t="s">
        <v>462</v>
      </c>
      <c r="AA21" s="223" t="s">
        <v>774</v>
      </c>
      <c r="AB21" s="210">
        <v>43343</v>
      </c>
      <c r="AC21" s="203" t="s">
        <v>1817</v>
      </c>
      <c r="AD21" s="199" t="str">
        <f ca="1">IFERROR(OFFSET(DistanceToCamp[Nearest Town],MATCH(CampList[[#This Row],[CP_Pcode]],DistanceToCamp[CP_Pcode],0)-1,0,1,1),"")</f>
        <v>Myitkyina Town</v>
      </c>
      <c r="AE21" s="212">
        <f ca="1">IFERROR(OFFSET(DistanceToCamp[distance],MATCH(CampList[[#This Row],[CP_Pcode]],DistanceToCamp[CP_Pcode],0)-1,0,1,1),"")</f>
        <v>10.744749696609457</v>
      </c>
      <c r="AF21" s="213">
        <f ca="1">IFERROR(INT(CampList[[#This Row],[Distance]]/5)+1,"")</f>
        <v>3</v>
      </c>
    </row>
    <row r="22" spans="2:32" ht="15.75" customHeight="1" x14ac:dyDescent="0.3">
      <c r="B22" s="203" t="s">
        <v>1745</v>
      </c>
      <c r="C22" s="197" t="s">
        <v>378</v>
      </c>
      <c r="D22" s="197" t="s">
        <v>478</v>
      </c>
      <c r="E22" s="197" t="s">
        <v>237</v>
      </c>
      <c r="F22" s="197" t="s">
        <v>484</v>
      </c>
      <c r="G22" s="197" t="s">
        <v>237</v>
      </c>
      <c r="H22" s="197" t="s">
        <v>488</v>
      </c>
      <c r="I22" s="211" t="s">
        <v>588</v>
      </c>
      <c r="J22" s="211" t="s">
        <v>589</v>
      </c>
      <c r="K22" s="211" t="s">
        <v>588</v>
      </c>
      <c r="L22" s="211">
        <v>165698</v>
      </c>
      <c r="M22" s="197" t="s">
        <v>264</v>
      </c>
      <c r="N22" s="197" t="s">
        <v>263</v>
      </c>
      <c r="O22" s="204">
        <v>97.290952037037002</v>
      </c>
      <c r="P22" s="204">
        <v>25.371049444444399</v>
      </c>
      <c r="Q22" s="205">
        <v>476</v>
      </c>
      <c r="R22" s="274">
        <v>21</v>
      </c>
      <c r="S22" s="274">
        <v>121</v>
      </c>
      <c r="T22" s="207">
        <f>IF(CampList[[#This Row],[HH]]&gt;0,CampList[[#This Row],[Total]]/CampList[[#This Row],[HH]],"NA")</f>
        <v>5.7619047619047619</v>
      </c>
      <c r="U22" s="199" t="s">
        <v>464</v>
      </c>
      <c r="V22" s="199" t="s">
        <v>995</v>
      </c>
      <c r="W22" s="199" t="s">
        <v>507</v>
      </c>
      <c r="X22" s="199" t="s">
        <v>784</v>
      </c>
      <c r="Y22" s="312">
        <v>40817</v>
      </c>
      <c r="Z22" s="208" t="s">
        <v>462</v>
      </c>
      <c r="AA22" s="223" t="s">
        <v>774</v>
      </c>
      <c r="AB22" s="210">
        <v>43343</v>
      </c>
      <c r="AC22" s="203" t="s">
        <v>1818</v>
      </c>
      <c r="AD22" s="199" t="str">
        <f ca="1">IFERROR(OFFSET(DistanceToCamp[Nearest Town],MATCH(CampList[[#This Row],[CP_Pcode]],DistanceToCamp[CP_Pcode],0)-1,0,1,1),"")</f>
        <v>Myitkyina Town</v>
      </c>
      <c r="AE22" s="212">
        <f ca="1">IFERROR(OFFSET(DistanceToCamp[distance],MATCH(CampList[[#This Row],[CP_Pcode]],DistanceToCamp[CP_Pcode],0)-1,0,1,1),"")</f>
        <v>10.15228229456989</v>
      </c>
      <c r="AF22" s="213">
        <f ca="1">IFERROR(INT(CampList[[#This Row],[Distance]]/5)+1,"")</f>
        <v>3</v>
      </c>
    </row>
    <row r="23" spans="2:32" ht="15.75" customHeight="1" x14ac:dyDescent="0.3">
      <c r="B23" s="203" t="s">
        <v>1745</v>
      </c>
      <c r="C23" s="197" t="s">
        <v>378</v>
      </c>
      <c r="D23" s="197" t="s">
        <v>478</v>
      </c>
      <c r="E23" s="197" t="s">
        <v>237</v>
      </c>
      <c r="F23" s="197" t="s">
        <v>484</v>
      </c>
      <c r="G23" s="197" t="s">
        <v>237</v>
      </c>
      <c r="H23" s="197" t="s">
        <v>488</v>
      </c>
      <c r="I23" s="197" t="s">
        <v>611</v>
      </c>
      <c r="J23" s="197" t="s">
        <v>612</v>
      </c>
      <c r="K23" s="197" t="s">
        <v>616</v>
      </c>
      <c r="L23" s="197" t="s">
        <v>617</v>
      </c>
      <c r="M23" s="197" t="s">
        <v>1031</v>
      </c>
      <c r="N23" s="197" t="s">
        <v>241</v>
      </c>
      <c r="O23" s="204">
        <v>97.379987</v>
      </c>
      <c r="P23" s="204">
        <v>25.423209</v>
      </c>
      <c r="Q23" s="205">
        <v>0</v>
      </c>
      <c r="R23" s="274">
        <v>55</v>
      </c>
      <c r="S23" s="274">
        <v>262</v>
      </c>
      <c r="T23" s="207">
        <f>IF(CampList[[#This Row],[HH]]&gt;0,CampList[[#This Row],[Total]]/CampList[[#This Row],[HH]],"NA")</f>
        <v>4.7636363636363637</v>
      </c>
      <c r="U23" s="199" t="s">
        <v>464</v>
      </c>
      <c r="V23" s="199" t="s">
        <v>995</v>
      </c>
      <c r="W23" s="199" t="s">
        <v>507</v>
      </c>
      <c r="X23" s="199" t="s">
        <v>742</v>
      </c>
      <c r="Y23" s="312">
        <v>41000</v>
      </c>
      <c r="Z23" s="208" t="s">
        <v>462</v>
      </c>
      <c r="AA23" s="197" t="s">
        <v>774</v>
      </c>
      <c r="AB23" s="210">
        <v>43343</v>
      </c>
      <c r="AC23" s="211" t="s">
        <v>1819</v>
      </c>
      <c r="AD23" s="199" t="str">
        <f ca="1">IFERROR(OFFSET(DistanceToCamp[Nearest Town],MATCH(CampList[[#This Row],[CP_Pcode]],DistanceToCamp[CP_Pcode],0)-1,0,1,1),"")</f>
        <v>Myitkyina Town</v>
      </c>
      <c r="AE23" s="212">
        <f ca="1">IFERROR(OFFSET(DistanceToCamp[distance],MATCH(CampList[[#This Row],[CP_Pcode]],DistanceToCamp[CP_Pcode],0)-1,0,1,1),"")</f>
        <v>2.6190942927115026</v>
      </c>
      <c r="AF23" s="213">
        <f ca="1">IFERROR(INT(CampList[[#This Row],[Distance]]/5)+1,"")</f>
        <v>1</v>
      </c>
    </row>
    <row r="24" spans="2:32" ht="15.75" hidden="1" customHeight="1" x14ac:dyDescent="0.3">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4">
        <v>7</v>
      </c>
      <c r="S24" s="274">
        <v>37</v>
      </c>
      <c r="T24" s="207">
        <f>IF(CampList[[#This Row],[HH]]&gt;0,CampList[[#This Row],[Total]]/CampList[[#This Row],[HH]],"NA")</f>
        <v>5.2857142857142856</v>
      </c>
      <c r="U24" s="199" t="s">
        <v>464</v>
      </c>
      <c r="V24" s="199" t="s">
        <v>995</v>
      </c>
      <c r="W24" s="199" t="s">
        <v>507</v>
      </c>
      <c r="X24" s="199" t="s">
        <v>742</v>
      </c>
      <c r="Y24" s="312">
        <v>41000</v>
      </c>
      <c r="Z24" s="208" t="s">
        <v>462</v>
      </c>
      <c r="AA24" s="197" t="s">
        <v>774</v>
      </c>
      <c r="AB24" s="210">
        <v>42915</v>
      </c>
      <c r="AC24" s="211" t="s">
        <v>1513</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3">
      <c r="B25" s="203" t="s">
        <v>1745</v>
      </c>
      <c r="C25" s="198" t="s">
        <v>378</v>
      </c>
      <c r="D25" s="198" t="s">
        <v>478</v>
      </c>
      <c r="E25" s="198" t="s">
        <v>237</v>
      </c>
      <c r="F25" s="198" t="s">
        <v>484</v>
      </c>
      <c r="G25" s="198" t="s">
        <v>237</v>
      </c>
      <c r="H25" s="198" t="s">
        <v>488</v>
      </c>
      <c r="I25" s="198" t="s">
        <v>609</v>
      </c>
      <c r="J25" s="216" t="s">
        <v>610</v>
      </c>
      <c r="K25" s="198" t="s">
        <v>609</v>
      </c>
      <c r="L25" s="198">
        <v>165695</v>
      </c>
      <c r="M25" s="198" t="s">
        <v>270</v>
      </c>
      <c r="N25" s="198" t="s">
        <v>269</v>
      </c>
      <c r="O25" s="206">
        <v>97.359320179999997</v>
      </c>
      <c r="P25" s="206">
        <v>25.410569299999999</v>
      </c>
      <c r="Q25" s="217"/>
      <c r="R25" s="274">
        <v>59</v>
      </c>
      <c r="S25" s="274">
        <v>314</v>
      </c>
      <c r="T25" s="207">
        <f>IF(CampList[[#This Row],[HH]]&gt;0,CampList[[#This Row],[Total]]/CampList[[#This Row],[HH]],"NA")</f>
        <v>5.3220338983050848</v>
      </c>
      <c r="U25" s="183" t="s">
        <v>464</v>
      </c>
      <c r="V25" s="199" t="s">
        <v>995</v>
      </c>
      <c r="W25" s="183" t="s">
        <v>507</v>
      </c>
      <c r="X25" s="183" t="s">
        <v>742</v>
      </c>
      <c r="Y25" s="313">
        <v>40909</v>
      </c>
      <c r="Z25" s="217" t="s">
        <v>936</v>
      </c>
      <c r="AA25" s="198" t="s">
        <v>774</v>
      </c>
      <c r="AB25" s="210">
        <v>43343</v>
      </c>
      <c r="AC25" s="219" t="s">
        <v>1799</v>
      </c>
      <c r="AD25" s="220" t="str">
        <f ca="1">IFERROR(OFFSET(DistanceToCamp[Nearest Town],MATCH(CampList[[#This Row],[CP_Pcode]],DistanceToCamp[CP_Pcode],0)-1,0,1,1),"")</f>
        <v>Myitkyina Town</v>
      </c>
      <c r="AE25" s="212">
        <f ca="1">IFERROR(OFFSET(DistanceToCamp[distance],MATCH(CampList[[#This Row],[CP_Pcode]],DistanceToCamp[CP_Pcode],0)-1,0,1,1),"")</f>
        <v>4.037940696665812</v>
      </c>
      <c r="AF25" s="221">
        <f ca="1">IFERROR(INT(CampList[[#This Row],[Distance]]/5)+1,"")</f>
        <v>1</v>
      </c>
    </row>
    <row r="26" spans="2:32" ht="15.75" customHeight="1" x14ac:dyDescent="0.3">
      <c r="B26" s="203" t="s">
        <v>1745</v>
      </c>
      <c r="C26" s="197" t="s">
        <v>378</v>
      </c>
      <c r="D26" s="197" t="s">
        <v>478</v>
      </c>
      <c r="E26" s="197" t="s">
        <v>237</v>
      </c>
      <c r="F26" s="197" t="s">
        <v>484</v>
      </c>
      <c r="G26" s="197" t="s">
        <v>309</v>
      </c>
      <c r="H26" s="197" t="s">
        <v>485</v>
      </c>
      <c r="I26" s="197" t="s">
        <v>635</v>
      </c>
      <c r="J26" s="197" t="s">
        <v>636</v>
      </c>
      <c r="K26" s="197" t="s">
        <v>656</v>
      </c>
      <c r="L26" s="197" t="s">
        <v>657</v>
      </c>
      <c r="M26" s="197" t="s">
        <v>340</v>
      </c>
      <c r="N26" s="197" t="s">
        <v>339</v>
      </c>
      <c r="O26" s="204">
        <v>97.438432380952406</v>
      </c>
      <c r="P26" s="204">
        <v>25.351724999999998</v>
      </c>
      <c r="Q26" s="205">
        <v>0</v>
      </c>
      <c r="R26" s="274">
        <v>66</v>
      </c>
      <c r="S26" s="274">
        <v>338</v>
      </c>
      <c r="T26" s="207">
        <f>IF(CampList[[#This Row],[HH]]&gt;0,CampList[[#This Row],[Total]]/CampList[[#This Row],[HH]],"NA")</f>
        <v>5.1212121212121211</v>
      </c>
      <c r="U26" s="199" t="s">
        <v>464</v>
      </c>
      <c r="V26" s="199" t="s">
        <v>995</v>
      </c>
      <c r="W26" s="199" t="s">
        <v>507</v>
      </c>
      <c r="X26" s="199" t="s">
        <v>742</v>
      </c>
      <c r="Y26" s="312">
        <v>40695</v>
      </c>
      <c r="Z26" s="676" t="s">
        <v>424</v>
      </c>
      <c r="AA26" s="197" t="s">
        <v>774</v>
      </c>
      <c r="AB26" s="210">
        <v>43343</v>
      </c>
      <c r="AC26" s="211" t="s">
        <v>1848</v>
      </c>
      <c r="AD26" s="199" t="str">
        <f ca="1">IFERROR(OFFSET(DistanceToCamp[Nearest Town],MATCH(CampList[[#This Row],[CP_Pcode]],DistanceToCamp[CP_Pcode],0)-1,0,1,1),"")</f>
        <v>Waingmaw Town</v>
      </c>
      <c r="AE26" s="212">
        <f ca="1">IFERROR(OFFSET(DistanceToCamp[distance],MATCH(CampList[[#This Row],[CP_Pcode]],DistanceToCamp[CP_Pcode],0)-1,0,1,1),"")</f>
        <v>0.4474205416025816</v>
      </c>
      <c r="AF26" s="213">
        <f ca="1">IFERROR(INT(CampList[[#This Row],[Distance]]/5)+1,"")</f>
        <v>1</v>
      </c>
    </row>
    <row r="27" spans="2:32" ht="15.75" customHeight="1" x14ac:dyDescent="0.3">
      <c r="B27" s="203" t="s">
        <v>1745</v>
      </c>
      <c r="C27" s="197" t="s">
        <v>378</v>
      </c>
      <c r="D27" s="197" t="s">
        <v>478</v>
      </c>
      <c r="E27" s="197" t="s">
        <v>237</v>
      </c>
      <c r="F27" s="197" t="s">
        <v>484</v>
      </c>
      <c r="G27" s="197" t="s">
        <v>309</v>
      </c>
      <c r="H27" s="197" t="s">
        <v>485</v>
      </c>
      <c r="I27" s="197" t="s">
        <v>659</v>
      </c>
      <c r="J27" s="197" t="s">
        <v>660</v>
      </c>
      <c r="K27" s="197" t="s">
        <v>661</v>
      </c>
      <c r="L27" s="197">
        <v>165730</v>
      </c>
      <c r="M27" s="197" t="s">
        <v>319</v>
      </c>
      <c r="N27" s="197" t="s">
        <v>318</v>
      </c>
      <c r="O27" s="204">
        <v>97.451965000000001</v>
      </c>
      <c r="P27" s="204">
        <v>25.356632000000001</v>
      </c>
      <c r="Q27" s="205">
        <v>0</v>
      </c>
      <c r="R27" s="274">
        <v>31</v>
      </c>
      <c r="S27" s="274">
        <v>181</v>
      </c>
      <c r="T27" s="207">
        <f>IF(CampList[[#This Row],[HH]]&gt;0,CampList[[#This Row],[Total]]/CampList[[#This Row],[HH]],"NA")</f>
        <v>5.838709677419355</v>
      </c>
      <c r="U27" s="199" t="s">
        <v>464</v>
      </c>
      <c r="V27" s="199" t="s">
        <v>995</v>
      </c>
      <c r="W27" s="199" t="s">
        <v>507</v>
      </c>
      <c r="X27" s="199" t="s">
        <v>742</v>
      </c>
      <c r="Y27" s="312">
        <v>41030</v>
      </c>
      <c r="Z27" s="676" t="s">
        <v>424</v>
      </c>
      <c r="AA27" s="223" t="s">
        <v>774</v>
      </c>
      <c r="AB27" s="210">
        <v>43343</v>
      </c>
      <c r="AC27" s="203" t="s">
        <v>1849</v>
      </c>
      <c r="AD27" s="199" t="str">
        <f ca="1">IFERROR(OFFSET(DistanceToCamp[Nearest Town],MATCH(CampList[[#This Row],[CP_Pcode]],DistanceToCamp[CP_Pcode],0)-1,0,1,1),"")</f>
        <v>Waingmaw Town</v>
      </c>
      <c r="AE27" s="212">
        <f ca="1">IFERROR(OFFSET(DistanceToCamp[distance],MATCH(CampList[[#This Row],[CP_Pcode]],DistanceToCamp[CP_Pcode],0)-1,0,1,1),"")</f>
        <v>1.1134935940025397</v>
      </c>
      <c r="AF27" s="213">
        <f ca="1">IFERROR(INT(CampList[[#This Row],[Distance]]/5)+1,"")</f>
        <v>1</v>
      </c>
    </row>
    <row r="28" spans="2:32" ht="15.75" hidden="1" customHeight="1" x14ac:dyDescent="0.3">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4">
        <v>92</v>
      </c>
      <c r="S28" s="274">
        <v>505</v>
      </c>
      <c r="T28" s="207">
        <f>IF(CampList[[#This Row],[HH]]&gt;0,CampList[[#This Row],[Total]]/CampList[[#This Row],[HH]],"NA")</f>
        <v>5.4891304347826084</v>
      </c>
      <c r="U28" s="199" t="s">
        <v>464</v>
      </c>
      <c r="V28" s="199" t="s">
        <v>995</v>
      </c>
      <c r="W28" s="199" t="s">
        <v>507</v>
      </c>
      <c r="X28" s="199" t="s">
        <v>742</v>
      </c>
      <c r="Y28" s="312">
        <v>40940</v>
      </c>
      <c r="Z28" s="208" t="s">
        <v>462</v>
      </c>
      <c r="AA28" s="197" t="s">
        <v>774</v>
      </c>
      <c r="AB28" s="210">
        <v>43281</v>
      </c>
      <c r="AC28" s="211" t="s">
        <v>1723</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3">
      <c r="B29" s="203" t="s">
        <v>1745</v>
      </c>
      <c r="C29" s="197" t="s">
        <v>378</v>
      </c>
      <c r="D29" s="197" t="s">
        <v>478</v>
      </c>
      <c r="E29" s="197" t="s">
        <v>237</v>
      </c>
      <c r="F29" s="197" t="s">
        <v>484</v>
      </c>
      <c r="G29" s="197" t="s">
        <v>309</v>
      </c>
      <c r="H29" s="197" t="s">
        <v>485</v>
      </c>
      <c r="I29" s="197" t="s">
        <v>564</v>
      </c>
      <c r="J29" s="197" t="s">
        <v>565</v>
      </c>
      <c r="K29" s="197" t="s">
        <v>564</v>
      </c>
      <c r="L29" s="197">
        <v>165735</v>
      </c>
      <c r="M29" s="197" t="s">
        <v>312</v>
      </c>
      <c r="N29" s="197" t="s">
        <v>311</v>
      </c>
      <c r="O29" s="204">
        <v>97.404195925926004</v>
      </c>
      <c r="P29" s="204">
        <v>25.321710740740698</v>
      </c>
      <c r="Q29" s="205">
        <v>0</v>
      </c>
      <c r="R29" s="274">
        <v>92</v>
      </c>
      <c r="S29" s="274">
        <v>447</v>
      </c>
      <c r="T29" s="207">
        <f>IF(CampList[[#This Row],[HH]]&gt;0,CampList[[#This Row],[Total]]/CampList[[#This Row],[HH]],"NA")</f>
        <v>4.8586956521739131</v>
      </c>
      <c r="U29" s="199" t="s">
        <v>464</v>
      </c>
      <c r="V29" s="199" t="s">
        <v>995</v>
      </c>
      <c r="W29" s="199" t="s">
        <v>507</v>
      </c>
      <c r="X29" s="199" t="s">
        <v>784</v>
      </c>
      <c r="Y29" s="312">
        <v>40695</v>
      </c>
      <c r="Z29" s="208" t="s">
        <v>462</v>
      </c>
      <c r="AA29" s="223" t="s">
        <v>774</v>
      </c>
      <c r="AB29" s="210">
        <v>43343</v>
      </c>
      <c r="AC29" s="203" t="s">
        <v>1820</v>
      </c>
      <c r="AD29" s="199" t="str">
        <f ca="1">IFERROR(OFFSET(DistanceToCamp[Nearest Town],MATCH(CampList[[#This Row],[CP_Pcode]],DistanceToCamp[CP_Pcode],0)-1,0,1,1),"")</f>
        <v>Waingmaw Town</v>
      </c>
      <c r="AE29" s="212">
        <f ca="1">IFERROR(OFFSET(DistanceToCamp[distance],MATCH(CampList[[#This Row],[CP_Pcode]],DistanceToCamp[CP_Pcode],0)-1,0,1,1),"")</f>
        <v>5.0655036329811631</v>
      </c>
      <c r="AF29" s="213">
        <f ca="1">IFERROR(INT(CampList[[#This Row],[Distance]]/5)+1,"")</f>
        <v>2</v>
      </c>
    </row>
    <row r="30" spans="2:32" ht="15.75" customHeight="1" x14ac:dyDescent="0.3">
      <c r="B30" s="203" t="s">
        <v>1745</v>
      </c>
      <c r="C30" s="198" t="s">
        <v>378</v>
      </c>
      <c r="D30" s="198" t="s">
        <v>478</v>
      </c>
      <c r="E30" s="198" t="s">
        <v>237</v>
      </c>
      <c r="F30" s="198" t="s">
        <v>484</v>
      </c>
      <c r="G30" s="198" t="s">
        <v>309</v>
      </c>
      <c r="H30" s="198" t="s">
        <v>485</v>
      </c>
      <c r="I30" s="198" t="s">
        <v>633</v>
      </c>
      <c r="J30" s="216" t="s">
        <v>634</v>
      </c>
      <c r="K30" s="198" t="s">
        <v>633</v>
      </c>
      <c r="L30" s="198">
        <v>165740</v>
      </c>
      <c r="M30" s="198" t="s">
        <v>329</v>
      </c>
      <c r="N30" s="198" t="s">
        <v>328</v>
      </c>
      <c r="O30" s="206">
        <v>97.437782499999997</v>
      </c>
      <c r="P30" s="206">
        <v>25.415667500000001</v>
      </c>
      <c r="Q30" s="217"/>
      <c r="R30" s="274">
        <v>335</v>
      </c>
      <c r="S30" s="274">
        <v>1774</v>
      </c>
      <c r="T30" s="207">
        <f>IF(CampList[[#This Row],[HH]]&gt;0,CampList[[#This Row],[Total]]/CampList[[#This Row],[HH]],"NA")</f>
        <v>5.2955223880597018</v>
      </c>
      <c r="U30" s="183" t="s">
        <v>464</v>
      </c>
      <c r="V30" s="199" t="s">
        <v>995</v>
      </c>
      <c r="W30" s="183" t="s">
        <v>507</v>
      </c>
      <c r="X30" s="183" t="s">
        <v>742</v>
      </c>
      <c r="Y30" s="313">
        <v>41426</v>
      </c>
      <c r="Z30" s="217" t="s">
        <v>936</v>
      </c>
      <c r="AA30" s="198" t="s">
        <v>774</v>
      </c>
      <c r="AB30" s="210">
        <v>43343</v>
      </c>
      <c r="AC30" s="219" t="s">
        <v>1800</v>
      </c>
      <c r="AD30" s="220" t="str">
        <f ca="1">IFERROR(OFFSET(DistanceToCamp[Nearest Town],MATCH(CampList[[#This Row],[CP_Pcode]],DistanceToCamp[CP_Pcode],0)-1,0,1,1),"")</f>
        <v>Myitkyina Town</v>
      </c>
      <c r="AE30" s="212">
        <f ca="1">IFERROR(OFFSET(DistanceToCamp[distance],MATCH(CampList[[#This Row],[CP_Pcode]],DistanceToCamp[CP_Pcode],0)-1,0,1,1),"")</f>
        <v>5.7019834469756479</v>
      </c>
      <c r="AF30" s="221">
        <f ca="1">IFERROR(INT(CampList[[#This Row],[Distance]]/5)+1,"")</f>
        <v>2</v>
      </c>
    </row>
    <row r="31" spans="2:32" ht="15.75" customHeight="1" x14ac:dyDescent="0.3">
      <c r="B31" s="203" t="s">
        <v>1745</v>
      </c>
      <c r="C31" s="197" t="s">
        <v>378</v>
      </c>
      <c r="D31" s="197" t="s">
        <v>478</v>
      </c>
      <c r="E31" s="197" t="s">
        <v>237</v>
      </c>
      <c r="F31" s="197" t="s">
        <v>484</v>
      </c>
      <c r="G31" s="197" t="s">
        <v>309</v>
      </c>
      <c r="H31" s="197" t="s">
        <v>485</v>
      </c>
      <c r="I31" s="197" t="s">
        <v>635</v>
      </c>
      <c r="J31" s="197" t="s">
        <v>636</v>
      </c>
      <c r="K31" s="197" t="s">
        <v>654</v>
      </c>
      <c r="L31" s="197" t="s">
        <v>655</v>
      </c>
      <c r="M31" s="197" t="s">
        <v>337</v>
      </c>
      <c r="N31" s="197" t="s">
        <v>336</v>
      </c>
      <c r="O31" s="204">
        <v>97.437472666666693</v>
      </c>
      <c r="P31" s="204">
        <v>25.345918166666699</v>
      </c>
      <c r="Q31" s="205"/>
      <c r="R31" s="274">
        <v>35</v>
      </c>
      <c r="S31" s="274">
        <v>185</v>
      </c>
      <c r="T31" s="207">
        <f>IF(CampList[[#This Row],[HH]]&gt;0,CampList[[#This Row],[Total]]/CampList[[#This Row],[HH]],"NA")</f>
        <v>5.2857142857142856</v>
      </c>
      <c r="U31" s="199" t="s">
        <v>464</v>
      </c>
      <c r="V31" s="199" t="s">
        <v>995</v>
      </c>
      <c r="W31" s="199" t="s">
        <v>507</v>
      </c>
      <c r="X31" s="199" t="s">
        <v>742</v>
      </c>
      <c r="Y31" s="312">
        <v>40695</v>
      </c>
      <c r="Z31" s="676" t="s">
        <v>462</v>
      </c>
      <c r="AA31" s="197" t="s">
        <v>774</v>
      </c>
      <c r="AB31" s="210">
        <v>43343</v>
      </c>
      <c r="AC31" s="211" t="s">
        <v>1818</v>
      </c>
      <c r="AD31" s="199" t="str">
        <f ca="1">IFERROR(OFFSET(DistanceToCamp[Nearest Town],MATCH(CampList[[#This Row],[CP_Pcode]],DistanceToCamp[CP_Pcode],0)-1,0,1,1),"")</f>
        <v>Waingmaw Town</v>
      </c>
      <c r="AE31" s="212">
        <f ca="1">IFERROR(OFFSET(DistanceToCamp[distance],MATCH(CampList[[#This Row],[CP_Pcode]],DistanceToCamp[CP_Pcode],0)-1,0,1,1),"")</f>
        <v>0.77827912736780092</v>
      </c>
      <c r="AF31" s="213">
        <f ca="1">IFERROR(INT(CampList[[#This Row],[Distance]]/5)+1,"")</f>
        <v>1</v>
      </c>
    </row>
    <row r="32" spans="2:32" ht="15.75" customHeight="1" x14ac:dyDescent="0.3">
      <c r="B32" s="203" t="s">
        <v>1745</v>
      </c>
      <c r="C32" s="197" t="s">
        <v>378</v>
      </c>
      <c r="D32" s="197" t="s">
        <v>478</v>
      </c>
      <c r="E32" s="197" t="s">
        <v>237</v>
      </c>
      <c r="F32" s="197" t="s">
        <v>484</v>
      </c>
      <c r="G32" s="197" t="s">
        <v>309</v>
      </c>
      <c r="H32" s="197" t="s">
        <v>485</v>
      </c>
      <c r="I32" s="197" t="s">
        <v>633</v>
      </c>
      <c r="J32" s="197" t="s">
        <v>634</v>
      </c>
      <c r="K32" s="197" t="s">
        <v>633</v>
      </c>
      <c r="L32" s="197">
        <v>165740</v>
      </c>
      <c r="M32" s="197" t="s">
        <v>327</v>
      </c>
      <c r="N32" s="197" t="s">
        <v>326</v>
      </c>
      <c r="O32" s="204">
        <v>97.433419259259296</v>
      </c>
      <c r="P32" s="204">
        <v>25.424529444444399</v>
      </c>
      <c r="Q32" s="205">
        <v>0</v>
      </c>
      <c r="R32" s="274">
        <v>347</v>
      </c>
      <c r="S32" s="274">
        <v>2039</v>
      </c>
      <c r="T32" s="207">
        <f>IF(CampList[[#This Row],[HH]]&gt;0,CampList[[#This Row],[Total]]/CampList[[#This Row],[HH]],"NA")</f>
        <v>5.8760806916426516</v>
      </c>
      <c r="U32" s="199" t="s">
        <v>464</v>
      </c>
      <c r="V32" s="199" t="s">
        <v>995</v>
      </c>
      <c r="W32" s="199" t="s">
        <v>507</v>
      </c>
      <c r="X32" s="199" t="s">
        <v>784</v>
      </c>
      <c r="Y32" s="312">
        <v>41456</v>
      </c>
      <c r="Z32" s="676" t="s">
        <v>462</v>
      </c>
      <c r="AA32" s="223" t="s">
        <v>774</v>
      </c>
      <c r="AB32" s="210">
        <v>43343</v>
      </c>
      <c r="AC32" s="203" t="s">
        <v>1821</v>
      </c>
      <c r="AD32" s="199" t="str">
        <f ca="1">IFERROR(OFFSET(DistanceToCamp[Nearest Town],MATCH(CampList[[#This Row],[CP_Pcode]],DistanceToCamp[CP_Pcode],0)-1,0,1,1),"")</f>
        <v>Myitkyina Town</v>
      </c>
      <c r="AE32" s="212">
        <f ca="1">IFERROR(OFFSET(DistanceToCamp[distance],MATCH(CampList[[#This Row],[CP_Pcode]],DistanceToCamp[CP_Pcode],0)-1,0,1,1),"")</f>
        <v>5.9727739497559158</v>
      </c>
      <c r="AF32" s="213">
        <f ca="1">IFERROR(INT(CampList[[#This Row],[Distance]]/5)+1,"")</f>
        <v>2</v>
      </c>
    </row>
    <row r="33" spans="2:32" ht="15.75" customHeight="1" x14ac:dyDescent="0.3">
      <c r="B33" s="203" t="s">
        <v>1745</v>
      </c>
      <c r="C33" s="197" t="s">
        <v>378</v>
      </c>
      <c r="D33" s="197" t="s">
        <v>478</v>
      </c>
      <c r="E33" s="197" t="s">
        <v>237</v>
      </c>
      <c r="F33" s="197" t="s">
        <v>484</v>
      </c>
      <c r="G33" s="197" t="s">
        <v>309</v>
      </c>
      <c r="H33" s="197" t="s">
        <v>485</v>
      </c>
      <c r="I33" s="197" t="s">
        <v>635</v>
      </c>
      <c r="J33" s="197" t="s">
        <v>636</v>
      </c>
      <c r="K33" s="197" t="s">
        <v>656</v>
      </c>
      <c r="L33" s="197" t="s">
        <v>657</v>
      </c>
      <c r="M33" s="197" t="s">
        <v>317</v>
      </c>
      <c r="N33" s="197" t="s">
        <v>316</v>
      </c>
      <c r="O33" s="204">
        <v>97.441166388888902</v>
      </c>
      <c r="P33" s="204">
        <v>25.3540362037037</v>
      </c>
      <c r="Q33" s="205">
        <v>0</v>
      </c>
      <c r="R33" s="274">
        <v>122</v>
      </c>
      <c r="S33" s="274">
        <v>515</v>
      </c>
      <c r="T33" s="207">
        <f>IF(CampList[[#This Row],[HH]]&gt;0,CampList[[#This Row],[Total]]/CampList[[#This Row],[HH]],"NA")</f>
        <v>4.221311475409836</v>
      </c>
      <c r="U33" s="199" t="s">
        <v>464</v>
      </c>
      <c r="V33" s="199" t="s">
        <v>995</v>
      </c>
      <c r="W33" s="199" t="s">
        <v>507</v>
      </c>
      <c r="X33" s="199" t="s">
        <v>742</v>
      </c>
      <c r="Y33" s="312">
        <v>40725</v>
      </c>
      <c r="Z33" s="208" t="s">
        <v>462</v>
      </c>
      <c r="AA33" s="197" t="s">
        <v>774</v>
      </c>
      <c r="AB33" s="210">
        <v>43343</v>
      </c>
      <c r="AC33" s="211" t="s">
        <v>1822</v>
      </c>
      <c r="AD33" s="199" t="str">
        <f ca="1">IFERROR(OFFSET(DistanceToCamp[Nearest Town],MATCH(CampList[[#This Row],[CP_Pcode]],DistanceToCamp[CP_Pcode],0)-1,0,1,1),"")</f>
        <v>Waingmaw Town</v>
      </c>
      <c r="AE33" s="212">
        <f ca="1">IFERROR(OFFSET(DistanceToCamp[distance],MATCH(CampList[[#This Row],[CP_Pcode]],DistanceToCamp[CP_Pcode],0)-1,0,1,1),"")</f>
        <v>0.37684287609457234</v>
      </c>
      <c r="AF33" s="213">
        <f ca="1">IFERROR(INT(CampList[[#This Row],[Distance]]/5)+1,"")</f>
        <v>1</v>
      </c>
    </row>
    <row r="34" spans="2:32" ht="15.75" customHeight="1" x14ac:dyDescent="0.3">
      <c r="B34" s="203" t="s">
        <v>1745</v>
      </c>
      <c r="C34" s="197" t="s">
        <v>378</v>
      </c>
      <c r="D34" s="197" t="s">
        <v>478</v>
      </c>
      <c r="E34" s="197" t="s">
        <v>237</v>
      </c>
      <c r="F34" s="197" t="s">
        <v>484</v>
      </c>
      <c r="G34" s="197" t="s">
        <v>309</v>
      </c>
      <c r="H34" s="197" t="s">
        <v>485</v>
      </c>
      <c r="I34" s="197" t="s">
        <v>961</v>
      </c>
      <c r="J34" s="197" t="s">
        <v>1037</v>
      </c>
      <c r="K34" s="197" t="s">
        <v>606</v>
      </c>
      <c r="L34" s="197">
        <v>165745</v>
      </c>
      <c r="M34" s="197" t="s">
        <v>342</v>
      </c>
      <c r="N34" s="197" t="s">
        <v>341</v>
      </c>
      <c r="O34" s="204">
        <v>97.345039</v>
      </c>
      <c r="P34" s="204">
        <v>25.351965</v>
      </c>
      <c r="Q34" s="205"/>
      <c r="R34" s="274">
        <v>20</v>
      </c>
      <c r="S34" s="274">
        <v>86</v>
      </c>
      <c r="T34" s="207">
        <f>IF(CampList[[#This Row],[HH]]&gt;0,CampList[[#This Row],[Total]]/CampList[[#This Row],[HH]],"NA")</f>
        <v>4.3</v>
      </c>
      <c r="U34" s="199" t="s">
        <v>464</v>
      </c>
      <c r="V34" s="199" t="s">
        <v>995</v>
      </c>
      <c r="W34" s="199" t="s">
        <v>507</v>
      </c>
      <c r="X34" s="199" t="s">
        <v>784</v>
      </c>
      <c r="Y34" s="312">
        <v>41030</v>
      </c>
      <c r="Z34" s="208" t="s">
        <v>462</v>
      </c>
      <c r="AA34" s="197" t="s">
        <v>774</v>
      </c>
      <c r="AB34" s="210">
        <v>43343</v>
      </c>
      <c r="AC34" s="211" t="s">
        <v>1823</v>
      </c>
      <c r="AD34" s="199" t="str">
        <f ca="1">IFERROR(OFFSET(DistanceToCamp[Nearest Town],MATCH(CampList[[#This Row],[CP_Pcode]],DistanceToCamp[CP_Pcode],0)-1,0,1,1),"")</f>
        <v>Myitkyina Town</v>
      </c>
      <c r="AE34" s="212">
        <f ca="1">IFERROR(OFFSET(DistanceToCamp[distance],MATCH(CampList[[#This Row],[CP_Pcode]],DistanceToCamp[CP_Pcode],0)-1,0,1,1),"")</f>
        <v>6.0275881703713861</v>
      </c>
      <c r="AF34" s="213">
        <f ca="1">IFERROR(INT(CampList[[#This Row],[Distance]]/5)+1,"")</f>
        <v>2</v>
      </c>
    </row>
    <row r="35" spans="2:32" ht="15.75" customHeight="1" x14ac:dyDescent="0.3">
      <c r="B35" s="203" t="s">
        <v>1745</v>
      </c>
      <c r="C35" s="197" t="s">
        <v>378</v>
      </c>
      <c r="D35" s="197" t="s">
        <v>478</v>
      </c>
      <c r="E35" s="197" t="s">
        <v>237</v>
      </c>
      <c r="F35" s="197" t="s">
        <v>484</v>
      </c>
      <c r="G35" s="197" t="s">
        <v>309</v>
      </c>
      <c r="H35" s="197" t="s">
        <v>485</v>
      </c>
      <c r="I35" s="197" t="s">
        <v>635</v>
      </c>
      <c r="J35" s="197" t="s">
        <v>636</v>
      </c>
      <c r="K35" s="197" t="s">
        <v>637</v>
      </c>
      <c r="L35" s="197" t="s">
        <v>638</v>
      </c>
      <c r="M35" s="197" t="s">
        <v>347</v>
      </c>
      <c r="N35" s="197" t="s">
        <v>346</v>
      </c>
      <c r="O35" s="204">
        <v>97.428251153846105</v>
      </c>
      <c r="P35" s="204">
        <v>25.333683333333301</v>
      </c>
      <c r="Q35" s="205"/>
      <c r="R35" s="274">
        <v>45</v>
      </c>
      <c r="S35" s="274">
        <v>187</v>
      </c>
      <c r="T35" s="207">
        <f>IF(CampList[[#This Row],[HH]]&gt;0,CampList[[#This Row],[Total]]/CampList[[#This Row],[HH]],"NA")</f>
        <v>4.1555555555555559</v>
      </c>
      <c r="U35" s="199" t="s">
        <v>464</v>
      </c>
      <c r="V35" s="199" t="s">
        <v>995</v>
      </c>
      <c r="W35" s="199" t="s">
        <v>507</v>
      </c>
      <c r="X35" s="199" t="s">
        <v>742</v>
      </c>
      <c r="Y35" s="312">
        <v>40848</v>
      </c>
      <c r="Z35" s="208" t="s">
        <v>462</v>
      </c>
      <c r="AA35" s="197" t="s">
        <v>774</v>
      </c>
      <c r="AB35" s="210">
        <v>43343</v>
      </c>
      <c r="AC35" s="211" t="s">
        <v>1824</v>
      </c>
      <c r="AD35" s="199" t="str">
        <f ca="1">IFERROR(OFFSET(DistanceToCamp[Nearest Town],MATCH(CampList[[#This Row],[CP_Pcode]],DistanceToCamp[CP_Pcode],0)-1,0,1,1),"")</f>
        <v>Waingmaw Town</v>
      </c>
      <c r="AE35" s="212">
        <f ca="1">IFERROR(OFFSET(DistanceToCamp[distance],MATCH(CampList[[#This Row],[CP_Pcode]],DistanceToCamp[CP_Pcode],0)-1,0,1,1),"")</f>
        <v>2.4174307716662291</v>
      </c>
      <c r="AF35" s="213">
        <f ca="1">IFERROR(INT(CampList[[#This Row],[Distance]]/5)+1,"")</f>
        <v>1</v>
      </c>
    </row>
    <row r="36" spans="2:32" ht="15.75" hidden="1" customHeight="1" x14ac:dyDescent="0.3">
      <c r="B36" s="203" t="s">
        <v>775</v>
      </c>
      <c r="C36" s="197" t="s">
        <v>378</v>
      </c>
      <c r="D36" s="197" t="s">
        <v>478</v>
      </c>
      <c r="E36" s="197" t="s">
        <v>237</v>
      </c>
      <c r="F36" s="197" t="s">
        <v>484</v>
      </c>
      <c r="G36" s="197" t="s">
        <v>309</v>
      </c>
      <c r="H36" s="197" t="s">
        <v>485</v>
      </c>
      <c r="I36" s="211" t="s">
        <v>689</v>
      </c>
      <c r="J36" s="211" t="s">
        <v>690</v>
      </c>
      <c r="K36" s="211" t="s">
        <v>689</v>
      </c>
      <c r="L36" s="211">
        <v>165750</v>
      </c>
      <c r="M36" s="197" t="s">
        <v>1034</v>
      </c>
      <c r="N36" s="197" t="s">
        <v>358</v>
      </c>
      <c r="O36" s="204"/>
      <c r="P36" s="204"/>
      <c r="Q36" s="217"/>
      <c r="R36" s="284"/>
      <c r="S36" s="285"/>
      <c r="T36" s="207" t="str">
        <f>IF(CampList[[#This Row],[HH]]&gt;0,CampList[[#This Row],[Total]]/CampList[[#This Row],[HH]],"NA")</f>
        <v>NA</v>
      </c>
      <c r="U36" s="199" t="s">
        <v>464</v>
      </c>
      <c r="V36" s="199" t="s">
        <v>995</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3">
      <c r="B37" s="203" t="s">
        <v>775</v>
      </c>
      <c r="C37" s="197" t="s">
        <v>378</v>
      </c>
      <c r="D37" s="197" t="s">
        <v>478</v>
      </c>
      <c r="E37" s="197" t="s">
        <v>237</v>
      </c>
      <c r="F37" s="197" t="s">
        <v>484</v>
      </c>
      <c r="G37" s="197" t="s">
        <v>309</v>
      </c>
      <c r="H37" s="197" t="s">
        <v>485</v>
      </c>
      <c r="I37" s="211" t="s">
        <v>564</v>
      </c>
      <c r="J37" s="197" t="s">
        <v>565</v>
      </c>
      <c r="K37" s="211" t="s">
        <v>564</v>
      </c>
      <c r="L37" s="211">
        <v>165735</v>
      </c>
      <c r="M37" s="197" t="s">
        <v>1033</v>
      </c>
      <c r="N37" s="197" t="s">
        <v>357</v>
      </c>
      <c r="O37" s="204">
        <v>97.421104</v>
      </c>
      <c r="P37" s="204">
        <v>25.328987000000001</v>
      </c>
      <c r="Q37" s="217"/>
      <c r="R37" s="284"/>
      <c r="S37" s="285"/>
      <c r="T37" s="207" t="str">
        <f>IF(CampList[[#This Row],[HH]]&gt;0,CampList[[#This Row],[Total]]/CampList[[#This Row],[HH]],"NA")</f>
        <v>NA</v>
      </c>
      <c r="U37" s="199" t="s">
        <v>464</v>
      </c>
      <c r="V37" s="199" t="s">
        <v>995</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3">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995</v>
      </c>
      <c r="W38" s="199" t="s">
        <v>849</v>
      </c>
      <c r="X38" s="199" t="s">
        <v>742</v>
      </c>
      <c r="Y38" s="676">
        <v>40848</v>
      </c>
      <c r="Z38" s="676" t="s">
        <v>424</v>
      </c>
      <c r="AA38" s="197" t="s">
        <v>774</v>
      </c>
      <c r="AB38" s="210">
        <v>42432</v>
      </c>
      <c r="AC38" s="211" t="s">
        <v>1087</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3">
      <c r="B39" s="203" t="s">
        <v>1745</v>
      </c>
      <c r="C39" s="197" t="s">
        <v>378</v>
      </c>
      <c r="D39" s="197" t="s">
        <v>478</v>
      </c>
      <c r="E39" s="197" t="s">
        <v>237</v>
      </c>
      <c r="F39" s="197" t="s">
        <v>484</v>
      </c>
      <c r="G39" s="197" t="s">
        <v>309</v>
      </c>
      <c r="H39" s="197" t="s">
        <v>485</v>
      </c>
      <c r="I39" s="197" t="s">
        <v>635</v>
      </c>
      <c r="J39" s="197" t="s">
        <v>636</v>
      </c>
      <c r="K39" s="197" t="s">
        <v>654</v>
      </c>
      <c r="L39" s="197" t="s">
        <v>655</v>
      </c>
      <c r="M39" s="197" t="s">
        <v>315</v>
      </c>
      <c r="N39" s="197" t="s">
        <v>314</v>
      </c>
      <c r="O39" s="204">
        <v>97.444283730158702</v>
      </c>
      <c r="P39" s="204">
        <v>25.351250396825399</v>
      </c>
      <c r="Q39" s="205">
        <v>476</v>
      </c>
      <c r="R39" s="274">
        <v>66</v>
      </c>
      <c r="S39" s="274">
        <v>274</v>
      </c>
      <c r="T39" s="207">
        <f>IF(CampList[[#This Row],[HH]]&gt;0,CampList[[#This Row],[Total]]/CampList[[#This Row],[HH]],"NA")</f>
        <v>4.1515151515151514</v>
      </c>
      <c r="U39" s="199" t="s">
        <v>464</v>
      </c>
      <c r="V39" s="199" t="s">
        <v>995</v>
      </c>
      <c r="W39" s="199" t="s">
        <v>507</v>
      </c>
      <c r="X39" s="199" t="s">
        <v>742</v>
      </c>
      <c r="Y39" s="312">
        <v>40848</v>
      </c>
      <c r="Z39" s="676" t="s">
        <v>462</v>
      </c>
      <c r="AA39" s="197" t="s">
        <v>774</v>
      </c>
      <c r="AB39" s="210">
        <v>43343</v>
      </c>
      <c r="AC39" s="211" t="s">
        <v>1824</v>
      </c>
      <c r="AD39" s="199" t="str">
        <f ca="1">IFERROR(OFFSET(DistanceToCamp[Nearest Town],MATCH(CampList[[#This Row],[CP_Pcode]],DistanceToCamp[CP_Pcode],0)-1,0,1,1),"")</f>
        <v>Waingmaw Town</v>
      </c>
      <c r="AE39" s="212">
        <f ca="1">IFERROR(OFFSET(DistanceToCamp[distance],MATCH(CampList[[#This Row],[CP_Pcode]],DistanceToCamp[CP_Pcode],0)-1,0,1,1),"")</f>
        <v>0.15089472113650237</v>
      </c>
      <c r="AF39" s="213">
        <f ca="1">IFERROR(INT(CampList[[#This Row],[Distance]]/5)+1,"")</f>
        <v>1</v>
      </c>
    </row>
    <row r="40" spans="2:32" ht="15.75" customHeight="1" x14ac:dyDescent="0.3">
      <c r="B40" s="203" t="s">
        <v>1745</v>
      </c>
      <c r="C40" s="197" t="s">
        <v>378</v>
      </c>
      <c r="D40" s="197" t="s">
        <v>478</v>
      </c>
      <c r="E40" s="197" t="s">
        <v>237</v>
      </c>
      <c r="F40" s="197" t="s">
        <v>484</v>
      </c>
      <c r="G40" s="197" t="s">
        <v>27</v>
      </c>
      <c r="H40" s="197" t="s">
        <v>487</v>
      </c>
      <c r="I40" s="197" t="s">
        <v>731</v>
      </c>
      <c r="J40" s="197" t="s">
        <v>732</v>
      </c>
      <c r="K40" s="197" t="s">
        <v>1095</v>
      </c>
      <c r="L40" s="215" t="s">
        <v>1094</v>
      </c>
      <c r="M40" s="197" t="s">
        <v>28</v>
      </c>
      <c r="N40" s="197" t="s">
        <v>30</v>
      </c>
      <c r="O40" s="204">
        <v>98.131550000000004</v>
      </c>
      <c r="P40" s="204">
        <v>25.889410000000002</v>
      </c>
      <c r="Q40" s="205">
        <v>304</v>
      </c>
      <c r="R40" s="274">
        <v>161</v>
      </c>
      <c r="S40" s="274">
        <v>799</v>
      </c>
      <c r="T40" s="207">
        <f>IF(CampList[[#This Row],[HH]]&gt;0,CampList[[#This Row],[Total]]/CampList[[#This Row],[HH]],"NA")</f>
        <v>4.9627329192546581</v>
      </c>
      <c r="U40" s="199" t="s">
        <v>464</v>
      </c>
      <c r="V40" s="199" t="s">
        <v>995</v>
      </c>
      <c r="W40" s="199" t="s">
        <v>507</v>
      </c>
      <c r="X40" s="199" t="s">
        <v>742</v>
      </c>
      <c r="Y40" s="312">
        <v>41244</v>
      </c>
      <c r="Z40" s="208" t="s">
        <v>462</v>
      </c>
      <c r="AA40" s="223" t="s">
        <v>774</v>
      </c>
      <c r="AB40" s="210">
        <v>43343</v>
      </c>
      <c r="AC40" s="203" t="s">
        <v>1825</v>
      </c>
      <c r="AD40" s="199" t="str">
        <f ca="1">IFERROR(OFFSET(DistanceToCamp[Nearest Town],MATCH(CampList[[#This Row],[CP_Pcode]],DistanceToCamp[CP_Pcode],0)-1,0,1,1),"")</f>
        <v>Chipwi Town</v>
      </c>
      <c r="AE40" s="212">
        <f ca="1">IFERROR(OFFSET(DistanceToCamp[distance],MATCH(CampList[[#This Row],[CP_Pcode]],DistanceToCamp[CP_Pcode],0)-1,0,1,1),"")</f>
        <v>0.15809623370782155</v>
      </c>
      <c r="AF40" s="213">
        <f ca="1">IFERROR(INT(CampList[[#This Row],[Distance]]/5)+1,"")</f>
        <v>1</v>
      </c>
    </row>
    <row r="41" spans="2:32" ht="15.75" customHeight="1" x14ac:dyDescent="0.3">
      <c r="B41" s="203" t="s">
        <v>1745</v>
      </c>
      <c r="C41" s="197" t="s">
        <v>378</v>
      </c>
      <c r="D41" s="197" t="s">
        <v>478</v>
      </c>
      <c r="E41" s="197" t="s">
        <v>5</v>
      </c>
      <c r="F41" s="197" t="s">
        <v>482</v>
      </c>
      <c r="G41" s="197" t="s">
        <v>5</v>
      </c>
      <c r="H41" s="197" t="s">
        <v>483</v>
      </c>
      <c r="I41" s="211" t="s">
        <v>1090</v>
      </c>
      <c r="J41" s="211" t="s">
        <v>1091</v>
      </c>
      <c r="K41" s="211" t="s">
        <v>1090</v>
      </c>
      <c r="L41" s="222">
        <v>166836</v>
      </c>
      <c r="M41" s="197" t="s">
        <v>18</v>
      </c>
      <c r="N41" s="197" t="s">
        <v>17</v>
      </c>
      <c r="O41" s="204">
        <v>97.240183461538507</v>
      </c>
      <c r="P41" s="204">
        <v>24.2631743589744</v>
      </c>
      <c r="Q41" s="205">
        <v>0</v>
      </c>
      <c r="R41" s="274">
        <v>132</v>
      </c>
      <c r="S41" s="274">
        <v>774</v>
      </c>
      <c r="T41" s="207">
        <f>IF(CampList[[#This Row],[HH]]&gt;0,CampList[[#This Row],[Total]]/CampList[[#This Row],[HH]],"NA")</f>
        <v>5.8636363636363633</v>
      </c>
      <c r="U41" s="199" t="s">
        <v>464</v>
      </c>
      <c r="V41" s="199" t="s">
        <v>995</v>
      </c>
      <c r="W41" s="199" t="s">
        <v>507</v>
      </c>
      <c r="X41" s="199" t="s">
        <v>742</v>
      </c>
      <c r="Y41" s="312">
        <v>40695</v>
      </c>
      <c r="Z41" s="208" t="s">
        <v>462</v>
      </c>
      <c r="AA41" s="223" t="s">
        <v>774</v>
      </c>
      <c r="AB41" s="210">
        <v>43343</v>
      </c>
      <c r="AC41" s="203" t="s">
        <v>1826</v>
      </c>
      <c r="AD41" s="199" t="str">
        <f ca="1">IFERROR(OFFSET(DistanceToCamp[Nearest Town],MATCH(CampList[[#This Row],[CP_Pcode]],DistanceToCamp[CP_Pcode],0)-1,0,1,1),"")</f>
        <v>Bhamo Town</v>
      </c>
      <c r="AE41" s="212">
        <f ca="1">IFERROR(OFFSET(DistanceToCamp[distance],MATCH(CampList[[#This Row],[CP_Pcode]],DistanceToCamp[CP_Pcode],0)-1,0,1,1),"")</f>
        <v>1.0876401420946245</v>
      </c>
      <c r="AF41" s="213">
        <f ca="1">IFERROR(INT(CampList[[#This Row],[Distance]]/5)+1,"")</f>
        <v>1</v>
      </c>
    </row>
    <row r="42" spans="2:32" ht="15.75" customHeight="1" x14ac:dyDescent="0.3">
      <c r="B42" s="203" t="s">
        <v>1745</v>
      </c>
      <c r="C42" s="198" t="s">
        <v>378</v>
      </c>
      <c r="D42" s="198" t="s">
        <v>478</v>
      </c>
      <c r="E42" s="198" t="s">
        <v>5</v>
      </c>
      <c r="F42" s="198" t="s">
        <v>482</v>
      </c>
      <c r="G42" s="198" t="s">
        <v>5</v>
      </c>
      <c r="H42" s="198" t="s">
        <v>483</v>
      </c>
      <c r="I42" s="198" t="s">
        <v>1090</v>
      </c>
      <c r="J42" s="216" t="s">
        <v>1091</v>
      </c>
      <c r="K42" s="198" t="s">
        <v>1090</v>
      </c>
      <c r="L42" s="198">
        <v>166836</v>
      </c>
      <c r="M42" s="198" t="s">
        <v>6</v>
      </c>
      <c r="N42" s="198" t="s">
        <v>4</v>
      </c>
      <c r="O42" s="206">
        <v>97.238829999999993</v>
      </c>
      <c r="P42" s="206">
        <v>24.260719999999999</v>
      </c>
      <c r="Q42" s="217"/>
      <c r="R42" s="206">
        <v>235</v>
      </c>
      <c r="S42" s="206">
        <v>1161</v>
      </c>
      <c r="T42" s="207">
        <f>IF(CampList[[#This Row],[HH]]&gt;0,CampList[[#This Row],[Total]]/CampList[[#This Row],[HH]],"NA")</f>
        <v>4.9404255319148938</v>
      </c>
      <c r="U42" s="183" t="s">
        <v>464</v>
      </c>
      <c r="V42" s="199" t="s">
        <v>995</v>
      </c>
      <c r="W42" s="183" t="s">
        <v>507</v>
      </c>
      <c r="X42" s="183" t="s">
        <v>742</v>
      </c>
      <c r="Y42" s="313">
        <v>40848</v>
      </c>
      <c r="Z42" s="217" t="s">
        <v>935</v>
      </c>
      <c r="AA42" s="198" t="s">
        <v>774</v>
      </c>
      <c r="AB42" s="210">
        <v>43343</v>
      </c>
      <c r="AC42" s="219" t="s">
        <v>1779</v>
      </c>
      <c r="AD42" s="220" t="str">
        <f ca="1">IFERROR(OFFSET(DistanceToCamp[Nearest Town],MATCH(CampList[[#This Row],[CP_Pcode]],DistanceToCamp[CP_Pcode],0)-1,0,1,1),"")</f>
        <v>Bhamo Town</v>
      </c>
      <c r="AE42" s="212">
        <f ca="1">IFERROR(OFFSET(DistanceToCamp[distance],MATCH(CampList[[#This Row],[CP_Pcode]],DistanceToCamp[CP_Pcode],0)-1,0,1,1),"")</f>
        <v>0.78440046838596356</v>
      </c>
      <c r="AF42" s="221">
        <f ca="1">IFERROR(INT(CampList[[#This Row],[Distance]]/5)+1,"")</f>
        <v>1</v>
      </c>
    </row>
    <row r="43" spans="2:32" ht="15.75" customHeight="1" x14ac:dyDescent="0.3">
      <c r="B43" s="203" t="s">
        <v>1745</v>
      </c>
      <c r="C43" s="197" t="s">
        <v>378</v>
      </c>
      <c r="D43" s="197" t="s">
        <v>478</v>
      </c>
      <c r="E43" s="197" t="s">
        <v>5</v>
      </c>
      <c r="F43" s="197" t="s">
        <v>482</v>
      </c>
      <c r="G43" s="197" t="s">
        <v>5</v>
      </c>
      <c r="H43" s="197" t="s">
        <v>483</v>
      </c>
      <c r="I43" s="211" t="s">
        <v>577</v>
      </c>
      <c r="J43" s="211" t="s">
        <v>578</v>
      </c>
      <c r="K43" s="211" t="s">
        <v>583</v>
      </c>
      <c r="L43" s="211" t="s">
        <v>584</v>
      </c>
      <c r="M43" s="197" t="s">
        <v>8</v>
      </c>
      <c r="N43" s="197" t="s">
        <v>7</v>
      </c>
      <c r="O43" s="204">
        <v>97.234200000000001</v>
      </c>
      <c r="P43" s="204">
        <v>24.253067000000001</v>
      </c>
      <c r="Q43" s="205">
        <v>0</v>
      </c>
      <c r="R43" s="274">
        <v>14</v>
      </c>
      <c r="S43" s="274">
        <v>57</v>
      </c>
      <c r="T43" s="207">
        <f>IF(CampList[[#This Row],[HH]]&gt;0,CampList[[#This Row],[Total]]/CampList[[#This Row],[HH]],"NA")</f>
        <v>4.0714285714285712</v>
      </c>
      <c r="U43" s="199" t="s">
        <v>464</v>
      </c>
      <c r="V43" s="199" t="s">
        <v>995</v>
      </c>
      <c r="W43" s="199" t="s">
        <v>507</v>
      </c>
      <c r="X43" s="199" t="s">
        <v>742</v>
      </c>
      <c r="Y43" s="312">
        <v>41183</v>
      </c>
      <c r="Z43" s="208" t="s">
        <v>462</v>
      </c>
      <c r="AA43" s="223" t="s">
        <v>774</v>
      </c>
      <c r="AB43" s="210">
        <v>43343</v>
      </c>
      <c r="AC43" s="203" t="s">
        <v>1827</v>
      </c>
      <c r="AD43" s="199" t="str">
        <f ca="1">IFERROR(OFFSET(DistanceToCamp[Nearest Town],MATCH(CampList[[#This Row],[CP_Pcode]],DistanceToCamp[CP_Pcode],0)-1,0,1,1),"")</f>
        <v>Bhamo Town</v>
      </c>
      <c r="AE43" s="212">
        <f ca="1">IFERROR(OFFSET(DistanceToCamp[distance],MATCH(CampList[[#This Row],[CP_Pcode]],DistanceToCamp[CP_Pcode],0)-1,0,1,1),"")</f>
        <v>0.20824727902294948</v>
      </c>
      <c r="AF43" s="213">
        <f ca="1">IFERROR(INT(CampList[[#This Row],[Distance]]/5)+1,"")</f>
        <v>1</v>
      </c>
    </row>
    <row r="44" spans="2:32" ht="15.75" customHeight="1" x14ac:dyDescent="0.3">
      <c r="B44" s="203" t="s">
        <v>1745</v>
      </c>
      <c r="C44" s="197" t="s">
        <v>378</v>
      </c>
      <c r="D44" s="197" t="s">
        <v>478</v>
      </c>
      <c r="E44" s="197" t="s">
        <v>5</v>
      </c>
      <c r="F44" s="197" t="s">
        <v>482</v>
      </c>
      <c r="G44" s="197" t="s">
        <v>5</v>
      </c>
      <c r="H44" s="197" t="s">
        <v>483</v>
      </c>
      <c r="I44" s="211" t="s">
        <v>577</v>
      </c>
      <c r="J44" s="211" t="s">
        <v>578</v>
      </c>
      <c r="K44" s="211" t="s">
        <v>583</v>
      </c>
      <c r="L44" s="211" t="s">
        <v>584</v>
      </c>
      <c r="M44" s="197" t="s">
        <v>14</v>
      </c>
      <c r="N44" s="197" t="s">
        <v>13</v>
      </c>
      <c r="O44" s="204">
        <v>97.236919999999998</v>
      </c>
      <c r="P44" s="204">
        <v>24.24766</v>
      </c>
      <c r="Q44" s="205">
        <v>0</v>
      </c>
      <c r="R44" s="274">
        <v>41</v>
      </c>
      <c r="S44" s="274">
        <v>225</v>
      </c>
      <c r="T44" s="207">
        <f>IF(CampList[[#This Row],[HH]]&gt;0,CampList[[#This Row],[Total]]/CampList[[#This Row],[HH]],"NA")</f>
        <v>5.4878048780487809</v>
      </c>
      <c r="U44" s="199" t="s">
        <v>464</v>
      </c>
      <c r="V44" s="199" t="s">
        <v>995</v>
      </c>
      <c r="W44" s="199" t="s">
        <v>507</v>
      </c>
      <c r="X44" s="199" t="s">
        <v>742</v>
      </c>
      <c r="Y44" s="312">
        <v>40878</v>
      </c>
      <c r="Z44" s="208" t="s">
        <v>424</v>
      </c>
      <c r="AA44" s="223" t="s">
        <v>774</v>
      </c>
      <c r="AB44" s="210">
        <v>43343</v>
      </c>
      <c r="AC44" s="203" t="s">
        <v>1855</v>
      </c>
      <c r="AD44" s="199" t="str">
        <f ca="1">IFERROR(OFFSET(DistanceToCamp[Nearest Town],MATCH(CampList[[#This Row],[CP_Pcode]],DistanceToCamp[CP_Pcode],0)-1,0,1,1),"")</f>
        <v>Bhamo Town</v>
      </c>
      <c r="AE44" s="212">
        <f ca="1">IFERROR(OFFSET(DistanceToCamp[distance],MATCH(CampList[[#This Row],[CP_Pcode]],DistanceToCamp[CP_Pcode],0)-1,0,1,1),"")</f>
        <v>0.84749304721635399</v>
      </c>
      <c r="AF44" s="213">
        <f ca="1">IFERROR(INT(CampList[[#This Row],[Distance]]/5)+1,"")</f>
        <v>1</v>
      </c>
    </row>
    <row r="45" spans="2:32" ht="15.75" customHeight="1" x14ac:dyDescent="0.3">
      <c r="B45" s="203" t="s">
        <v>1745</v>
      </c>
      <c r="C45" s="197" t="s">
        <v>378</v>
      </c>
      <c r="D45" s="197" t="s">
        <v>478</v>
      </c>
      <c r="E45" s="197" t="s">
        <v>5</v>
      </c>
      <c r="F45" s="197" t="s">
        <v>482</v>
      </c>
      <c r="G45" s="197" t="s">
        <v>5</v>
      </c>
      <c r="H45" s="197" t="s">
        <v>483</v>
      </c>
      <c r="I45" s="211" t="s">
        <v>585</v>
      </c>
      <c r="J45" s="211" t="s">
        <v>586</v>
      </c>
      <c r="K45" s="197" t="s">
        <v>585</v>
      </c>
      <c r="L45" s="216">
        <v>166851</v>
      </c>
      <c r="M45" s="197" t="s">
        <v>26</v>
      </c>
      <c r="N45" s="197" t="s">
        <v>25</v>
      </c>
      <c r="O45" s="204">
        <v>97.240639999999999</v>
      </c>
      <c r="P45" s="204">
        <v>24.24953</v>
      </c>
      <c r="Q45" s="205">
        <v>0</v>
      </c>
      <c r="R45" s="274">
        <v>13</v>
      </c>
      <c r="S45" s="274">
        <v>63</v>
      </c>
      <c r="T45" s="207">
        <f>IF(CampList[[#This Row],[HH]]&gt;0,CampList[[#This Row],[Total]]/CampList[[#This Row],[HH]],"NA")</f>
        <v>4.8461538461538458</v>
      </c>
      <c r="U45" s="199" t="s">
        <v>464</v>
      </c>
      <c r="V45" s="199" t="s">
        <v>995</v>
      </c>
      <c r="W45" s="199" t="s">
        <v>507</v>
      </c>
      <c r="X45" s="199" t="s">
        <v>742</v>
      </c>
      <c r="Y45" s="312">
        <v>41122</v>
      </c>
      <c r="Z45" s="208" t="s">
        <v>462</v>
      </c>
      <c r="AA45" s="197" t="s">
        <v>774</v>
      </c>
      <c r="AB45" s="210">
        <v>43343</v>
      </c>
      <c r="AC45" s="211" t="s">
        <v>1828</v>
      </c>
      <c r="AD45" s="199" t="str">
        <f ca="1">IFERROR(OFFSET(DistanceToCamp[Nearest Town],MATCH(CampList[[#This Row],[CP_Pcode]],DistanceToCamp[CP_Pcode],0)-1,0,1,1),"")</f>
        <v>Bhamo Town</v>
      </c>
      <c r="AE45" s="212">
        <f ca="1">IFERROR(OFFSET(DistanceToCamp[distance],MATCH(CampList[[#This Row],[CP_Pcode]],DistanceToCamp[CP_Pcode],0)-1,0,1,1),"")</f>
        <v>0.87147615879849294</v>
      </c>
      <c r="AF45" s="213">
        <f ca="1">IFERROR(INT(CampList[[#This Row],[Distance]]/5)+1,"")</f>
        <v>1</v>
      </c>
    </row>
    <row r="46" spans="2:32" ht="15.75" hidden="1" customHeight="1" x14ac:dyDescent="0.3">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4"/>
      <c r="S46" s="285"/>
      <c r="T46" s="207" t="str">
        <f>IF(CampList[[#This Row],[HH]]&gt;0,CampList[[#This Row],[Total]]/CampList[[#This Row],[HH]],"NA")</f>
        <v>NA</v>
      </c>
      <c r="U46" s="199" t="s">
        <v>464</v>
      </c>
      <c r="V46" s="199" t="s">
        <v>995</v>
      </c>
      <c r="W46" s="199" t="s">
        <v>507</v>
      </c>
      <c r="X46" s="199"/>
      <c r="Y46" s="218"/>
      <c r="Z46" s="209"/>
      <c r="AA46" s="303"/>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3">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10"/>
      <c r="S47" s="311"/>
      <c r="T47" s="207" t="str">
        <f>IF(CampList[[#This Row],[HH]]&gt;0,CampList[[#This Row],[Total]]/CampList[[#This Row],[HH]],"NA")</f>
        <v>NA</v>
      </c>
      <c r="U47" s="199" t="s">
        <v>464</v>
      </c>
      <c r="V47" s="199" t="s">
        <v>995</v>
      </c>
      <c r="W47" s="227" t="s">
        <v>12</v>
      </c>
      <c r="X47" s="199" t="s">
        <v>784</v>
      </c>
      <c r="Y47" s="313"/>
      <c r="Z47" s="209"/>
      <c r="AA47" s="303" t="s">
        <v>774</v>
      </c>
      <c r="AB47" s="323">
        <v>42927</v>
      </c>
      <c r="AC47" s="203" t="s">
        <v>1280</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3">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4"/>
      <c r="S48" s="285"/>
      <c r="T48" s="207" t="str">
        <f>IF(CampList[[#This Row],[HH]]&gt;0,CampList[[#This Row],[Total]]/CampList[[#This Row],[HH]],"NA")</f>
        <v>NA</v>
      </c>
      <c r="U48" s="199" t="s">
        <v>464</v>
      </c>
      <c r="V48" s="199" t="s">
        <v>995</v>
      </c>
      <c r="W48" s="199" t="s">
        <v>507</v>
      </c>
      <c r="X48" s="199" t="s">
        <v>784</v>
      </c>
      <c r="Y48" s="218"/>
      <c r="Z48" s="676" t="s">
        <v>936</v>
      </c>
      <c r="AA48" s="223" t="s">
        <v>774</v>
      </c>
      <c r="AB48" s="210">
        <v>42096</v>
      </c>
      <c r="AC48" s="203" t="s">
        <v>1028</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3">
      <c r="B49" s="203" t="s">
        <v>1745</v>
      </c>
      <c r="C49" s="198" t="s">
        <v>378</v>
      </c>
      <c r="D49" s="198" t="s">
        <v>478</v>
      </c>
      <c r="E49" s="198" t="s">
        <v>5</v>
      </c>
      <c r="F49" s="198" t="s">
        <v>482</v>
      </c>
      <c r="G49" s="198" t="s">
        <v>5</v>
      </c>
      <c r="H49" s="198" t="s">
        <v>483</v>
      </c>
      <c r="I49" s="198" t="s">
        <v>594</v>
      </c>
      <c r="J49" s="216" t="s">
        <v>595</v>
      </c>
      <c r="K49" s="198" t="s">
        <v>594</v>
      </c>
      <c r="L49" s="198">
        <v>166844</v>
      </c>
      <c r="M49" s="198" t="s">
        <v>20</v>
      </c>
      <c r="N49" s="198" t="s">
        <v>19</v>
      </c>
      <c r="O49" s="206">
        <v>97.315860000000001</v>
      </c>
      <c r="P49" s="206">
        <v>24.32638</v>
      </c>
      <c r="Q49" s="217"/>
      <c r="R49" s="206">
        <v>17</v>
      </c>
      <c r="S49" s="206">
        <v>76</v>
      </c>
      <c r="T49" s="207">
        <f>IF(CampList[[#This Row],[HH]]&gt;0,CampList[[#This Row],[Total]]/CampList[[#This Row],[HH]],"NA")</f>
        <v>4.4705882352941178</v>
      </c>
      <c r="U49" s="183" t="s">
        <v>464</v>
      </c>
      <c r="V49" s="199" t="s">
        <v>995</v>
      </c>
      <c r="W49" s="183" t="s">
        <v>507</v>
      </c>
      <c r="X49" s="183" t="s">
        <v>742</v>
      </c>
      <c r="Y49" s="313">
        <v>40848</v>
      </c>
      <c r="Z49" s="217" t="s">
        <v>935</v>
      </c>
      <c r="AA49" s="198" t="s">
        <v>774</v>
      </c>
      <c r="AB49" s="210">
        <v>43343</v>
      </c>
      <c r="AC49" s="219" t="s">
        <v>1780</v>
      </c>
      <c r="AD49" s="220" t="str">
        <f ca="1">IFERROR(OFFSET(DistanceToCamp[Nearest Town],MATCH(CampList[[#This Row],[CP_Pcode]],DistanceToCamp[CP_Pcode],0)-1,0,1,1),"")</f>
        <v>Momauk Town</v>
      </c>
      <c r="AE49" s="212">
        <f ca="1">IFERROR(OFFSET(DistanceToCamp[distance],MATCH(CampList[[#This Row],[CP_Pcode]],DistanceToCamp[CP_Pcode],0)-1,0,1,1),"")</f>
        <v>8.3788619521763046</v>
      </c>
      <c r="AF49" s="221">
        <f ca="1">IFERROR(INT(CampList[[#This Row],[Distance]]/5)+1,"")</f>
        <v>2</v>
      </c>
    </row>
    <row r="50" spans="2:32" ht="15.75" hidden="1" customHeight="1" x14ac:dyDescent="0.3">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4"/>
      <c r="S50" s="285"/>
      <c r="T50" s="207" t="str">
        <f>IF(CampList[[#This Row],[HH]]&gt;0,CampList[[#This Row],[Total]]/CampList[[#This Row],[HH]],"NA")</f>
        <v>NA</v>
      </c>
      <c r="U50" s="199" t="s">
        <v>464</v>
      </c>
      <c r="V50" s="199" t="s">
        <v>995</v>
      </c>
      <c r="W50" s="199" t="s">
        <v>507</v>
      </c>
      <c r="X50" s="199"/>
      <c r="Y50" s="218"/>
      <c r="Z50" s="209"/>
      <c r="AA50" s="223" t="s">
        <v>774</v>
      </c>
      <c r="AB50" s="210">
        <v>41661</v>
      </c>
      <c r="AC50" s="203" t="s">
        <v>843</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3">
      <c r="B51" s="203" t="s">
        <v>1745</v>
      </c>
      <c r="C51" s="197" t="s">
        <v>378</v>
      </c>
      <c r="D51" s="197" t="s">
        <v>478</v>
      </c>
      <c r="E51" s="197" t="s">
        <v>5</v>
      </c>
      <c r="F51" s="197" t="s">
        <v>482</v>
      </c>
      <c r="G51" s="197" t="s">
        <v>185</v>
      </c>
      <c r="H51" s="197" t="s">
        <v>486</v>
      </c>
      <c r="I51" s="211" t="s">
        <v>602</v>
      </c>
      <c r="J51" s="211" t="s">
        <v>603</v>
      </c>
      <c r="K51" s="211" t="s">
        <v>604</v>
      </c>
      <c r="L51" s="211" t="s">
        <v>605</v>
      </c>
      <c r="M51" s="197" t="s">
        <v>209</v>
      </c>
      <c r="N51" s="197" t="s">
        <v>208</v>
      </c>
      <c r="O51" s="204">
        <v>97.344359999999995</v>
      </c>
      <c r="P51" s="204">
        <v>24.250689999999999</v>
      </c>
      <c r="Q51" s="205">
        <v>0</v>
      </c>
      <c r="R51" s="274">
        <v>427</v>
      </c>
      <c r="S51" s="274">
        <v>2001</v>
      </c>
      <c r="T51" s="207">
        <f>IF(CampList[[#This Row],[HH]]&gt;0,CampList[[#This Row],[Total]]/CampList[[#This Row],[HH]],"NA")</f>
        <v>4.6861826697892273</v>
      </c>
      <c r="U51" s="199" t="s">
        <v>464</v>
      </c>
      <c r="V51" s="199" t="s">
        <v>995</v>
      </c>
      <c r="W51" s="199" t="s">
        <v>507</v>
      </c>
      <c r="X51" s="199" t="s">
        <v>742</v>
      </c>
      <c r="Y51" s="312">
        <v>40695</v>
      </c>
      <c r="Z51" s="676" t="s">
        <v>424</v>
      </c>
      <c r="AA51" s="223" t="s">
        <v>774</v>
      </c>
      <c r="AB51" s="210">
        <v>43343</v>
      </c>
      <c r="AC51" s="203" t="s">
        <v>1856</v>
      </c>
      <c r="AD51" s="199" t="str">
        <f ca="1">IFERROR(OFFSET(DistanceToCamp[Nearest Town],MATCH(CampList[[#This Row],[CP_Pcode]],DistanceToCamp[CP_Pcode],0)-1,0,1,1),"")</f>
        <v>Momauk Town</v>
      </c>
      <c r="AE51" s="212">
        <f ca="1">IFERROR(OFFSET(DistanceToCamp[distance],MATCH(CampList[[#This Row],[CP_Pcode]],DistanceToCamp[CP_Pcode],0)-1,0,1,1),"")</f>
        <v>0.62513510418653162</v>
      </c>
      <c r="AF51" s="213">
        <f ca="1">IFERROR(INT(CampList[[#This Row],[Distance]]/5)+1,"")</f>
        <v>1</v>
      </c>
    </row>
    <row r="52" spans="2:32" ht="15.75" customHeight="1" x14ac:dyDescent="0.3">
      <c r="B52" s="203" t="s">
        <v>1745</v>
      </c>
      <c r="C52" s="197" t="s">
        <v>378</v>
      </c>
      <c r="D52" s="197" t="s">
        <v>478</v>
      </c>
      <c r="E52" s="197" t="s">
        <v>5</v>
      </c>
      <c r="F52" s="197" t="s">
        <v>482</v>
      </c>
      <c r="G52" s="197" t="s">
        <v>185</v>
      </c>
      <c r="H52" s="197" t="s">
        <v>486</v>
      </c>
      <c r="I52" s="211" t="s">
        <v>738</v>
      </c>
      <c r="J52" s="211" t="s">
        <v>739</v>
      </c>
      <c r="K52" s="211" t="s">
        <v>738</v>
      </c>
      <c r="L52" s="211">
        <v>167048</v>
      </c>
      <c r="M52" s="197" t="s">
        <v>213</v>
      </c>
      <c r="N52" s="197" t="s">
        <v>212</v>
      </c>
      <c r="O52" s="204">
        <v>97.407787999999996</v>
      </c>
      <c r="P52" s="204">
        <v>24.404876999999999</v>
      </c>
      <c r="Q52" s="217"/>
      <c r="R52" s="310">
        <v>47</v>
      </c>
      <c r="S52" s="311">
        <v>153</v>
      </c>
      <c r="T52" s="207">
        <f>IF(CampList[[#This Row],[HH]]&gt;0,CampList[[#This Row],[Total]]/CampList[[#This Row],[HH]],"NA")</f>
        <v>3.2553191489361701</v>
      </c>
      <c r="U52" s="199" t="s">
        <v>464</v>
      </c>
      <c r="V52" s="199" t="s">
        <v>995</v>
      </c>
      <c r="W52" s="227" t="s">
        <v>12</v>
      </c>
      <c r="X52" s="199" t="s">
        <v>784</v>
      </c>
      <c r="Y52" s="313"/>
      <c r="Z52" s="209" t="s">
        <v>1317</v>
      </c>
      <c r="AA52" s="223" t="s">
        <v>773</v>
      </c>
      <c r="AB52" s="230">
        <v>43090</v>
      </c>
      <c r="AC52" s="203" t="s">
        <v>1551</v>
      </c>
      <c r="AD52" s="199" t="str">
        <f ca="1">IFERROR(OFFSET(DistanceToCamp[Nearest Town],MATCH(CampList[[#This Row],[CP_Pcode]],DistanceToCamp[CP_Pcode],0)-1,0,1,1),"")</f>
        <v>Momauk Town</v>
      </c>
      <c r="AE52" s="212">
        <f ca="1">IFERROR(OFFSET(DistanceToCamp[distance],MATCH(CampList[[#This Row],[CP_Pcode]],DistanceToCamp[CP_Pcode],0)-1,0,1,1),"")</f>
        <v>17.689123339899055</v>
      </c>
      <c r="AF52" s="213">
        <f ca="1">IFERROR(INT(CampList[[#This Row],[Distance]]/5)+1,"")</f>
        <v>4</v>
      </c>
    </row>
    <row r="53" spans="2:32" ht="15.75" customHeight="1" x14ac:dyDescent="0.3">
      <c r="B53" s="203" t="s">
        <v>1745</v>
      </c>
      <c r="C53" s="198" t="s">
        <v>378</v>
      </c>
      <c r="D53" s="198" t="s">
        <v>478</v>
      </c>
      <c r="E53" s="198" t="s">
        <v>5</v>
      </c>
      <c r="F53" s="198" t="s">
        <v>482</v>
      </c>
      <c r="G53" s="198" t="s">
        <v>185</v>
      </c>
      <c r="H53" s="198" t="s">
        <v>486</v>
      </c>
      <c r="I53" s="198" t="s">
        <v>598</v>
      </c>
      <c r="J53" s="216" t="s">
        <v>599</v>
      </c>
      <c r="K53" s="198" t="s">
        <v>598</v>
      </c>
      <c r="L53" s="198">
        <v>167009</v>
      </c>
      <c r="M53" s="198" t="s">
        <v>202</v>
      </c>
      <c r="N53" s="198" t="s">
        <v>201</v>
      </c>
      <c r="O53" s="206">
        <v>97.325019999999995</v>
      </c>
      <c r="P53" s="206">
        <v>24.245100000000001</v>
      </c>
      <c r="Q53" s="217"/>
      <c r="R53" s="206">
        <v>304</v>
      </c>
      <c r="S53" s="206">
        <v>1389</v>
      </c>
      <c r="T53" s="207">
        <f>IF(CampList[[#This Row],[HH]]&gt;0,CampList[[#This Row],[Total]]/CampList[[#This Row],[HH]],"NA")</f>
        <v>4.5690789473684212</v>
      </c>
      <c r="U53" s="183" t="s">
        <v>464</v>
      </c>
      <c r="V53" s="199" t="s">
        <v>995</v>
      </c>
      <c r="W53" s="183" t="s">
        <v>507</v>
      </c>
      <c r="X53" s="183" t="s">
        <v>742</v>
      </c>
      <c r="Y53" s="313">
        <v>41030</v>
      </c>
      <c r="Z53" s="217" t="s">
        <v>935</v>
      </c>
      <c r="AA53" s="198" t="s">
        <v>774</v>
      </c>
      <c r="AB53" s="210">
        <v>43343</v>
      </c>
      <c r="AC53" s="219" t="s">
        <v>1781</v>
      </c>
      <c r="AD53" s="220" t="str">
        <f ca="1">IFERROR(OFFSET(DistanceToCamp[Nearest Town],MATCH(CampList[[#This Row],[CP_Pcode]],DistanceToCamp[CP_Pcode],0)-1,0,1,1),"")</f>
        <v>Momauk Town</v>
      </c>
      <c r="AE53" s="212">
        <f ca="1">IFERROR(OFFSET(DistanceToCamp[distance],MATCH(CampList[[#This Row],[CP_Pcode]],DistanceToCamp[CP_Pcode],0)-1,0,1,1),"")</f>
        <v>2.4411071835305544</v>
      </c>
      <c r="AF53" s="221">
        <f ca="1">IFERROR(INT(CampList[[#This Row],[Distance]]/5)+1,"")</f>
        <v>1</v>
      </c>
    </row>
    <row r="54" spans="2:32" ht="15.75" customHeight="1" x14ac:dyDescent="0.3">
      <c r="B54" s="203" t="s">
        <v>1745</v>
      </c>
      <c r="C54" s="197" t="s">
        <v>378</v>
      </c>
      <c r="D54" s="197" t="s">
        <v>478</v>
      </c>
      <c r="E54" s="197" t="s">
        <v>5</v>
      </c>
      <c r="F54" s="197" t="s">
        <v>482</v>
      </c>
      <c r="G54" s="197" t="s">
        <v>151</v>
      </c>
      <c r="H54" s="197" t="s">
        <v>492</v>
      </c>
      <c r="I54" s="211" t="s">
        <v>590</v>
      </c>
      <c r="J54" s="211" t="s">
        <v>591</v>
      </c>
      <c r="K54" s="211" t="s">
        <v>592</v>
      </c>
      <c r="L54" s="211" t="s">
        <v>593</v>
      </c>
      <c r="M54" s="197" t="s">
        <v>152</v>
      </c>
      <c r="N54" s="197" t="s">
        <v>150</v>
      </c>
      <c r="O54" s="204">
        <v>97.291820000000001</v>
      </c>
      <c r="P54" s="204">
        <v>24.129059999999999</v>
      </c>
      <c r="Q54" s="205">
        <v>0</v>
      </c>
      <c r="R54" s="274">
        <v>189</v>
      </c>
      <c r="S54" s="274">
        <v>840</v>
      </c>
      <c r="T54" s="207">
        <f>IF(CampList[[#This Row],[HH]]&gt;0,CampList[[#This Row],[Total]]/CampList[[#This Row],[HH]],"NA")</f>
        <v>4.4444444444444446</v>
      </c>
      <c r="U54" s="199" t="s">
        <v>464</v>
      </c>
      <c r="V54" s="199" t="s">
        <v>995</v>
      </c>
      <c r="W54" s="199" t="s">
        <v>507</v>
      </c>
      <c r="X54" s="199" t="s">
        <v>742</v>
      </c>
      <c r="Y54" s="312">
        <v>41579</v>
      </c>
      <c r="Z54" s="208" t="s">
        <v>424</v>
      </c>
      <c r="AA54" s="223" t="s">
        <v>774</v>
      </c>
      <c r="AB54" s="210">
        <v>43343</v>
      </c>
      <c r="AC54" s="203" t="s">
        <v>1857</v>
      </c>
      <c r="AD54" s="199" t="str">
        <f ca="1">IFERROR(OFFSET(DistanceToCamp[Nearest Town],MATCH(CampList[[#This Row],[CP_Pcode]],DistanceToCamp[CP_Pcode],0)-1,0,1,1),"")</f>
        <v>Mansi Town</v>
      </c>
      <c r="AE54" s="212">
        <f ca="1">IFERROR(OFFSET(DistanceToCamp[distance],MATCH(CampList[[#This Row],[CP_Pcode]],DistanceToCamp[CP_Pcode],0)-1,0,1,1),"")</f>
        <v>1.0576516850656514</v>
      </c>
      <c r="AF54" s="213">
        <f ca="1">IFERROR(INT(CampList[[#This Row],[Distance]]/5)+1,"")</f>
        <v>1</v>
      </c>
    </row>
    <row r="55" spans="2:32" ht="15.75" customHeight="1" x14ac:dyDescent="0.3">
      <c r="B55" s="203" t="s">
        <v>1745</v>
      </c>
      <c r="C55" s="197" t="s">
        <v>378</v>
      </c>
      <c r="D55" s="197" t="s">
        <v>478</v>
      </c>
      <c r="E55" s="197" t="s">
        <v>5</v>
      </c>
      <c r="F55" s="197" t="s">
        <v>482</v>
      </c>
      <c r="G55" s="197" t="s">
        <v>301</v>
      </c>
      <c r="H55" s="197" t="s">
        <v>493</v>
      </c>
      <c r="I55" s="197" t="s">
        <v>561</v>
      </c>
      <c r="J55" s="197" t="s">
        <v>562</v>
      </c>
      <c r="K55" s="197" t="s">
        <v>561</v>
      </c>
      <c r="L55" s="197" t="s">
        <v>563</v>
      </c>
      <c r="M55" s="197" t="s">
        <v>305</v>
      </c>
      <c r="N55" s="197" t="s">
        <v>304</v>
      </c>
      <c r="O55" s="204">
        <v>96.807353000000006</v>
      </c>
      <c r="P55" s="204">
        <v>24.200361000000001</v>
      </c>
      <c r="Q55" s="205">
        <v>0</v>
      </c>
      <c r="R55" s="274">
        <v>91</v>
      </c>
      <c r="S55" s="274">
        <v>344</v>
      </c>
      <c r="T55" s="207">
        <f>IF(CampList[[#This Row],[HH]]&gt;0,CampList[[#This Row],[Total]]/CampList[[#This Row],[HH]],"NA")</f>
        <v>3.7802197802197801</v>
      </c>
      <c r="U55" s="199" t="s">
        <v>464</v>
      </c>
      <c r="V55" s="199" t="s">
        <v>995</v>
      </c>
      <c r="W55" s="199" t="s">
        <v>507</v>
      </c>
      <c r="X55" s="199" t="s">
        <v>742</v>
      </c>
      <c r="Y55" s="312">
        <v>40725</v>
      </c>
      <c r="Z55" s="208" t="s">
        <v>424</v>
      </c>
      <c r="AA55" s="197" t="s">
        <v>774</v>
      </c>
      <c r="AB55" s="210">
        <v>43343</v>
      </c>
      <c r="AC55" s="211" t="s">
        <v>1858</v>
      </c>
      <c r="AD55" s="199" t="str">
        <f ca="1">IFERROR(OFFSET(DistanceToCamp[Nearest Town],MATCH(CampList[[#This Row],[CP_Pcode]],DistanceToCamp[CP_Pcode],0)-1,0,1,1),"")</f>
        <v>Shwegu Town</v>
      </c>
      <c r="AE55" s="212">
        <f ca="1">IFERROR(OFFSET(DistanceToCamp[distance],MATCH(CampList[[#This Row],[CP_Pcode]],DistanceToCamp[CP_Pcode],0)-1,0,1,1),"")</f>
        <v>0.74396039478864395</v>
      </c>
      <c r="AF55" s="213">
        <f ca="1">IFERROR(INT(CampList[[#This Row],[Distance]]/5)+1,"")</f>
        <v>1</v>
      </c>
    </row>
    <row r="56" spans="2:32" ht="15.75" customHeight="1" x14ac:dyDescent="0.3">
      <c r="B56" s="203" t="s">
        <v>1745</v>
      </c>
      <c r="C56" s="198" t="s">
        <v>378</v>
      </c>
      <c r="D56" s="198" t="s">
        <v>478</v>
      </c>
      <c r="E56" s="198" t="s">
        <v>5</v>
      </c>
      <c r="F56" s="198" t="s">
        <v>482</v>
      </c>
      <c r="G56" s="198" t="s">
        <v>301</v>
      </c>
      <c r="H56" s="198" t="s">
        <v>493</v>
      </c>
      <c r="I56" s="198" t="s">
        <v>561</v>
      </c>
      <c r="J56" s="216" t="s">
        <v>562</v>
      </c>
      <c r="K56" s="198" t="s">
        <v>561</v>
      </c>
      <c r="L56" s="198" t="s">
        <v>563</v>
      </c>
      <c r="M56" s="198" t="s">
        <v>307</v>
      </c>
      <c r="N56" s="198" t="s">
        <v>306</v>
      </c>
      <c r="O56" s="206">
        <v>96.807353000000006</v>
      </c>
      <c r="P56" s="206">
        <v>24.200367</v>
      </c>
      <c r="Q56" s="217"/>
      <c r="R56" s="206">
        <v>47</v>
      </c>
      <c r="S56" s="206">
        <v>197</v>
      </c>
      <c r="T56" s="207">
        <f>IF(CampList[[#This Row],[HH]]&gt;0,CampList[[#This Row],[Total]]/CampList[[#This Row],[HH]],"NA")</f>
        <v>4.1914893617021276</v>
      </c>
      <c r="U56" s="183" t="s">
        <v>464</v>
      </c>
      <c r="V56" s="199" t="s">
        <v>995</v>
      </c>
      <c r="W56" s="183" t="s">
        <v>507</v>
      </c>
      <c r="X56" s="183" t="s">
        <v>742</v>
      </c>
      <c r="Y56" s="313">
        <v>40725</v>
      </c>
      <c r="Z56" s="217" t="s">
        <v>935</v>
      </c>
      <c r="AA56" s="198" t="s">
        <v>774</v>
      </c>
      <c r="AB56" s="210">
        <v>43343</v>
      </c>
      <c r="AC56" s="219" t="s">
        <v>1782</v>
      </c>
      <c r="AD56" s="220" t="str">
        <f ca="1">IFERROR(OFFSET(DistanceToCamp[Nearest Town],MATCH(CampList[[#This Row],[CP_Pcode]],DistanceToCamp[CP_Pcode],0)-1,0,1,1),"")</f>
        <v>Shwegu Town</v>
      </c>
      <c r="AE56" s="212">
        <f ca="1">IFERROR(OFFSET(DistanceToCamp[distance],MATCH(CampList[[#This Row],[CP_Pcode]],DistanceToCamp[CP_Pcode],0)-1,0,1,1),"")</f>
        <v>0.74330366237812662</v>
      </c>
      <c r="AF56" s="221">
        <f ca="1">IFERROR(INT(CampList[[#This Row],[Distance]]/5)+1,"")</f>
        <v>1</v>
      </c>
    </row>
    <row r="57" spans="2:32" ht="15.75" hidden="1" customHeight="1" x14ac:dyDescent="0.3">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4">
        <v>20</v>
      </c>
      <c r="S57" s="274">
        <v>95</v>
      </c>
      <c r="T57" s="207">
        <f>IF(CampList[[#This Row],[HH]]&gt;0,CampList[[#This Row],[Total]]/CampList[[#This Row],[HH]],"NA")</f>
        <v>4.75</v>
      </c>
      <c r="U57" s="199" t="s">
        <v>464</v>
      </c>
      <c r="V57" s="199" t="s">
        <v>995</v>
      </c>
      <c r="W57" s="199" t="s">
        <v>507</v>
      </c>
      <c r="X57" s="199" t="s">
        <v>742</v>
      </c>
      <c r="Y57" s="312">
        <v>41030</v>
      </c>
      <c r="Z57" s="676" t="s">
        <v>462</v>
      </c>
      <c r="AA57" s="197" t="s">
        <v>774</v>
      </c>
      <c r="AB57" s="210">
        <v>43251</v>
      </c>
      <c r="AC57" s="211" t="s">
        <v>1716</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3">
      <c r="B58" s="203" t="s">
        <v>1745</v>
      </c>
      <c r="C58" s="198" t="s">
        <v>378</v>
      </c>
      <c r="D58" s="198" t="s">
        <v>478</v>
      </c>
      <c r="E58" s="198" t="s">
        <v>5</v>
      </c>
      <c r="F58" s="198" t="s">
        <v>482</v>
      </c>
      <c r="G58" s="198" t="s">
        <v>185</v>
      </c>
      <c r="H58" s="198" t="s">
        <v>486</v>
      </c>
      <c r="I58" s="198" t="s">
        <v>693</v>
      </c>
      <c r="J58" s="216" t="s">
        <v>694</v>
      </c>
      <c r="K58" s="228" t="s">
        <v>1101</v>
      </c>
      <c r="L58" s="228" t="s">
        <v>1102</v>
      </c>
      <c r="M58" s="198" t="s">
        <v>223</v>
      </c>
      <c r="N58" s="198" t="s">
        <v>222</v>
      </c>
      <c r="O58" s="206">
        <v>97.724566999999993</v>
      </c>
      <c r="P58" s="206">
        <v>24.205417000000001</v>
      </c>
      <c r="Q58" s="217"/>
      <c r="R58" s="206">
        <v>129</v>
      </c>
      <c r="S58" s="206">
        <v>641</v>
      </c>
      <c r="T58" s="207">
        <f>IF(CampList[[#This Row],[HH]]&gt;0,CampList[[#This Row],[Total]]/CampList[[#This Row],[HH]],"NA")</f>
        <v>4.9689922480620154</v>
      </c>
      <c r="U58" s="183" t="s">
        <v>464</v>
      </c>
      <c r="V58" s="199" t="s">
        <v>995</v>
      </c>
      <c r="W58" s="183" t="s">
        <v>507</v>
      </c>
      <c r="X58" s="183" t="s">
        <v>742</v>
      </c>
      <c r="Y58" s="313">
        <v>40848</v>
      </c>
      <c r="Z58" s="217" t="s">
        <v>935</v>
      </c>
      <c r="AA58" s="198" t="s">
        <v>774</v>
      </c>
      <c r="AB58" s="210">
        <v>43343</v>
      </c>
      <c r="AC58" s="219" t="s">
        <v>1783</v>
      </c>
      <c r="AD58" s="220" t="str">
        <f ca="1">IFERROR(OFFSET(DistanceToCamp[Nearest Town],MATCH(CampList[[#This Row],[CP_Pcode]],DistanceToCamp[CP_Pcode],0)-1,0,1,1),"")</f>
        <v>Lwegel Town</v>
      </c>
      <c r="AE58" s="212">
        <f ca="1">IFERROR(OFFSET(DistanceToCamp[distance],MATCH(CampList[[#This Row],[CP_Pcode]],DistanceToCamp[CP_Pcode],0)-1,0,1,1),"")</f>
        <v>0.77978735578277303</v>
      </c>
      <c r="AF58" s="221">
        <f ca="1">IFERROR(INT(CampList[[#This Row],[Distance]]/5)+1,"")</f>
        <v>1</v>
      </c>
    </row>
    <row r="59" spans="2:32" ht="15.75" hidden="1" customHeight="1" x14ac:dyDescent="0.3">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4"/>
      <c r="S59" s="285"/>
      <c r="T59" s="207" t="str">
        <f>IF(CampList[[#This Row],[HH]]&gt;0,CampList[[#This Row],[Total]]/CampList[[#This Row],[HH]],"NA")</f>
        <v>NA</v>
      </c>
      <c r="U59" s="199" t="s">
        <v>464</v>
      </c>
      <c r="V59" s="199" t="s">
        <v>995</v>
      </c>
      <c r="W59" s="199" t="s">
        <v>507</v>
      </c>
      <c r="X59" s="199" t="s">
        <v>742</v>
      </c>
      <c r="Y59" s="676">
        <v>40756</v>
      </c>
      <c r="Z59" s="208" t="s">
        <v>935</v>
      </c>
      <c r="AA59" s="223" t="s">
        <v>774</v>
      </c>
      <c r="AB59" s="210">
        <v>41971</v>
      </c>
      <c r="AC59" s="203" t="s">
        <v>955</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3">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4"/>
      <c r="S60" s="285"/>
      <c r="T60" s="207" t="str">
        <f>IF(CampList[[#This Row],[HH]]&gt;0,CampList[[#This Row],[Total]]/CampList[[#This Row],[HH]],"NA")</f>
        <v>NA</v>
      </c>
      <c r="U60" s="199" t="s">
        <v>464</v>
      </c>
      <c r="V60" s="199" t="s">
        <v>995</v>
      </c>
      <c r="W60" s="199" t="s">
        <v>507</v>
      </c>
      <c r="X60" s="199" t="s">
        <v>742</v>
      </c>
      <c r="Y60" s="676">
        <v>40817</v>
      </c>
      <c r="Z60" s="676"/>
      <c r="AA60" s="223" t="s">
        <v>774</v>
      </c>
      <c r="AB60" s="210">
        <v>42317</v>
      </c>
      <c r="AC60" s="203" t="s">
        <v>1078</v>
      </c>
      <c r="AD60" s="199"/>
      <c r="AE60" s="212"/>
      <c r="AF60" s="213"/>
    </row>
    <row r="61" spans="2:32" ht="15.75" hidden="1" customHeight="1" x14ac:dyDescent="0.3">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995</v>
      </c>
      <c r="W61" s="199" t="s">
        <v>507</v>
      </c>
      <c r="X61" s="199" t="s">
        <v>742</v>
      </c>
      <c r="Y61" s="208">
        <v>40817</v>
      </c>
      <c r="Z61" s="208" t="s">
        <v>462</v>
      </c>
      <c r="AA61" s="197" t="s">
        <v>774</v>
      </c>
      <c r="AB61" s="210">
        <v>42537</v>
      </c>
      <c r="AC61" s="211" t="s">
        <v>1116</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3">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995</v>
      </c>
      <c r="W62" s="199" t="s">
        <v>12</v>
      </c>
      <c r="X62" s="199" t="s">
        <v>784</v>
      </c>
      <c r="Y62" s="312"/>
      <c r="Z62" s="676"/>
      <c r="AA62" s="223" t="s">
        <v>773</v>
      </c>
      <c r="AB62" s="210">
        <v>42927</v>
      </c>
      <c r="AC62" s="211" t="s">
        <v>1281</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3">
      <c r="B63" s="203" t="s">
        <v>1745</v>
      </c>
      <c r="C63" s="197" t="s">
        <v>378</v>
      </c>
      <c r="D63" s="197" t="s">
        <v>478</v>
      </c>
      <c r="E63" s="197" t="s">
        <v>5</v>
      </c>
      <c r="F63" s="197" t="s">
        <v>482</v>
      </c>
      <c r="G63" s="197" t="s">
        <v>185</v>
      </c>
      <c r="H63" s="197" t="s">
        <v>486</v>
      </c>
      <c r="I63" s="211" t="s">
        <v>693</v>
      </c>
      <c r="J63" s="211" t="s">
        <v>694</v>
      </c>
      <c r="K63" s="211" t="s">
        <v>698</v>
      </c>
      <c r="L63" s="211" t="s">
        <v>699</v>
      </c>
      <c r="M63" s="197" t="s">
        <v>190</v>
      </c>
      <c r="N63" s="197" t="s">
        <v>189</v>
      </c>
      <c r="O63" s="204">
        <v>97.717133000000004</v>
      </c>
      <c r="P63" s="204">
        <v>24.200433</v>
      </c>
      <c r="Q63" s="205">
        <v>0</v>
      </c>
      <c r="R63" s="274">
        <v>203</v>
      </c>
      <c r="S63" s="274">
        <v>1138</v>
      </c>
      <c r="T63" s="207">
        <f>IF(CampList[[#This Row],[HH]]&gt;0,CampList[[#This Row],[Total]]/CampList[[#This Row],[HH]],"NA")</f>
        <v>5.6059113300492607</v>
      </c>
      <c r="U63" s="199" t="s">
        <v>464</v>
      </c>
      <c r="V63" s="199" t="s">
        <v>995</v>
      </c>
      <c r="W63" s="199" t="s">
        <v>507</v>
      </c>
      <c r="X63" s="199" t="s">
        <v>742</v>
      </c>
      <c r="Y63" s="312">
        <v>41000</v>
      </c>
      <c r="Z63" s="676" t="s">
        <v>424</v>
      </c>
      <c r="AA63" s="223" t="s">
        <v>774</v>
      </c>
      <c r="AB63" s="210">
        <v>43343</v>
      </c>
      <c r="AC63" s="203" t="s">
        <v>1859</v>
      </c>
      <c r="AD63" s="199" t="str">
        <f ca="1">IFERROR(OFFSET(DistanceToCamp[Nearest Town],MATCH(CampList[[#This Row],[CP_Pcode]],DistanceToCamp[CP_Pcode],0)-1,0,1,1),"")</f>
        <v>Lwegel Town</v>
      </c>
      <c r="AE63" s="212">
        <f ca="1">IFERROR(OFFSET(DistanceToCamp[distance],MATCH(CampList[[#This Row],[CP_Pcode]],DistanceToCamp[CP_Pcode],0)-1,0,1,1),"")</f>
        <v>0.38934692601696641</v>
      </c>
      <c r="AF63" s="213">
        <f ca="1">IFERROR(INT(CampList[[#This Row],[Distance]]/5)+1,"")</f>
        <v>1</v>
      </c>
    </row>
    <row r="64" spans="2:32" ht="15.75" customHeight="1" x14ac:dyDescent="0.3">
      <c r="B64" s="203" t="s">
        <v>1745</v>
      </c>
      <c r="C64" s="197" t="s">
        <v>378</v>
      </c>
      <c r="D64" s="197" t="s">
        <v>478</v>
      </c>
      <c r="E64" s="197" t="s">
        <v>5</v>
      </c>
      <c r="F64" s="197" t="s">
        <v>482</v>
      </c>
      <c r="G64" s="197" t="s">
        <v>185</v>
      </c>
      <c r="H64" s="197" t="s">
        <v>486</v>
      </c>
      <c r="I64" s="211" t="s">
        <v>693</v>
      </c>
      <c r="J64" s="211" t="s">
        <v>694</v>
      </c>
      <c r="K64" s="228" t="s">
        <v>1101</v>
      </c>
      <c r="L64" s="228" t="s">
        <v>1102</v>
      </c>
      <c r="M64" s="197" t="s">
        <v>186</v>
      </c>
      <c r="N64" s="197" t="s">
        <v>184</v>
      </c>
      <c r="O64" s="204">
        <v>97.718582999999995</v>
      </c>
      <c r="P64" s="204">
        <v>24.200972</v>
      </c>
      <c r="Q64" s="217"/>
      <c r="R64" s="274">
        <v>41</v>
      </c>
      <c r="S64" s="274">
        <v>237</v>
      </c>
      <c r="T64" s="207">
        <f>IF(CampList[[#This Row],[HH]]&gt;0,CampList[[#This Row],[Total]]/CampList[[#This Row],[HH]],"NA")</f>
        <v>5.7804878048780486</v>
      </c>
      <c r="U64" s="199" t="s">
        <v>464</v>
      </c>
      <c r="V64" s="199" t="s">
        <v>995</v>
      </c>
      <c r="W64" s="199" t="s">
        <v>507</v>
      </c>
      <c r="X64" s="199" t="s">
        <v>742</v>
      </c>
      <c r="Y64" s="313">
        <v>41030</v>
      </c>
      <c r="Z64" s="676" t="s">
        <v>424</v>
      </c>
      <c r="AA64" s="223" t="s">
        <v>774</v>
      </c>
      <c r="AB64" s="210">
        <v>43343</v>
      </c>
      <c r="AC64" s="203" t="s">
        <v>1860</v>
      </c>
      <c r="AD64" s="199" t="str">
        <f ca="1">IFERROR(OFFSET(DistanceToCamp[Nearest Town],MATCH(CampList[[#This Row],[CP_Pcode]],DistanceToCamp[CP_Pcode],0)-1,0,1,1),"")</f>
        <v>Lwegel Town</v>
      </c>
      <c r="AE64" s="212">
        <f ca="1">IFERROR(OFFSET(DistanceToCamp[distance],MATCH(CampList[[#This Row],[CP_Pcode]],DistanceToCamp[CP_Pcode],0)-1,0,1,1),"")</f>
        <v>0.28829825866869707</v>
      </c>
      <c r="AF64" s="213">
        <f ca="1">IFERROR(INT(CampList[[#This Row],[Distance]]/5)+1,"")</f>
        <v>1</v>
      </c>
    </row>
    <row r="65" spans="2:32" ht="15.75" hidden="1" customHeight="1" x14ac:dyDescent="0.3">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10"/>
      <c r="S65" s="311"/>
      <c r="T65" s="207" t="str">
        <f>IF(CampList[[#This Row],[HH]]&gt;0,CampList[[#This Row],[Total]]/CampList[[#This Row],[HH]],"NA")</f>
        <v>NA</v>
      </c>
      <c r="U65" s="199" t="s">
        <v>464</v>
      </c>
      <c r="V65" s="199" t="s">
        <v>995</v>
      </c>
      <c r="W65" s="227" t="s">
        <v>12</v>
      </c>
      <c r="X65" s="199" t="s">
        <v>784</v>
      </c>
      <c r="Y65" s="313"/>
      <c r="Z65" s="209"/>
      <c r="AA65" s="223" t="s">
        <v>773</v>
      </c>
      <c r="AB65" s="210">
        <v>42927</v>
      </c>
      <c r="AC65" s="203" t="s">
        <v>1282</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3">
      <c r="B66" s="203" t="s">
        <v>775</v>
      </c>
      <c r="C66" s="197" t="s">
        <v>378</v>
      </c>
      <c r="D66" s="197" t="s">
        <v>478</v>
      </c>
      <c r="E66" s="197" t="s">
        <v>5</v>
      </c>
      <c r="F66" s="197" t="s">
        <v>482</v>
      </c>
      <c r="G66" s="197" t="s">
        <v>185</v>
      </c>
      <c r="H66" s="197" t="s">
        <v>486</v>
      </c>
      <c r="I66" s="211" t="s">
        <v>1113</v>
      </c>
      <c r="J66" s="211" t="s">
        <v>1114</v>
      </c>
      <c r="K66" s="211" t="s">
        <v>1113</v>
      </c>
      <c r="L66" s="222">
        <v>167078</v>
      </c>
      <c r="M66" s="197" t="s">
        <v>200</v>
      </c>
      <c r="N66" s="197" t="s">
        <v>199</v>
      </c>
      <c r="O66" s="204">
        <v>97.409474000000003</v>
      </c>
      <c r="P66" s="204">
        <v>24.441697000000001</v>
      </c>
      <c r="Q66" s="217"/>
      <c r="R66" s="274"/>
      <c r="S66" s="274"/>
      <c r="T66" s="207" t="str">
        <f>IF(CampList[[#This Row],[HH]]&gt;0,CampList[[#This Row],[Total]]/CampList[[#This Row],[HH]],"NA")</f>
        <v>NA</v>
      </c>
      <c r="U66" s="199" t="s">
        <v>464</v>
      </c>
      <c r="V66" s="199" t="s">
        <v>995</v>
      </c>
      <c r="W66" s="227" t="s">
        <v>12</v>
      </c>
      <c r="X66" s="199" t="s">
        <v>784</v>
      </c>
      <c r="Y66" s="313"/>
      <c r="Z66" s="209"/>
      <c r="AA66" s="223" t="s">
        <v>773</v>
      </c>
      <c r="AB66" s="210">
        <v>42927</v>
      </c>
      <c r="AC66" s="203" t="s">
        <v>1283</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3">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995</v>
      </c>
      <c r="W67" s="199" t="s">
        <v>12</v>
      </c>
      <c r="X67" s="199" t="s">
        <v>784</v>
      </c>
      <c r="Y67" s="312"/>
      <c r="Z67" s="676"/>
      <c r="AA67" s="223" t="s">
        <v>773</v>
      </c>
      <c r="AB67" s="210">
        <v>42927</v>
      </c>
      <c r="AC67" s="211" t="s">
        <v>1284</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3">
      <c r="B68" s="203" t="s">
        <v>1745</v>
      </c>
      <c r="C68" s="197" t="s">
        <v>378</v>
      </c>
      <c r="D68" s="197" t="s">
        <v>478</v>
      </c>
      <c r="E68" s="197" t="s">
        <v>5</v>
      </c>
      <c r="F68" s="197" t="s">
        <v>482</v>
      </c>
      <c r="G68" s="197" t="s">
        <v>185</v>
      </c>
      <c r="H68" s="197" t="s">
        <v>486</v>
      </c>
      <c r="I68" s="197" t="s">
        <v>693</v>
      </c>
      <c r="J68" s="197" t="s">
        <v>1043</v>
      </c>
      <c r="K68" s="228" t="s">
        <v>698</v>
      </c>
      <c r="L68" s="228" t="s">
        <v>699</v>
      </c>
      <c r="M68" s="197" t="s">
        <v>229</v>
      </c>
      <c r="N68" s="197" t="s">
        <v>228</v>
      </c>
      <c r="O68" s="204">
        <v>97.724483000000006</v>
      </c>
      <c r="P68" s="204">
        <v>24.205417000000001</v>
      </c>
      <c r="Q68" s="205">
        <v>0</v>
      </c>
      <c r="R68" s="274">
        <v>48</v>
      </c>
      <c r="S68" s="274">
        <v>300</v>
      </c>
      <c r="T68" s="207">
        <f>IF(CampList[[#This Row],[HH]]&gt;0,CampList[[#This Row],[Total]]/CampList[[#This Row],[HH]],"NA")</f>
        <v>6.25</v>
      </c>
      <c r="U68" s="199" t="s">
        <v>464</v>
      </c>
      <c r="V68" s="199" t="s">
        <v>995</v>
      </c>
      <c r="W68" s="199" t="s">
        <v>507</v>
      </c>
      <c r="X68" s="199" t="s">
        <v>742</v>
      </c>
      <c r="Y68" s="312">
        <v>41122</v>
      </c>
      <c r="Z68" s="676" t="s">
        <v>424</v>
      </c>
      <c r="AA68" s="197" t="s">
        <v>774</v>
      </c>
      <c r="AB68" s="210">
        <v>43343</v>
      </c>
      <c r="AC68" s="211" t="s">
        <v>1861</v>
      </c>
      <c r="AD68" s="199" t="str">
        <f ca="1">IFERROR(OFFSET(DistanceToCamp[Nearest Town],MATCH(CampList[[#This Row],[CP_Pcode]],DistanceToCamp[CP_Pcode],0)-1,0,1,1),"")</f>
        <v>Lwegel Town</v>
      </c>
      <c r="AE68" s="212">
        <f ca="1">IFERROR(OFFSET(DistanceToCamp[distance],MATCH(CampList[[#This Row],[CP_Pcode]],DistanceToCamp[CP_Pcode],0)-1,0,1,1),"")</f>
        <v>0.77561767807574999</v>
      </c>
      <c r="AF68" s="213">
        <f ca="1">IFERROR(INT(CampList[[#This Row],[Distance]]/5)+1,"")</f>
        <v>1</v>
      </c>
    </row>
    <row r="69" spans="2:32" ht="15.75" customHeight="1" x14ac:dyDescent="0.3">
      <c r="B69" s="203" t="s">
        <v>1745</v>
      </c>
      <c r="C69" s="197" t="s">
        <v>378</v>
      </c>
      <c r="D69" s="197" t="s">
        <v>478</v>
      </c>
      <c r="E69" s="197" t="s">
        <v>5</v>
      </c>
      <c r="F69" s="197" t="s">
        <v>482</v>
      </c>
      <c r="G69" s="197" t="s">
        <v>185</v>
      </c>
      <c r="H69" s="197" t="s">
        <v>486</v>
      </c>
      <c r="I69" s="197" t="s">
        <v>693</v>
      </c>
      <c r="J69" s="197" t="s">
        <v>694</v>
      </c>
      <c r="K69" s="197" t="s">
        <v>1106</v>
      </c>
      <c r="L69" s="197" t="s">
        <v>1107</v>
      </c>
      <c r="M69" s="197" t="s">
        <v>225</v>
      </c>
      <c r="N69" s="197" t="s">
        <v>224</v>
      </c>
      <c r="O69" s="204">
        <v>97.710864000000001</v>
      </c>
      <c r="P69" s="204">
        <v>24.207332999999998</v>
      </c>
      <c r="Q69" s="205">
        <v>0</v>
      </c>
      <c r="R69" s="274">
        <v>43</v>
      </c>
      <c r="S69" s="274">
        <v>432</v>
      </c>
      <c r="T69" s="207">
        <f>IF(CampList[[#This Row],[HH]]&gt;0,CampList[[#This Row],[Total]]/CampList[[#This Row],[HH]],"NA")</f>
        <v>10.046511627906977</v>
      </c>
      <c r="U69" s="199" t="s">
        <v>464</v>
      </c>
      <c r="V69" s="199" t="s">
        <v>995</v>
      </c>
      <c r="W69" s="199" t="s">
        <v>507</v>
      </c>
      <c r="X69" s="199" t="s">
        <v>742</v>
      </c>
      <c r="Y69" s="312">
        <v>41122</v>
      </c>
      <c r="Z69" s="676" t="s">
        <v>424</v>
      </c>
      <c r="AA69" s="197" t="s">
        <v>774</v>
      </c>
      <c r="AB69" s="210">
        <v>43343</v>
      </c>
      <c r="AC69" s="211" t="s">
        <v>1856</v>
      </c>
      <c r="AD69" s="199" t="str">
        <f ca="1">IFERROR(OFFSET(DistanceToCamp[Nearest Town],MATCH(CampList[[#This Row],[CP_Pcode]],DistanceToCamp[CP_Pcode],0)-1,0,1,1),"")</f>
        <v>Lwegel Town</v>
      </c>
      <c r="AE69" s="212">
        <f ca="1">IFERROR(OFFSET(DistanceToCamp[distance],MATCH(CampList[[#This Row],[CP_Pcode]],DistanceToCamp[CP_Pcode],0)-1,0,1,1),"")</f>
        <v>1.343152344964242</v>
      </c>
      <c r="AF69" s="213">
        <f ca="1">IFERROR(INT(CampList[[#This Row],[Distance]]/5)+1,"")</f>
        <v>1</v>
      </c>
    </row>
    <row r="70" spans="2:32" ht="15.75" customHeight="1" x14ac:dyDescent="0.3">
      <c r="B70" s="203" t="s">
        <v>1745</v>
      </c>
      <c r="C70" s="197" t="s">
        <v>378</v>
      </c>
      <c r="D70" s="197" t="s">
        <v>478</v>
      </c>
      <c r="E70" s="197" t="s">
        <v>299</v>
      </c>
      <c r="F70" s="197" t="s">
        <v>499</v>
      </c>
      <c r="G70" s="197" t="s">
        <v>299</v>
      </c>
      <c r="H70" s="197" t="s">
        <v>505</v>
      </c>
      <c r="I70" s="197" t="s">
        <v>740</v>
      </c>
      <c r="J70" s="197" t="s">
        <v>741</v>
      </c>
      <c r="K70" s="197" t="s">
        <v>886</v>
      </c>
      <c r="L70" s="197" t="s">
        <v>887</v>
      </c>
      <c r="M70" s="197" t="s">
        <v>300</v>
      </c>
      <c r="N70" s="197" t="s">
        <v>298</v>
      </c>
      <c r="O70" s="204">
        <v>97.415289999999999</v>
      </c>
      <c r="P70" s="204">
        <v>27.311699999999998</v>
      </c>
      <c r="Q70" s="205">
        <v>476.7</v>
      </c>
      <c r="R70" s="205">
        <v>14</v>
      </c>
      <c r="S70" s="217">
        <v>75</v>
      </c>
      <c r="T70" s="207">
        <f>IF(CampList[[#This Row],[HH]]&gt;0,CampList[[#This Row],[Total]]/CampList[[#This Row],[HH]],"NA")</f>
        <v>5.3571428571428568</v>
      </c>
      <c r="U70" s="199" t="s">
        <v>464</v>
      </c>
      <c r="V70" s="199" t="s">
        <v>995</v>
      </c>
      <c r="W70" s="199" t="s">
        <v>12</v>
      </c>
      <c r="X70" s="199" t="s">
        <v>784</v>
      </c>
      <c r="Y70" s="312"/>
      <c r="Z70" s="209" t="s">
        <v>1317</v>
      </c>
      <c r="AA70" s="197" t="s">
        <v>774</v>
      </c>
      <c r="AB70" s="210">
        <v>42874</v>
      </c>
      <c r="AC70" s="211" t="s">
        <v>1267</v>
      </c>
      <c r="AD70" s="199" t="str">
        <f ca="1">IFERROR(OFFSET(DistanceToCamp[Nearest Town],MATCH(CampList[[#This Row],[CP_Pcode]],DistanceToCamp[CP_Pcode],0)-1,0,1,1),"")</f>
        <v>Puta-O Town</v>
      </c>
      <c r="AE70" s="212">
        <f ca="1">IFERROR(OFFSET(DistanceToCamp[distance],MATCH(CampList[[#This Row],[CP_Pcode]],DistanceToCamp[CP_Pcode],0)-1,0,1,1),"")</f>
        <v>1.3759254000531889</v>
      </c>
      <c r="AF70" s="213">
        <f ca="1">IFERROR(INT(CampList[[#This Row],[Distance]]/5)+1,"")</f>
        <v>1</v>
      </c>
    </row>
    <row r="71" spans="2:32" ht="15.75" customHeight="1" x14ac:dyDescent="0.3">
      <c r="B71" s="203" t="s">
        <v>1745</v>
      </c>
      <c r="C71" s="197" t="s">
        <v>378</v>
      </c>
      <c r="D71" s="197" t="s">
        <v>478</v>
      </c>
      <c r="E71" s="197" t="s">
        <v>180</v>
      </c>
      <c r="F71" s="197" t="s">
        <v>479</v>
      </c>
      <c r="G71" s="197" t="s">
        <v>173</v>
      </c>
      <c r="H71" s="197" t="s">
        <v>498</v>
      </c>
      <c r="I71" s="211" t="s">
        <v>572</v>
      </c>
      <c r="J71" s="211" t="s">
        <v>573</v>
      </c>
      <c r="K71" s="211" t="s">
        <v>574</v>
      </c>
      <c r="L71" s="211">
        <v>166676</v>
      </c>
      <c r="M71" s="197" t="s">
        <v>1489</v>
      </c>
      <c r="N71" s="197" t="s">
        <v>175</v>
      </c>
      <c r="O71" s="204">
        <v>96.942279999999997</v>
      </c>
      <c r="P71" s="204">
        <v>25.296579999999999</v>
      </c>
      <c r="Q71" s="205">
        <v>0</v>
      </c>
      <c r="R71" s="274">
        <v>15</v>
      </c>
      <c r="S71" s="274">
        <v>74</v>
      </c>
      <c r="T71" s="207">
        <f>IF(CampList[[#This Row],[HH]]&gt;0,CampList[[#This Row],[Total]]/CampList[[#This Row],[HH]],"NA")</f>
        <v>4.9333333333333336</v>
      </c>
      <c r="U71" s="199" t="s">
        <v>464</v>
      </c>
      <c r="V71" s="199" t="s">
        <v>995</v>
      </c>
      <c r="W71" s="199" t="s">
        <v>507</v>
      </c>
      <c r="X71" s="199" t="s">
        <v>742</v>
      </c>
      <c r="Y71" s="312">
        <v>41030</v>
      </c>
      <c r="Z71" s="676" t="s">
        <v>424</v>
      </c>
      <c r="AA71" s="223" t="s">
        <v>774</v>
      </c>
      <c r="AB71" s="210">
        <v>43343</v>
      </c>
      <c r="AC71" s="203" t="s">
        <v>1862</v>
      </c>
      <c r="AD71" s="199" t="str">
        <f ca="1">IFERROR(OFFSET(DistanceToCamp[Nearest Town],MATCH(CampList[[#This Row],[CP_Pcode]],DistanceToCamp[CP_Pcode],0)-1,0,1,1),"")</f>
        <v>Mogaung Town</v>
      </c>
      <c r="AE71" s="212">
        <f ca="1">IFERROR(OFFSET(DistanceToCamp[distance],MATCH(CampList[[#This Row],[CP_Pcode]],DistanceToCamp[CP_Pcode],0)-1,0,1,1),"")</f>
        <v>0.71141459237180937</v>
      </c>
      <c r="AF71" s="213">
        <f ca="1">IFERROR(INT(CampList[[#This Row],[Distance]]/5)+1,"")</f>
        <v>1</v>
      </c>
    </row>
    <row r="72" spans="2:32" ht="15.75" customHeight="1" x14ac:dyDescent="0.3">
      <c r="B72" s="203" t="s">
        <v>1745</v>
      </c>
      <c r="C72" s="197" t="s">
        <v>378</v>
      </c>
      <c r="D72" s="197" t="s">
        <v>478</v>
      </c>
      <c r="E72" s="197" t="s">
        <v>180</v>
      </c>
      <c r="F72" s="197" t="s">
        <v>479</v>
      </c>
      <c r="G72" s="197" t="s">
        <v>173</v>
      </c>
      <c r="H72" s="197" t="s">
        <v>498</v>
      </c>
      <c r="I72" s="211" t="s">
        <v>570</v>
      </c>
      <c r="J72" s="211" t="s">
        <v>571</v>
      </c>
      <c r="K72" s="228" t="s">
        <v>1099</v>
      </c>
      <c r="L72" s="228" t="s">
        <v>1100</v>
      </c>
      <c r="M72" s="197" t="s">
        <v>174</v>
      </c>
      <c r="N72" s="197" t="s">
        <v>172</v>
      </c>
      <c r="O72" s="204">
        <v>96.922619999999995</v>
      </c>
      <c r="P72" s="204">
        <v>25.305669999999999</v>
      </c>
      <c r="Q72" s="205">
        <v>470</v>
      </c>
      <c r="R72" s="274">
        <v>13</v>
      </c>
      <c r="S72" s="274">
        <v>71</v>
      </c>
      <c r="T72" s="207">
        <f>IF(CampList[[#This Row],[HH]]&gt;0,CampList[[#This Row],[Total]]/CampList[[#This Row],[HH]],"NA")</f>
        <v>5.4615384615384617</v>
      </c>
      <c r="U72" s="199" t="s">
        <v>464</v>
      </c>
      <c r="V72" s="199" t="s">
        <v>995</v>
      </c>
      <c r="W72" s="199" t="s">
        <v>507</v>
      </c>
      <c r="X72" s="199" t="s">
        <v>742</v>
      </c>
      <c r="Y72" s="312">
        <v>41030</v>
      </c>
      <c r="Z72" s="676" t="s">
        <v>424</v>
      </c>
      <c r="AA72" s="223" t="s">
        <v>774</v>
      </c>
      <c r="AB72" s="210">
        <v>43343</v>
      </c>
      <c r="AC72" s="203" t="s">
        <v>1862</v>
      </c>
      <c r="AD72" s="199" t="str">
        <f ca="1">IFERROR(OFFSET(DistanceToCamp[Nearest Town],MATCH(CampList[[#This Row],[CP_Pcode]],DistanceToCamp[CP_Pcode],0)-1,0,1,1),"")</f>
        <v>Mogaung Town</v>
      </c>
      <c r="AE72" s="212">
        <f ca="1">IFERROR(OFFSET(DistanceToCamp[distance],MATCH(CampList[[#This Row],[CP_Pcode]],DistanceToCamp[CP_Pcode],0)-1,0,1,1),"")</f>
        <v>1.815139598767344</v>
      </c>
      <c r="AF72" s="213">
        <f ca="1">IFERROR(INT(CampList[[#This Row],[Distance]]/5)+1,"")</f>
        <v>1</v>
      </c>
    </row>
    <row r="73" spans="2:32" ht="15.75" customHeight="1" x14ac:dyDescent="0.3">
      <c r="B73" s="203" t="s">
        <v>1745</v>
      </c>
      <c r="C73" s="197" t="s">
        <v>378</v>
      </c>
      <c r="D73" s="197" t="s">
        <v>478</v>
      </c>
      <c r="E73" s="197" t="s">
        <v>180</v>
      </c>
      <c r="F73" s="197" t="s">
        <v>479</v>
      </c>
      <c r="G73" s="197" t="s">
        <v>173</v>
      </c>
      <c r="H73" s="197" t="s">
        <v>498</v>
      </c>
      <c r="I73" s="197" t="s">
        <v>570</v>
      </c>
      <c r="J73" s="197" t="s">
        <v>571</v>
      </c>
      <c r="K73" s="197" t="s">
        <v>575</v>
      </c>
      <c r="L73" s="197" t="s">
        <v>576</v>
      </c>
      <c r="M73" s="197" t="s">
        <v>178</v>
      </c>
      <c r="N73" s="197" t="s">
        <v>177</v>
      </c>
      <c r="O73" s="204">
        <v>96.948740000000001</v>
      </c>
      <c r="P73" s="204">
        <v>25.30442</v>
      </c>
      <c r="Q73" s="205">
        <v>100</v>
      </c>
      <c r="R73" s="274">
        <v>10</v>
      </c>
      <c r="S73" s="274">
        <v>42</v>
      </c>
      <c r="T73" s="207">
        <f>IF(CampList[[#This Row],[HH]]&gt;0,CampList[[#This Row],[Total]]/CampList[[#This Row],[HH]],"NA")</f>
        <v>4.2</v>
      </c>
      <c r="U73" s="199" t="s">
        <v>464</v>
      </c>
      <c r="V73" s="199" t="s">
        <v>995</v>
      </c>
      <c r="W73" s="199" t="s">
        <v>507</v>
      </c>
      <c r="X73" s="199" t="s">
        <v>742</v>
      </c>
      <c r="Y73" s="312">
        <v>40969</v>
      </c>
      <c r="Z73" s="676" t="s">
        <v>424</v>
      </c>
      <c r="AA73" s="197" t="s">
        <v>774</v>
      </c>
      <c r="AB73" s="210">
        <v>43343</v>
      </c>
      <c r="AC73" s="211" t="s">
        <v>1863</v>
      </c>
      <c r="AD73" s="199" t="str">
        <f ca="1">IFERROR(OFFSET(DistanceToCamp[Nearest Town],MATCH(CampList[[#This Row],[CP_Pcode]],DistanceToCamp[CP_Pcode],0)-1,0,1,1),"")</f>
        <v>Mogaung Town</v>
      </c>
      <c r="AE73" s="212">
        <f ca="1">IFERROR(OFFSET(DistanceToCamp[distance],MATCH(CampList[[#This Row],[CP_Pcode]],DistanceToCamp[CP_Pcode],0)-1,0,1,1),"")</f>
        <v>0.86042374061342075</v>
      </c>
      <c r="AF73" s="213">
        <f ca="1">IFERROR(INT(CampList[[#This Row],[Distance]]/5)+1,"")</f>
        <v>1</v>
      </c>
    </row>
    <row r="74" spans="2:32" ht="15.75" customHeight="1" x14ac:dyDescent="0.3">
      <c r="B74" s="203" t="s">
        <v>1745</v>
      </c>
      <c r="C74" s="198" t="s">
        <v>378</v>
      </c>
      <c r="D74" s="198" t="s">
        <v>478</v>
      </c>
      <c r="E74" s="198" t="s">
        <v>180</v>
      </c>
      <c r="F74" s="198" t="s">
        <v>479</v>
      </c>
      <c r="G74" s="198" t="s">
        <v>180</v>
      </c>
      <c r="H74" s="198" t="s">
        <v>504</v>
      </c>
      <c r="I74" s="198" t="s">
        <v>960</v>
      </c>
      <c r="J74" s="216" t="s">
        <v>1038</v>
      </c>
      <c r="K74" s="228" t="s">
        <v>1117</v>
      </c>
      <c r="L74" s="228" t="s">
        <v>1118</v>
      </c>
      <c r="M74" s="198" t="s">
        <v>181</v>
      </c>
      <c r="N74" s="198" t="s">
        <v>179</v>
      </c>
      <c r="O74" s="206">
        <v>96.367059999999995</v>
      </c>
      <c r="P74" s="206">
        <v>24.764800000000001</v>
      </c>
      <c r="Q74" s="217"/>
      <c r="R74" s="274">
        <v>11</v>
      </c>
      <c r="S74" s="274">
        <v>55</v>
      </c>
      <c r="T74" s="207">
        <f>IF(CampList[[#This Row],[HH]]&gt;0,CampList[[#This Row],[Total]]/CampList[[#This Row],[HH]],"NA")</f>
        <v>5</v>
      </c>
      <c r="U74" s="183" t="s">
        <v>464</v>
      </c>
      <c r="V74" s="199" t="s">
        <v>995</v>
      </c>
      <c r="W74" s="183" t="s">
        <v>507</v>
      </c>
      <c r="X74" s="183" t="s">
        <v>742</v>
      </c>
      <c r="Y74" s="313">
        <v>41061</v>
      </c>
      <c r="Z74" s="217" t="s">
        <v>936</v>
      </c>
      <c r="AA74" s="198" t="s">
        <v>774</v>
      </c>
      <c r="AB74" s="210">
        <v>43343</v>
      </c>
      <c r="AC74" s="219" t="s">
        <v>1801</v>
      </c>
      <c r="AD74" s="220" t="str">
        <f ca="1">IFERROR(OFFSET(DistanceToCamp[Nearest Town],MATCH(CampList[[#This Row],[CP_Pcode]],DistanceToCamp[CP_Pcode],0)-1,0,1,1),"")</f>
        <v>Mohnyin Town</v>
      </c>
      <c r="AE74" s="212">
        <f ca="1">IFERROR(OFFSET(DistanceToCamp[distance],MATCH(CampList[[#This Row],[CP_Pcode]],DistanceToCamp[CP_Pcode],0)-1,0,1,1),"")</f>
        <v>1.7021273757523427</v>
      </c>
      <c r="AF74" s="221">
        <f ca="1">IFERROR(INT(CampList[[#This Row],[Distance]]/5)+1,"")</f>
        <v>1</v>
      </c>
    </row>
    <row r="75" spans="2:32" ht="15.75" customHeight="1" x14ac:dyDescent="0.3">
      <c r="B75" s="203" t="s">
        <v>1745</v>
      </c>
      <c r="C75" s="197" t="s">
        <v>378</v>
      </c>
      <c r="D75" s="197" t="s">
        <v>478</v>
      </c>
      <c r="E75" s="197" t="s">
        <v>180</v>
      </c>
      <c r="F75" s="197" t="s">
        <v>479</v>
      </c>
      <c r="G75" s="197" t="s">
        <v>480</v>
      </c>
      <c r="H75" s="197" t="s">
        <v>481</v>
      </c>
      <c r="I75" s="211" t="s">
        <v>543</v>
      </c>
      <c r="J75" s="211" t="s">
        <v>544</v>
      </c>
      <c r="K75" s="211" t="s">
        <v>547</v>
      </c>
      <c r="L75" s="211" t="s">
        <v>548</v>
      </c>
      <c r="M75" s="197" t="s">
        <v>100</v>
      </c>
      <c r="N75" s="197" t="s">
        <v>99</v>
      </c>
      <c r="O75" s="204">
        <v>96.319829999999996</v>
      </c>
      <c r="P75" s="204">
        <v>25.6145</v>
      </c>
      <c r="Q75" s="205">
        <v>65</v>
      </c>
      <c r="R75" s="274">
        <v>4</v>
      </c>
      <c r="S75" s="274">
        <v>15</v>
      </c>
      <c r="T75" s="207">
        <f>IF(CampList[[#This Row],[HH]]&gt;0,CampList[[#This Row],[Total]]/CampList[[#This Row],[HH]],"NA")</f>
        <v>3.75</v>
      </c>
      <c r="U75" s="199" t="s">
        <v>464</v>
      </c>
      <c r="V75" s="199" t="s">
        <v>995</v>
      </c>
      <c r="W75" s="199" t="s">
        <v>1384</v>
      </c>
      <c r="X75" s="199" t="s">
        <v>742</v>
      </c>
      <c r="Y75" s="312">
        <v>41122</v>
      </c>
      <c r="Z75" s="208" t="s">
        <v>1317</v>
      </c>
      <c r="AA75" s="223" t="s">
        <v>774</v>
      </c>
      <c r="AB75" s="210">
        <v>43343</v>
      </c>
      <c r="AC75" s="203" t="s">
        <v>1912</v>
      </c>
      <c r="AD75" s="199" t="str">
        <f ca="1">IFERROR(OFFSET(DistanceToCamp[Nearest Town],MATCH(CampList[[#This Row],[CP_Pcode]],DistanceToCamp[CP_Pcode],0)-1,0,1,1),"")</f>
        <v>Hpakant Town</v>
      </c>
      <c r="AE75" s="212">
        <f ca="1">IFERROR(OFFSET(DistanceToCamp[distance],MATCH(CampList[[#This Row],[CP_Pcode]],DistanceToCamp[CP_Pcode],0)-1,0,1,1),"")</f>
        <v>0.79577754007276646</v>
      </c>
      <c r="AF75" s="213">
        <f ca="1">IFERROR(INT(CampList[[#This Row],[Distance]]/5)+1,"")</f>
        <v>1</v>
      </c>
    </row>
    <row r="76" spans="2:32" ht="15.75" hidden="1" customHeight="1" x14ac:dyDescent="0.3">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4"/>
      <c r="S76" s="285"/>
      <c r="T76" s="207" t="str">
        <f>IF(CampList[[#This Row],[HH]]&gt;0,CampList[[#This Row],[Total]]/CampList[[#This Row],[HH]],"NA")</f>
        <v>NA</v>
      </c>
      <c r="U76" s="199" t="s">
        <v>464</v>
      </c>
      <c r="V76" s="199" t="s">
        <v>995</v>
      </c>
      <c r="W76" s="199" t="s">
        <v>507</v>
      </c>
      <c r="X76" s="199" t="s">
        <v>784</v>
      </c>
      <c r="Y76" s="218"/>
      <c r="Z76" s="209"/>
      <c r="AA76" s="223" t="s">
        <v>773</v>
      </c>
      <c r="AB76" s="210">
        <v>42768</v>
      </c>
      <c r="AC76" s="203" t="s">
        <v>1218</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3">
      <c r="B77" s="203" t="s">
        <v>1745</v>
      </c>
      <c r="C77" s="197" t="s">
        <v>378</v>
      </c>
      <c r="D77" s="197" t="s">
        <v>478</v>
      </c>
      <c r="E77" s="197" t="s">
        <v>180</v>
      </c>
      <c r="F77" s="197" t="s">
        <v>479</v>
      </c>
      <c r="G77" s="197" t="s">
        <v>480</v>
      </c>
      <c r="H77" s="197" t="s">
        <v>481</v>
      </c>
      <c r="I77" s="211" t="s">
        <v>549</v>
      </c>
      <c r="J77" s="211" t="s">
        <v>550</v>
      </c>
      <c r="K77" s="211" t="s">
        <v>549</v>
      </c>
      <c r="L77" s="211">
        <v>166776</v>
      </c>
      <c r="M77" s="197" t="s">
        <v>108</v>
      </c>
      <c r="N77" s="197" t="s">
        <v>107</v>
      </c>
      <c r="O77" s="204">
        <v>96.341352999999998</v>
      </c>
      <c r="P77" s="204">
        <v>25.613894999999999</v>
      </c>
      <c r="Q77" s="205">
        <v>251</v>
      </c>
      <c r="R77" s="274">
        <v>50</v>
      </c>
      <c r="S77" s="274">
        <v>237</v>
      </c>
      <c r="T77" s="207">
        <f>IF(CampList[[#This Row],[HH]]&gt;0,CampList[[#This Row],[Total]]/CampList[[#This Row],[HH]],"NA")</f>
        <v>4.74</v>
      </c>
      <c r="U77" s="199" t="s">
        <v>464</v>
      </c>
      <c r="V77" s="199" t="s">
        <v>995</v>
      </c>
      <c r="W77" s="199" t="s">
        <v>507</v>
      </c>
      <c r="X77" s="199" t="s">
        <v>742</v>
      </c>
      <c r="Y77" s="312">
        <v>41487</v>
      </c>
      <c r="Z77" s="676" t="s">
        <v>936</v>
      </c>
      <c r="AA77" s="223" t="s">
        <v>774</v>
      </c>
      <c r="AB77" s="210">
        <v>43343</v>
      </c>
      <c r="AC77" s="203" t="s">
        <v>1802</v>
      </c>
      <c r="AD77" s="199" t="str">
        <f ca="1">IFERROR(OFFSET(DistanceToCamp[Nearest Town],MATCH(CampList[[#This Row],[CP_Pcode]],DistanceToCamp[CP_Pcode],0)-1,0,1,1),"")</f>
        <v>Hpakant Town</v>
      </c>
      <c r="AE77" s="212">
        <f ca="1">IFERROR(OFFSET(DistanceToCamp[distance],MATCH(CampList[[#This Row],[CP_Pcode]],DistanceToCamp[CP_Pcode],0)-1,0,1,1),"")</f>
        <v>2.9334852607184256</v>
      </c>
      <c r="AF77" s="213">
        <f ca="1">IFERROR(INT(CampList[[#This Row],[Distance]]/5)+1,"")</f>
        <v>1</v>
      </c>
    </row>
    <row r="78" spans="2:32" ht="15.75" customHeight="1" x14ac:dyDescent="0.3">
      <c r="B78" s="203" t="s">
        <v>1745</v>
      </c>
      <c r="C78" s="197" t="s">
        <v>378</v>
      </c>
      <c r="D78" s="197" t="s">
        <v>478</v>
      </c>
      <c r="E78" s="197" t="s">
        <v>180</v>
      </c>
      <c r="F78" s="197" t="s">
        <v>479</v>
      </c>
      <c r="G78" s="197" t="s">
        <v>480</v>
      </c>
      <c r="H78" s="197" t="s">
        <v>481</v>
      </c>
      <c r="I78" s="211" t="s">
        <v>549</v>
      </c>
      <c r="J78" s="211" t="s">
        <v>550</v>
      </c>
      <c r="K78" s="197" t="s">
        <v>549</v>
      </c>
      <c r="L78" s="216">
        <v>166776</v>
      </c>
      <c r="M78" s="197" t="s">
        <v>140</v>
      </c>
      <c r="N78" s="197" t="s">
        <v>139</v>
      </c>
      <c r="O78" s="204">
        <v>96.306910999999999</v>
      </c>
      <c r="P78" s="204">
        <v>25.599250000000001</v>
      </c>
      <c r="Q78" s="205">
        <v>0</v>
      </c>
      <c r="R78" s="274">
        <v>16</v>
      </c>
      <c r="S78" s="274">
        <v>68</v>
      </c>
      <c r="T78" s="207">
        <f>IF(CampList[[#This Row],[HH]]&gt;0,CampList[[#This Row],[Total]]/CampList[[#This Row],[HH]],"NA")</f>
        <v>4.25</v>
      </c>
      <c r="U78" s="199" t="s">
        <v>464</v>
      </c>
      <c r="V78" s="199" t="s">
        <v>995</v>
      </c>
      <c r="W78" s="199" t="s">
        <v>507</v>
      </c>
      <c r="X78" s="199" t="s">
        <v>742</v>
      </c>
      <c r="Y78" s="312">
        <v>41122</v>
      </c>
      <c r="Z78" s="676" t="s">
        <v>424</v>
      </c>
      <c r="AA78" s="197" t="s">
        <v>774</v>
      </c>
      <c r="AB78" s="210">
        <v>43343</v>
      </c>
      <c r="AC78" s="211" t="s">
        <v>1864</v>
      </c>
      <c r="AD78" s="199" t="str">
        <f ca="1">IFERROR(OFFSET(DistanceToCamp[Nearest Town],MATCH(CampList[[#This Row],[CP_Pcode]],DistanceToCamp[CP_Pcode],0)-1,0,1,1),"")</f>
        <v>Hpakant Town</v>
      </c>
      <c r="AE78" s="212">
        <f ca="1">IFERROR(OFFSET(DistanceToCamp[distance],MATCH(CampList[[#This Row],[CP_Pcode]],DistanceToCamp[CP_Pcode],0)-1,0,1,1),"")</f>
        <v>1.5942018764815451</v>
      </c>
      <c r="AF78" s="213">
        <f ca="1">IFERROR(INT(CampList[[#This Row],[Distance]]/5)+1,"")</f>
        <v>1</v>
      </c>
    </row>
    <row r="79" spans="2:32" ht="15.75" customHeight="1" x14ac:dyDescent="0.3">
      <c r="B79" s="203" t="s">
        <v>1745</v>
      </c>
      <c r="C79" s="197" t="s">
        <v>378</v>
      </c>
      <c r="D79" s="197" t="s">
        <v>478</v>
      </c>
      <c r="E79" s="197" t="s">
        <v>180</v>
      </c>
      <c r="F79" s="197" t="s">
        <v>479</v>
      </c>
      <c r="G79" s="197" t="s">
        <v>480</v>
      </c>
      <c r="H79" s="197" t="s">
        <v>481</v>
      </c>
      <c r="I79" s="211" t="s">
        <v>538</v>
      </c>
      <c r="J79" s="211" t="s">
        <v>539</v>
      </c>
      <c r="K79" s="211" t="s">
        <v>538</v>
      </c>
      <c r="L79" s="211">
        <v>166783</v>
      </c>
      <c r="M79" s="197" t="s">
        <v>72</v>
      </c>
      <c r="N79" s="197" t="s">
        <v>71</v>
      </c>
      <c r="O79" s="204">
        <v>96.283377000000002</v>
      </c>
      <c r="P79" s="204">
        <v>25.582065</v>
      </c>
      <c r="Q79" s="205">
        <v>0</v>
      </c>
      <c r="R79" s="274">
        <v>6</v>
      </c>
      <c r="S79" s="274">
        <v>31</v>
      </c>
      <c r="T79" s="207">
        <f>IF(CampList[[#This Row],[HH]]&gt;0,CampList[[#This Row],[Total]]/CampList[[#This Row],[HH]],"NA")</f>
        <v>5.166666666666667</v>
      </c>
      <c r="U79" s="199" t="s">
        <v>464</v>
      </c>
      <c r="V79" s="199" t="s">
        <v>995</v>
      </c>
      <c r="W79" s="199" t="s">
        <v>1384</v>
      </c>
      <c r="X79" s="183" t="s">
        <v>742</v>
      </c>
      <c r="Y79" s="312">
        <v>41487</v>
      </c>
      <c r="Z79" s="676" t="s">
        <v>1317</v>
      </c>
      <c r="AA79" s="223" t="s">
        <v>774</v>
      </c>
      <c r="AB79" s="210">
        <v>43343</v>
      </c>
      <c r="AC79" s="203" t="s">
        <v>1913</v>
      </c>
      <c r="AD79" s="199" t="str">
        <f ca="1">IFERROR(OFFSET(DistanceToCamp[Nearest Town],MATCH(CampList[[#This Row],[CP_Pcode]],DistanceToCamp[CP_Pcode],0)-1,0,1,1),"")</f>
        <v>Hpakant Town</v>
      </c>
      <c r="AE79" s="212">
        <f ca="1">IFERROR(OFFSET(DistanceToCamp[distance],MATCH(CampList[[#This Row],[CP_Pcode]],DistanceToCamp[CP_Pcode],0)-1,0,1,1),"")</f>
        <v>4.4704963044882238</v>
      </c>
      <c r="AF79" s="213">
        <f ca="1">IFERROR(INT(CampList[[#This Row],[Distance]]/5)+1,"")</f>
        <v>1</v>
      </c>
    </row>
    <row r="80" spans="2:32" ht="15.75" customHeight="1" x14ac:dyDescent="0.3">
      <c r="B80" s="203" t="s">
        <v>1745</v>
      </c>
      <c r="C80" s="198" t="s">
        <v>378</v>
      </c>
      <c r="D80" s="198" t="s">
        <v>478</v>
      </c>
      <c r="E80" s="198" t="s">
        <v>237</v>
      </c>
      <c r="F80" s="198" t="s">
        <v>484</v>
      </c>
      <c r="G80" s="198" t="s">
        <v>309</v>
      </c>
      <c r="H80" s="198" t="s">
        <v>485</v>
      </c>
      <c r="I80" s="198" t="s">
        <v>658</v>
      </c>
      <c r="J80" s="216" t="s">
        <v>709</v>
      </c>
      <c r="K80" s="198" t="s">
        <v>710</v>
      </c>
      <c r="L80" s="198">
        <v>165895</v>
      </c>
      <c r="M80" s="198" t="s">
        <v>333</v>
      </c>
      <c r="N80" s="198" t="s">
        <v>332</v>
      </c>
      <c r="O80" s="206">
        <v>97.915833000000006</v>
      </c>
      <c r="P80" s="206">
        <v>25.220278</v>
      </c>
      <c r="Q80" s="217">
        <v>2404</v>
      </c>
      <c r="R80" s="274">
        <v>124</v>
      </c>
      <c r="S80" s="274">
        <v>471</v>
      </c>
      <c r="T80" s="207">
        <f>IF(CampList[[#This Row],[HH]]&gt;0,CampList[[#This Row],[Total]]/CampList[[#This Row],[HH]],"NA")</f>
        <v>3.7983870967741935</v>
      </c>
      <c r="U80" s="183" t="s">
        <v>466</v>
      </c>
      <c r="V80" s="199" t="s">
        <v>995</v>
      </c>
      <c r="W80" s="183" t="s">
        <v>507</v>
      </c>
      <c r="X80" s="183" t="s">
        <v>785</v>
      </c>
      <c r="Y80" s="313">
        <v>40848</v>
      </c>
      <c r="Z80" s="217" t="s">
        <v>936</v>
      </c>
      <c r="AA80" s="198" t="s">
        <v>774</v>
      </c>
      <c r="AB80" s="210">
        <v>43343</v>
      </c>
      <c r="AC80" s="219" t="s">
        <v>1803</v>
      </c>
      <c r="AD80" s="220" t="str">
        <f ca="1">IFERROR(OFFSET(DistanceToCamp[Nearest Town],MATCH(CampList[[#This Row],[CP_Pcode]],DistanceToCamp[CP_Pcode],0)-1,0,1,1),"")</f>
        <v>Sadung Town</v>
      </c>
      <c r="AE80" s="212">
        <f ca="1">IFERROR(OFFSET(DistanceToCamp[distance],MATCH(CampList[[#This Row],[CP_Pcode]],DistanceToCamp[CP_Pcode],0)-1,0,1,1),"")</f>
        <v>18.198335991626355</v>
      </c>
      <c r="AF80" s="221">
        <f ca="1">IFERROR(INT(CampList[[#This Row],[Distance]]/5)+1,"")</f>
        <v>4</v>
      </c>
    </row>
    <row r="81" spans="2:32" ht="15.75" customHeight="1" x14ac:dyDescent="0.3">
      <c r="B81" s="203" t="s">
        <v>1745</v>
      </c>
      <c r="C81" s="197" t="s">
        <v>378</v>
      </c>
      <c r="D81" s="197" t="s">
        <v>478</v>
      </c>
      <c r="E81" s="197" t="s">
        <v>237</v>
      </c>
      <c r="F81" s="197" t="s">
        <v>484</v>
      </c>
      <c r="G81" s="197" t="s">
        <v>309</v>
      </c>
      <c r="H81" s="197" t="s">
        <v>485</v>
      </c>
      <c r="I81" s="197" t="s">
        <v>710</v>
      </c>
      <c r="J81" s="197" t="s">
        <v>709</v>
      </c>
      <c r="K81" s="215" t="s">
        <v>1097</v>
      </c>
      <c r="L81" s="215"/>
      <c r="M81" s="197" t="s">
        <v>335</v>
      </c>
      <c r="N81" s="197" t="s">
        <v>334</v>
      </c>
      <c r="O81" s="204">
        <v>97.807182999999995</v>
      </c>
      <c r="P81" s="204">
        <v>25.200333000000001</v>
      </c>
      <c r="Q81" s="205">
        <v>1023</v>
      </c>
      <c r="R81" s="274">
        <v>136</v>
      </c>
      <c r="S81" s="274">
        <v>986</v>
      </c>
      <c r="T81" s="207">
        <f>IF(CampList[[#This Row],[HH]]&gt;0,CampList[[#This Row],[Total]]/CampList[[#This Row],[HH]],"NA")</f>
        <v>7.25</v>
      </c>
      <c r="U81" s="199" t="s">
        <v>466</v>
      </c>
      <c r="V81" s="199" t="s">
        <v>995</v>
      </c>
      <c r="W81" s="199" t="s">
        <v>507</v>
      </c>
      <c r="X81" s="199" t="s">
        <v>784</v>
      </c>
      <c r="Y81" s="312">
        <v>40878</v>
      </c>
      <c r="Z81" s="676" t="s">
        <v>424</v>
      </c>
      <c r="AA81" s="223" t="s">
        <v>774</v>
      </c>
      <c r="AB81" s="210">
        <v>43343</v>
      </c>
      <c r="AC81" s="203" t="s">
        <v>1865</v>
      </c>
      <c r="AD81" s="199" t="str">
        <f ca="1">IFERROR(OFFSET(DistanceToCamp[Nearest Town],MATCH(CampList[[#This Row],[CP_Pcode]],DistanceToCamp[CP_Pcode],0)-1,0,1,1),"")</f>
        <v>Sadung Town</v>
      </c>
      <c r="AE81" s="212">
        <f ca="1">IFERROR(OFFSET(DistanceToCamp[distance],MATCH(CampList[[#This Row],[CP_Pcode]],DistanceToCamp[CP_Pcode],0)-1,0,1,1),"")</f>
        <v>21.287604662770121</v>
      </c>
      <c r="AF81" s="213">
        <f ca="1">IFERROR(INT(CampList[[#This Row],[Distance]]/5)+1,"")</f>
        <v>5</v>
      </c>
    </row>
    <row r="82" spans="2:32" ht="15.75" hidden="1" customHeight="1" x14ac:dyDescent="0.3">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4">
        <v>0</v>
      </c>
      <c r="S82" s="285">
        <v>0</v>
      </c>
      <c r="T82" s="207" t="str">
        <f>IF(CampList[[#This Row],[HH]]&gt;0,CampList[[#This Row],[Total]]/CampList[[#This Row],[HH]],"NA")</f>
        <v>NA</v>
      </c>
      <c r="U82" s="199" t="s">
        <v>464</v>
      </c>
      <c r="V82" s="199" t="s">
        <v>995</v>
      </c>
      <c r="W82" s="199" t="s">
        <v>507</v>
      </c>
      <c r="X82" s="199" t="s">
        <v>784</v>
      </c>
      <c r="Y82" s="676">
        <v>40969</v>
      </c>
      <c r="Z82" s="676" t="s">
        <v>424</v>
      </c>
      <c r="AA82" s="223" t="s">
        <v>773</v>
      </c>
      <c r="AB82" s="210">
        <v>41837</v>
      </c>
      <c r="AC82" s="203" t="s">
        <v>940</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3">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4">
        <v>0</v>
      </c>
      <c r="S83" s="285">
        <v>0</v>
      </c>
      <c r="T83" s="207" t="str">
        <f>IF(CampList[[#This Row],[HH]]&gt;0,CampList[[#This Row],[Total]]/CampList[[#This Row],[HH]],"NA")</f>
        <v>NA</v>
      </c>
      <c r="U83" s="199" t="s">
        <v>464</v>
      </c>
      <c r="V83" s="199" t="s">
        <v>995</v>
      </c>
      <c r="W83" s="199" t="s">
        <v>507</v>
      </c>
      <c r="X83" s="199" t="s">
        <v>742</v>
      </c>
      <c r="Y83" s="676">
        <v>41122</v>
      </c>
      <c r="Z83" s="208" t="s">
        <v>424</v>
      </c>
      <c r="AA83" s="223" t="s">
        <v>774</v>
      </c>
      <c r="AB83" s="210">
        <v>41774</v>
      </c>
      <c r="AC83" s="203" t="s">
        <v>897</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3">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4">
        <v>0</v>
      </c>
      <c r="S84" s="285">
        <v>0</v>
      </c>
      <c r="T84" s="207" t="str">
        <f>IF(CampList[[#This Row],[HH]]&gt;0,CampList[[#This Row],[Total]]/CampList[[#This Row],[HH]],"NA")</f>
        <v>NA</v>
      </c>
      <c r="U84" s="199" t="s">
        <v>464</v>
      </c>
      <c r="V84" s="199" t="s">
        <v>995</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3">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4">
        <v>0</v>
      </c>
      <c r="S85" s="285">
        <v>0</v>
      </c>
      <c r="T85" s="207" t="str">
        <f>IF(CampList[[#This Row],[HH]]&gt;0,CampList[[#This Row],[Total]]/CampList[[#This Row],[HH]],"NA")</f>
        <v>NA</v>
      </c>
      <c r="U85" s="199" t="s">
        <v>464</v>
      </c>
      <c r="V85" s="199" t="s">
        <v>995</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3">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4">
        <v>0</v>
      </c>
      <c r="S86" s="285">
        <v>0</v>
      </c>
      <c r="T86" s="207" t="str">
        <f>IF(CampList[[#This Row],[HH]]&gt;0,CampList[[#This Row],[Total]]/CampList[[#This Row],[HH]],"NA")</f>
        <v>NA</v>
      </c>
      <c r="U86" s="199" t="s">
        <v>464</v>
      </c>
      <c r="V86" s="199" t="s">
        <v>995</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3">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4"/>
      <c r="S87" s="285"/>
      <c r="T87" s="207" t="str">
        <f>IF(CampList[[#This Row],[HH]]&gt;0,CampList[[#This Row],[Total]]/CampList[[#This Row],[HH]],"NA")</f>
        <v>NA</v>
      </c>
      <c r="U87" s="199" t="s">
        <v>464</v>
      </c>
      <c r="V87" s="199" t="s">
        <v>995</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3">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4">
        <v>0</v>
      </c>
      <c r="S88" s="285">
        <v>0</v>
      </c>
      <c r="T88" s="207" t="str">
        <f>IF(CampList[[#This Row],[HH]]&gt;0,CampList[[#This Row],[Total]]/CampList[[#This Row],[HH]],"NA")</f>
        <v>NA</v>
      </c>
      <c r="U88" s="199" t="s">
        <v>464</v>
      </c>
      <c r="V88" s="199" t="s">
        <v>995</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3">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4">
        <v>0</v>
      </c>
      <c r="S89" s="285">
        <v>0</v>
      </c>
      <c r="T89" s="207" t="str">
        <f>IF(CampList[[#This Row],[HH]]&gt;0,CampList[[#This Row],[Total]]/CampList[[#This Row],[HH]],"NA")</f>
        <v>NA</v>
      </c>
      <c r="U89" s="199" t="s">
        <v>464</v>
      </c>
      <c r="V89" s="199" t="s">
        <v>995</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3">
      <c r="B90" s="203" t="s">
        <v>1745</v>
      </c>
      <c r="C90" s="198" t="s">
        <v>378</v>
      </c>
      <c r="D90" s="198" t="s">
        <v>478</v>
      </c>
      <c r="E90" s="198" t="s">
        <v>237</v>
      </c>
      <c r="F90" s="198" t="s">
        <v>484</v>
      </c>
      <c r="G90" s="198" t="s">
        <v>309</v>
      </c>
      <c r="H90" s="198" t="s">
        <v>485</v>
      </c>
      <c r="I90" s="198" t="s">
        <v>695</v>
      </c>
      <c r="J90" s="216" t="s">
        <v>696</v>
      </c>
      <c r="K90" s="198" t="s">
        <v>697</v>
      </c>
      <c r="L90" s="198">
        <v>165790</v>
      </c>
      <c r="M90" s="198" t="s">
        <v>321</v>
      </c>
      <c r="N90" s="198" t="s">
        <v>320</v>
      </c>
      <c r="O90" s="206">
        <v>97.715230000000005</v>
      </c>
      <c r="P90" s="206">
        <v>24.980250000000002</v>
      </c>
      <c r="Q90" s="217">
        <v>984</v>
      </c>
      <c r="R90" s="274">
        <v>411</v>
      </c>
      <c r="S90" s="274">
        <v>1545</v>
      </c>
      <c r="T90" s="207">
        <f>IF(CampList[[#This Row],[HH]]&gt;0,CampList[[#This Row],[Total]]/CampList[[#This Row],[HH]],"NA")</f>
        <v>3.7591240875912408</v>
      </c>
      <c r="U90" s="183" t="s">
        <v>466</v>
      </c>
      <c r="V90" s="199" t="s">
        <v>995</v>
      </c>
      <c r="W90" s="183" t="s">
        <v>507</v>
      </c>
      <c r="X90" s="183" t="s">
        <v>784</v>
      </c>
      <c r="Y90" s="313">
        <v>40695</v>
      </c>
      <c r="Z90" s="217" t="s">
        <v>936</v>
      </c>
      <c r="AA90" s="198" t="s">
        <v>774</v>
      </c>
      <c r="AB90" s="210">
        <v>43343</v>
      </c>
      <c r="AC90" s="219" t="s">
        <v>1804</v>
      </c>
      <c r="AD90" s="220" t="str">
        <f ca="1">IFERROR(OFFSET(DistanceToCamp[Nearest Town],MATCH(CampList[[#This Row],[CP_Pcode]],DistanceToCamp[CP_Pcode],0)-1,0,1,1),"")</f>
        <v>Laiza town</v>
      </c>
      <c r="AE90" s="212">
        <f ca="1">IFERROR(OFFSET(DistanceToCamp[distance],MATCH(CampList[[#This Row],[CP_Pcode]],DistanceToCamp[CP_Pcode],0)-1,0,1,1),"")</f>
        <v>28.888856599204185</v>
      </c>
      <c r="AF90" s="221">
        <f ca="1">IFERROR(INT(CampList[[#This Row],[Distance]]/5)+1,"")</f>
        <v>6</v>
      </c>
    </row>
    <row r="91" spans="2:32" ht="15.75" hidden="1" customHeight="1" x14ac:dyDescent="0.3">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4"/>
      <c r="S91" s="285"/>
      <c r="T91" s="207" t="str">
        <f>IF(CampList[[#This Row],[HH]]&gt;0,CampList[[#This Row],[Total]]/CampList[[#This Row],[HH]],"NA")</f>
        <v>NA</v>
      </c>
      <c r="U91" s="199" t="s">
        <v>464</v>
      </c>
      <c r="V91" s="199" t="s">
        <v>995</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3">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4">
        <v>0</v>
      </c>
      <c r="S92" s="285">
        <v>0</v>
      </c>
      <c r="T92" s="207" t="str">
        <f>IF(CampList[[#This Row],[HH]]&gt;0,CampList[[#This Row],[Total]]/CampList[[#This Row],[HH]],"NA")</f>
        <v>NA</v>
      </c>
      <c r="U92" s="199" t="s">
        <v>464</v>
      </c>
      <c r="V92" s="199" t="s">
        <v>995</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3">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4">
        <v>0</v>
      </c>
      <c r="S93" s="285">
        <v>0</v>
      </c>
      <c r="T93" s="207" t="str">
        <f>IF(CampList[[#This Row],[HH]]&gt;0,CampList[[#This Row],[Total]]/CampList[[#This Row],[HH]],"NA")</f>
        <v>NA</v>
      </c>
      <c r="U93" s="199" t="s">
        <v>464</v>
      </c>
      <c r="V93" s="199" t="s">
        <v>995</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3">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4">
        <v>0</v>
      </c>
      <c r="S94" s="285">
        <v>0</v>
      </c>
      <c r="T94" s="207" t="str">
        <f>IF(CampList[[#This Row],[HH]]&gt;0,CampList[[#This Row],[Total]]/CampList[[#This Row],[HH]],"NA")</f>
        <v>NA</v>
      </c>
      <c r="U94" s="199" t="s">
        <v>464</v>
      </c>
      <c r="V94" s="199" t="s">
        <v>995</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3">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4">
        <v>0</v>
      </c>
      <c r="S95" s="285">
        <v>0</v>
      </c>
      <c r="T95" s="207" t="str">
        <f>IF(CampList[[#This Row],[HH]]&gt;0,CampList[[#This Row],[Total]]/CampList[[#This Row],[HH]],"NA")</f>
        <v>NA</v>
      </c>
      <c r="U95" s="199" t="s">
        <v>464</v>
      </c>
      <c r="V95" s="199" t="s">
        <v>995</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3">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4">
        <v>0</v>
      </c>
      <c r="S96" s="285">
        <v>0</v>
      </c>
      <c r="T96" s="207" t="str">
        <f>IF(CampList[[#This Row],[HH]]&gt;0,CampList[[#This Row],[Total]]/CampList[[#This Row],[HH]],"NA")</f>
        <v>NA</v>
      </c>
      <c r="U96" s="199" t="s">
        <v>464</v>
      </c>
      <c r="V96" s="199" t="s">
        <v>995</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3">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4">
        <v>0</v>
      </c>
      <c r="S97" s="285">
        <v>0</v>
      </c>
      <c r="T97" s="207" t="str">
        <f>IF(CampList[[#This Row],[HH]]&gt;0,CampList[[#This Row],[Total]]/CampList[[#This Row],[HH]],"NA")</f>
        <v>NA</v>
      </c>
      <c r="U97" s="199" t="s">
        <v>464</v>
      </c>
      <c r="V97" s="199" t="s">
        <v>995</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3">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4">
        <v>0</v>
      </c>
      <c r="S98" s="285">
        <v>0</v>
      </c>
      <c r="T98" s="207" t="str">
        <f>IF(CampList[[#This Row],[HH]]&gt;0,CampList[[#This Row],[Total]]/CampList[[#This Row],[HH]],"NA")</f>
        <v>NA</v>
      </c>
      <c r="U98" s="199" t="s">
        <v>464</v>
      </c>
      <c r="V98" s="199" t="s">
        <v>995</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3">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4">
        <v>0</v>
      </c>
      <c r="S99" s="285">
        <v>0</v>
      </c>
      <c r="T99" s="207" t="str">
        <f>IF(CampList[[#This Row],[HH]]&gt;0,CampList[[#This Row],[Total]]/CampList[[#This Row],[HH]],"NA")</f>
        <v>NA</v>
      </c>
      <c r="U99" s="199" t="s">
        <v>464</v>
      </c>
      <c r="V99" s="199" t="s">
        <v>995</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3">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4"/>
      <c r="S100" s="285"/>
      <c r="T100" s="207" t="str">
        <f>IF(CampList[[#This Row],[HH]]&gt;0,CampList[[#This Row],[Total]]/CampList[[#This Row],[HH]],"NA")</f>
        <v>NA</v>
      </c>
      <c r="U100" s="199" t="s">
        <v>464</v>
      </c>
      <c r="V100" s="199" t="s">
        <v>995</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3">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4">
        <v>0</v>
      </c>
      <c r="S101" s="285">
        <v>0</v>
      </c>
      <c r="T101" s="207" t="str">
        <f>IF(CampList[[#This Row],[HH]]&gt;0,CampList[[#This Row],[Total]]/CampList[[#This Row],[HH]],"NA")</f>
        <v>NA</v>
      </c>
      <c r="U101" s="199" t="s">
        <v>464</v>
      </c>
      <c r="V101" s="199" t="s">
        <v>995</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3">
      <c r="B102" s="203" t="s">
        <v>1745</v>
      </c>
      <c r="C102" s="197" t="s">
        <v>378</v>
      </c>
      <c r="D102" s="197" t="s">
        <v>478</v>
      </c>
      <c r="E102" s="197" t="s">
        <v>237</v>
      </c>
      <c r="F102" s="197" t="s">
        <v>484</v>
      </c>
      <c r="G102" s="197" t="s">
        <v>309</v>
      </c>
      <c r="H102" s="197" t="s">
        <v>485</v>
      </c>
      <c r="I102" s="197" t="s">
        <v>695</v>
      </c>
      <c r="J102" s="197" t="s">
        <v>696</v>
      </c>
      <c r="K102" s="214" t="s">
        <v>1120</v>
      </c>
      <c r="L102" s="214">
        <v>165792</v>
      </c>
      <c r="M102" s="197" t="s">
        <v>1030</v>
      </c>
      <c r="N102" s="197" t="s">
        <v>343</v>
      </c>
      <c r="O102" s="204">
        <v>97.751389000000003</v>
      </c>
      <c r="P102" s="204">
        <v>24.831944</v>
      </c>
      <c r="Q102" s="205">
        <v>2330</v>
      </c>
      <c r="R102" s="274">
        <v>185</v>
      </c>
      <c r="S102" s="274">
        <v>868</v>
      </c>
      <c r="T102" s="207">
        <f>IF(CampList[[#This Row],[HH]]&gt;0,CampList[[#This Row],[Total]]/CampList[[#This Row],[HH]],"NA")</f>
        <v>4.6918918918918919</v>
      </c>
      <c r="U102" s="199" t="s">
        <v>466</v>
      </c>
      <c r="V102" s="199" t="s">
        <v>995</v>
      </c>
      <c r="W102" s="199" t="s">
        <v>507</v>
      </c>
      <c r="X102" s="199" t="s">
        <v>784</v>
      </c>
      <c r="Y102" s="312">
        <v>40725</v>
      </c>
      <c r="Z102" s="676" t="s">
        <v>424</v>
      </c>
      <c r="AA102" s="197" t="s">
        <v>774</v>
      </c>
      <c r="AB102" s="210">
        <v>43343</v>
      </c>
      <c r="AC102" s="211" t="s">
        <v>1866</v>
      </c>
      <c r="AD102" s="199" t="str">
        <f ca="1">IFERROR(OFFSET(DistanceToCamp[Nearest Town],MATCH(CampList[[#This Row],[CP_Pcode]],DistanceToCamp[CP_Pcode],0)-1,0,1,1),"")</f>
        <v>Laiza town</v>
      </c>
      <c r="AE102" s="212">
        <f ca="1">IFERROR(OFFSET(DistanceToCamp[distance],MATCH(CampList[[#This Row],[CP_Pcode]],DistanceToCamp[CP_Pcode],0)-1,0,1,1),"")</f>
        <v>20.599512012485512</v>
      </c>
      <c r="AF102" s="213">
        <f ca="1">IFERROR(INT(CampList[[#This Row],[Distance]]/5)+1,"")</f>
        <v>5</v>
      </c>
    </row>
    <row r="103" spans="2:32" ht="15.75" hidden="1" customHeight="1" x14ac:dyDescent="0.3">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4">
        <v>0</v>
      </c>
      <c r="S103" s="285">
        <v>0</v>
      </c>
      <c r="T103" s="207" t="str">
        <f>IF(CampList[[#This Row],[HH]]&gt;0,CampList[[#This Row],[Total]]/CampList[[#This Row],[HH]],"NA")</f>
        <v>NA</v>
      </c>
      <c r="U103" s="199" t="s">
        <v>464</v>
      </c>
      <c r="V103" s="199" t="s">
        <v>995</v>
      </c>
      <c r="W103" s="199" t="s">
        <v>507</v>
      </c>
      <c r="X103" s="199"/>
      <c r="Y103" s="218"/>
      <c r="Z103" s="209"/>
      <c r="AA103" s="303"/>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3">
      <c r="B104" s="203" t="s">
        <v>1745</v>
      </c>
      <c r="C104" s="198" t="s">
        <v>378</v>
      </c>
      <c r="D104" s="198" t="s">
        <v>478</v>
      </c>
      <c r="E104" s="198" t="s">
        <v>5</v>
      </c>
      <c r="F104" s="198" t="s">
        <v>482</v>
      </c>
      <c r="G104" s="198" t="s">
        <v>185</v>
      </c>
      <c r="H104" s="198" t="s">
        <v>486</v>
      </c>
      <c r="I104" s="198" t="s">
        <v>674</v>
      </c>
      <c r="J104" s="216" t="s">
        <v>675</v>
      </c>
      <c r="K104" s="198" t="s">
        <v>676</v>
      </c>
      <c r="L104" s="198">
        <v>167223</v>
      </c>
      <c r="M104" s="198" t="s">
        <v>196</v>
      </c>
      <c r="N104" s="198" t="s">
        <v>195</v>
      </c>
      <c r="O104" s="206">
        <v>97.568331999999998</v>
      </c>
      <c r="P104" s="206">
        <v>24.688338999999999</v>
      </c>
      <c r="Q104" s="217">
        <v>314</v>
      </c>
      <c r="R104" s="274">
        <v>1491</v>
      </c>
      <c r="S104" s="274">
        <v>8574</v>
      </c>
      <c r="T104" s="207">
        <f>IF(CampList[[#This Row],[HH]]&gt;0,CampList[[#This Row],[Total]]/CampList[[#This Row],[HH]],"NA")</f>
        <v>5.7505030181086516</v>
      </c>
      <c r="U104" s="183" t="s">
        <v>466</v>
      </c>
      <c r="V104" s="199" t="s">
        <v>995</v>
      </c>
      <c r="W104" s="183" t="s">
        <v>507</v>
      </c>
      <c r="X104" s="183" t="s">
        <v>784</v>
      </c>
      <c r="Y104" s="313">
        <v>41061</v>
      </c>
      <c r="Z104" s="217" t="s">
        <v>936</v>
      </c>
      <c r="AA104" s="198" t="s">
        <v>774</v>
      </c>
      <c r="AB104" s="210">
        <v>43343</v>
      </c>
      <c r="AC104" s="219" t="s">
        <v>1805</v>
      </c>
      <c r="AD104" s="220" t="str">
        <f ca="1">IFERROR(OFFSET(DistanceToCamp[Nearest Town],MATCH(CampList[[#This Row],[CP_Pcode]],DistanceToCamp[CP_Pcode],0)-1,0,1,1),"")</f>
        <v>Laiza town</v>
      </c>
      <c r="AE104" s="212">
        <f ca="1">IFERROR(OFFSET(DistanceToCamp[distance],MATCH(CampList[[#This Row],[CP_Pcode]],DistanceToCamp[CP_Pcode],0)-1,0,1,1),"")</f>
        <v>7.985347533011188</v>
      </c>
      <c r="AF104" s="221">
        <f ca="1">IFERROR(INT(CampList[[#This Row],[Distance]]/5)+1,"")</f>
        <v>2</v>
      </c>
    </row>
    <row r="105" spans="2:32" ht="15.75" hidden="1" customHeight="1" x14ac:dyDescent="0.3">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4">
        <v>0</v>
      </c>
      <c r="S105" s="274">
        <v>0</v>
      </c>
      <c r="T105" s="207" t="str">
        <f>IF(CampList[[#This Row],[HH]]&gt;0,CampList[[#This Row],[Total]]/CampList[[#This Row],[HH]],"NA")</f>
        <v>NA</v>
      </c>
      <c r="U105" s="199" t="s">
        <v>464</v>
      </c>
      <c r="V105" s="199" t="s">
        <v>995</v>
      </c>
      <c r="W105" s="199" t="s">
        <v>507</v>
      </c>
      <c r="X105" s="199"/>
      <c r="Y105" s="218"/>
      <c r="Z105" s="209"/>
      <c r="AA105" s="303"/>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3">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4">
        <v>0</v>
      </c>
      <c r="S106" s="274">
        <v>0</v>
      </c>
      <c r="T106" s="207" t="str">
        <f>IF(CampList[[#This Row],[HH]]&gt;0,CampList[[#This Row],[Total]]/CampList[[#This Row],[HH]],"NA")</f>
        <v>NA</v>
      </c>
      <c r="U106" s="199" t="s">
        <v>464</v>
      </c>
      <c r="V106" s="199" t="s">
        <v>995</v>
      </c>
      <c r="W106" s="199" t="s">
        <v>507</v>
      </c>
      <c r="X106" s="199"/>
      <c r="Y106" s="218"/>
      <c r="Z106" s="209"/>
      <c r="AA106" s="303"/>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3">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4">
        <v>0</v>
      </c>
      <c r="S107" s="274">
        <v>0</v>
      </c>
      <c r="T107" s="207" t="str">
        <f>IF(CampList[[#This Row],[HH]]&gt;0,CampList[[#This Row],[Total]]/CampList[[#This Row],[HH]],"NA")</f>
        <v>NA</v>
      </c>
      <c r="U107" s="199" t="s">
        <v>464</v>
      </c>
      <c r="V107" s="199" t="s">
        <v>995</v>
      </c>
      <c r="W107" s="199" t="s">
        <v>507</v>
      </c>
      <c r="X107" s="199"/>
      <c r="Y107" s="218"/>
      <c r="Z107" s="209"/>
      <c r="AA107" s="303"/>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3">
      <c r="B108" s="203" t="s">
        <v>1745</v>
      </c>
      <c r="C108" s="198" t="s">
        <v>378</v>
      </c>
      <c r="D108" s="198" t="s">
        <v>478</v>
      </c>
      <c r="E108" s="198" t="s">
        <v>5</v>
      </c>
      <c r="F108" s="198" t="s">
        <v>482</v>
      </c>
      <c r="G108" s="198" t="s">
        <v>185</v>
      </c>
      <c r="H108" s="198" t="s">
        <v>486</v>
      </c>
      <c r="I108" s="198" t="s">
        <v>674</v>
      </c>
      <c r="J108" s="216" t="s">
        <v>675</v>
      </c>
      <c r="K108" s="198" t="s">
        <v>676</v>
      </c>
      <c r="L108" s="198">
        <v>167223</v>
      </c>
      <c r="M108" s="198" t="s">
        <v>194</v>
      </c>
      <c r="N108" s="198" t="s">
        <v>193</v>
      </c>
      <c r="O108" s="206">
        <v>97.573126000000002</v>
      </c>
      <c r="P108" s="206">
        <v>24.661905999999998</v>
      </c>
      <c r="Q108" s="217">
        <v>415</v>
      </c>
      <c r="R108" s="274">
        <v>719</v>
      </c>
      <c r="S108" s="274">
        <v>3648</v>
      </c>
      <c r="T108" s="207">
        <f>IF(CampList[[#This Row],[HH]]&gt;0,CampList[[#This Row],[Total]]/CampList[[#This Row],[HH]],"NA")</f>
        <v>5.0737134909596664</v>
      </c>
      <c r="U108" s="183" t="s">
        <v>466</v>
      </c>
      <c r="V108" s="199" t="s">
        <v>995</v>
      </c>
      <c r="W108" s="183" t="s">
        <v>507</v>
      </c>
      <c r="X108" s="183" t="s">
        <v>784</v>
      </c>
      <c r="Y108" s="313">
        <v>40695</v>
      </c>
      <c r="Z108" s="217" t="s">
        <v>936</v>
      </c>
      <c r="AA108" s="198" t="s">
        <v>774</v>
      </c>
      <c r="AB108" s="210">
        <v>43343</v>
      </c>
      <c r="AC108" s="219" t="s">
        <v>1806</v>
      </c>
      <c r="AD108" s="220" t="str">
        <f ca="1">IFERROR(OFFSET(DistanceToCamp[Nearest Town],MATCH(CampList[[#This Row],[CP_Pcode]],DistanceToCamp[CP_Pcode],0)-1,0,1,1),"")</f>
        <v>Laiza town</v>
      </c>
      <c r="AE108" s="212">
        <f ca="1">IFERROR(OFFSET(DistanceToCamp[distance],MATCH(CampList[[#This Row],[CP_Pcode]],DistanceToCamp[CP_Pcode],0)-1,0,1,1),"")</f>
        <v>10.953347686331073</v>
      </c>
      <c r="AF108" s="221">
        <f ca="1">IFERROR(INT(CampList[[#This Row],[Distance]]/5)+1,"")</f>
        <v>3</v>
      </c>
    </row>
    <row r="109" spans="2:32" ht="15.75" hidden="1" customHeight="1" x14ac:dyDescent="0.3">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4">
        <v>0</v>
      </c>
      <c r="S109" s="285">
        <v>0</v>
      </c>
      <c r="T109" s="207" t="str">
        <f>IF(CampList[[#This Row],[HH]]&gt;0,CampList[[#This Row],[Total]]/CampList[[#This Row],[HH]],"NA")</f>
        <v>NA</v>
      </c>
      <c r="U109" s="199" t="s">
        <v>464</v>
      </c>
      <c r="V109" s="199" t="s">
        <v>995</v>
      </c>
      <c r="W109" s="199" t="s">
        <v>507</v>
      </c>
      <c r="X109" s="199"/>
      <c r="Y109" s="218"/>
      <c r="Z109" s="209"/>
      <c r="AA109" s="303"/>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3">
      <c r="B110" s="203" t="s">
        <v>775</v>
      </c>
      <c r="C110" s="197" t="s">
        <v>378</v>
      </c>
      <c r="D110" s="197" t="s">
        <v>478</v>
      </c>
      <c r="E110" s="197" t="s">
        <v>237</v>
      </c>
      <c r="F110" s="197" t="s">
        <v>484</v>
      </c>
      <c r="G110" s="197" t="s">
        <v>309</v>
      </c>
      <c r="H110" s="197" t="s">
        <v>485</v>
      </c>
      <c r="I110" s="197" t="s">
        <v>704</v>
      </c>
      <c r="J110" s="197" t="s">
        <v>705</v>
      </c>
      <c r="K110" s="214" t="s">
        <v>1119</v>
      </c>
      <c r="L110" s="214">
        <v>220360</v>
      </c>
      <c r="M110" s="197" t="s">
        <v>1032</v>
      </c>
      <c r="N110" s="197" t="s">
        <v>354</v>
      </c>
      <c r="O110" s="204">
        <v>97.756789999999995</v>
      </c>
      <c r="P110" s="204">
        <v>25.106670000000001</v>
      </c>
      <c r="Q110" s="205">
        <v>756</v>
      </c>
      <c r="R110" s="274"/>
      <c r="S110" s="274"/>
      <c r="T110" s="207" t="str">
        <f>IF(CampList[[#This Row],[HH]]&gt;0,CampList[[#This Row],[Total]]/CampList[[#This Row],[HH]],"NA")</f>
        <v>NA</v>
      </c>
      <c r="U110" s="199" t="s">
        <v>466</v>
      </c>
      <c r="V110" s="199" t="s">
        <v>995</v>
      </c>
      <c r="W110" s="199" t="s">
        <v>507</v>
      </c>
      <c r="X110" s="199" t="s">
        <v>784</v>
      </c>
      <c r="Y110" s="676">
        <v>40848</v>
      </c>
      <c r="Z110" s="676" t="s">
        <v>424</v>
      </c>
      <c r="AA110" s="197" t="s">
        <v>774</v>
      </c>
      <c r="AB110" s="210">
        <v>42888</v>
      </c>
      <c r="AC110" s="211" t="s">
        <v>1265</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3">
      <c r="B111" s="203" t="s">
        <v>1745</v>
      </c>
      <c r="C111" s="198" t="s">
        <v>378</v>
      </c>
      <c r="D111" s="198" t="s">
        <v>478</v>
      </c>
      <c r="E111" s="198" t="s">
        <v>5</v>
      </c>
      <c r="F111" s="198" t="s">
        <v>482</v>
      </c>
      <c r="G111" s="198" t="s">
        <v>185</v>
      </c>
      <c r="H111" s="198" t="s">
        <v>486</v>
      </c>
      <c r="I111" s="198" t="s">
        <v>665</v>
      </c>
      <c r="J111" s="216" t="s">
        <v>666</v>
      </c>
      <c r="K111" s="198" t="s">
        <v>523</v>
      </c>
      <c r="L111" s="198">
        <v>167343</v>
      </c>
      <c r="M111" s="198" t="s">
        <v>192</v>
      </c>
      <c r="N111" s="198" t="s">
        <v>191</v>
      </c>
      <c r="O111" s="206">
        <v>97.537099999999995</v>
      </c>
      <c r="P111" s="206">
        <v>24.461033</v>
      </c>
      <c r="Q111" s="217">
        <v>360</v>
      </c>
      <c r="R111" s="274">
        <v>88</v>
      </c>
      <c r="S111" s="274">
        <v>338</v>
      </c>
      <c r="T111" s="207">
        <f>IF(CampList[[#This Row],[HH]]&gt;0,CampList[[#This Row],[Total]]/CampList[[#This Row],[HH]],"NA")</f>
        <v>3.8409090909090908</v>
      </c>
      <c r="U111" s="183" t="s">
        <v>466</v>
      </c>
      <c r="V111" s="199" t="s">
        <v>995</v>
      </c>
      <c r="W111" s="183" t="s">
        <v>507</v>
      </c>
      <c r="X111" s="183" t="s">
        <v>785</v>
      </c>
      <c r="Y111" s="313">
        <v>40756</v>
      </c>
      <c r="Z111" s="217" t="s">
        <v>936</v>
      </c>
      <c r="AA111" s="198" t="s">
        <v>774</v>
      </c>
      <c r="AB111" s="210">
        <v>43343</v>
      </c>
      <c r="AC111" s="219" t="s">
        <v>1807</v>
      </c>
      <c r="AD111" s="220" t="str">
        <f ca="1">IFERROR(OFFSET(DistanceToCamp[Nearest Town],MATCH(CampList[[#This Row],[CP_Pcode]],DistanceToCamp[CP_Pcode],0)-1,0,1,1),"")</f>
        <v>Dawthponeyan  Town</v>
      </c>
      <c r="AE111" s="212">
        <f ca="1">IFERROR(OFFSET(DistanceToCamp[distance],MATCH(CampList[[#This Row],[CP_Pcode]],DistanceToCamp[CP_Pcode],0)-1,0,1,1),"")</f>
        <v>18.65617244319267</v>
      </c>
      <c r="AF111" s="221">
        <f ca="1">IFERROR(INT(CampList[[#This Row],[Distance]]/5)+1,"")</f>
        <v>4</v>
      </c>
    </row>
    <row r="112" spans="2:32" ht="15.75" hidden="1" customHeight="1" x14ac:dyDescent="0.3">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4">
        <v>0</v>
      </c>
      <c r="S112" s="285">
        <v>0</v>
      </c>
      <c r="T112" s="207" t="str">
        <f>IF(CampList[[#This Row],[HH]]&gt;0,CampList[[#This Row],[Total]]/CampList[[#This Row],[HH]],"NA")</f>
        <v>NA</v>
      </c>
      <c r="U112" s="199" t="s">
        <v>466</v>
      </c>
      <c r="V112" s="199" t="s">
        <v>995</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3">
      <c r="B113" s="203" t="s">
        <v>1745</v>
      </c>
      <c r="C113" s="198" t="s">
        <v>378</v>
      </c>
      <c r="D113" s="198" t="s">
        <v>478</v>
      </c>
      <c r="E113" s="198" t="s">
        <v>5</v>
      </c>
      <c r="F113" s="198" t="s">
        <v>482</v>
      </c>
      <c r="G113" s="198" t="s">
        <v>185</v>
      </c>
      <c r="H113" s="198" t="s">
        <v>486</v>
      </c>
      <c r="I113" s="198" t="s">
        <v>701</v>
      </c>
      <c r="J113" s="216" t="s">
        <v>702</v>
      </c>
      <c r="K113" s="198" t="s">
        <v>703</v>
      </c>
      <c r="L113" s="198">
        <v>216913</v>
      </c>
      <c r="M113" s="198" t="s">
        <v>219</v>
      </c>
      <c r="N113" s="198" t="s">
        <v>218</v>
      </c>
      <c r="O113" s="206">
        <v>97.752667000000002</v>
      </c>
      <c r="P113" s="206">
        <v>24.2744</v>
      </c>
      <c r="Q113" s="217">
        <v>978</v>
      </c>
      <c r="R113" s="206">
        <v>632</v>
      </c>
      <c r="S113" s="206">
        <v>3551</v>
      </c>
      <c r="T113" s="207">
        <f>IF(CampList[[#This Row],[HH]]&gt;0,CampList[[#This Row],[Total]]/CampList[[#This Row],[HH]],"NA")</f>
        <v>5.6186708860759493</v>
      </c>
      <c r="U113" s="183" t="s">
        <v>466</v>
      </c>
      <c r="V113" s="199" t="s">
        <v>995</v>
      </c>
      <c r="W113" s="183" t="s">
        <v>507</v>
      </c>
      <c r="X113" s="183" t="s">
        <v>784</v>
      </c>
      <c r="Y113" s="313">
        <v>41000</v>
      </c>
      <c r="Z113" s="217" t="s">
        <v>935</v>
      </c>
      <c r="AA113" s="198" t="s">
        <v>774</v>
      </c>
      <c r="AB113" s="210">
        <v>43343</v>
      </c>
      <c r="AC113" s="219" t="s">
        <v>1784</v>
      </c>
      <c r="AD113" s="220" t="str">
        <f ca="1">IFERROR(OFFSET(DistanceToCamp[Nearest Town],MATCH(CampList[[#This Row],[CP_Pcode]],DistanceToCamp[CP_Pcode],0)-1,0,1,1),"")</f>
        <v>Lwegel Town</v>
      </c>
      <c r="AE113" s="212">
        <f ca="1">IFERROR(OFFSET(DistanceToCamp[distance],MATCH(CampList[[#This Row],[CP_Pcode]],DistanceToCamp[CP_Pcode],0)-1,0,1,1),"")</f>
        <v>8.953204937938569</v>
      </c>
      <c r="AF113" s="221">
        <f ca="1">IFERROR(INT(CampList[[#This Row],[Distance]]/5)+1,"")</f>
        <v>2</v>
      </c>
    </row>
    <row r="114" spans="2:32" ht="15.75" customHeight="1" x14ac:dyDescent="0.3">
      <c r="B114" s="203" t="s">
        <v>1745</v>
      </c>
      <c r="C114" s="198" t="s">
        <v>378</v>
      </c>
      <c r="D114" s="198" t="s">
        <v>478</v>
      </c>
      <c r="E114" s="198" t="s">
        <v>5</v>
      </c>
      <c r="F114" s="198" t="s">
        <v>482</v>
      </c>
      <c r="G114" s="198" t="s">
        <v>151</v>
      </c>
      <c r="H114" s="198" t="s">
        <v>492</v>
      </c>
      <c r="I114" s="198" t="s">
        <v>683</v>
      </c>
      <c r="J114" s="216" t="s">
        <v>684</v>
      </c>
      <c r="K114" s="198" t="s">
        <v>685</v>
      </c>
      <c r="L114" s="198">
        <v>216948</v>
      </c>
      <c r="M114" s="198" t="s">
        <v>198</v>
      </c>
      <c r="N114" s="198" t="s">
        <v>197</v>
      </c>
      <c r="O114" s="206">
        <v>97.625617000000005</v>
      </c>
      <c r="P114" s="206">
        <v>24.056132999999999</v>
      </c>
      <c r="Q114" s="217">
        <v>866</v>
      </c>
      <c r="R114" s="206">
        <v>535</v>
      </c>
      <c r="S114" s="311">
        <v>2490</v>
      </c>
      <c r="T114" s="207">
        <f>IF(CampList[[#This Row],[HH]]&gt;0,CampList[[#This Row],[Total]]/CampList[[#This Row],[HH]],"NA")</f>
        <v>4.6542056074766354</v>
      </c>
      <c r="U114" s="183" t="s">
        <v>466</v>
      </c>
      <c r="V114" s="199" t="s">
        <v>995</v>
      </c>
      <c r="W114" s="183" t="s">
        <v>507</v>
      </c>
      <c r="X114" s="183" t="s">
        <v>784</v>
      </c>
      <c r="Y114" s="313">
        <v>40817</v>
      </c>
      <c r="Z114" s="217" t="s">
        <v>935</v>
      </c>
      <c r="AA114" s="198" t="s">
        <v>774</v>
      </c>
      <c r="AB114" s="210">
        <v>43343</v>
      </c>
      <c r="AC114" s="219" t="s">
        <v>1785</v>
      </c>
      <c r="AD114" s="220" t="str">
        <f ca="1">IFERROR(OFFSET(DistanceToCamp[Nearest Town],MATCH(CampList[[#This Row],[CP_Pcode]],DistanceToCamp[CP_Pcode],0)-1,0,1,1),"")</f>
        <v>Lwegel Town</v>
      </c>
      <c r="AE114" s="212">
        <f ca="1">IFERROR(OFFSET(DistanceToCamp[distance],MATCH(CampList[[#This Row],[CP_Pcode]],DistanceToCamp[CP_Pcode],0)-1,0,1,1),"")</f>
        <v>18.620903555062636</v>
      </c>
      <c r="AF114" s="221">
        <f ca="1">IFERROR(INT(CampList[[#This Row],[Distance]]/5)+1,"")</f>
        <v>4</v>
      </c>
    </row>
    <row r="115" spans="2:32" ht="15.75" hidden="1" customHeight="1" x14ac:dyDescent="0.3">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1035</v>
      </c>
      <c r="N115" s="197" t="s">
        <v>313</v>
      </c>
      <c r="O115" s="204">
        <v>97.551507000000001</v>
      </c>
      <c r="P115" s="204">
        <v>24.747212999999999</v>
      </c>
      <c r="Q115" s="205">
        <v>221</v>
      </c>
      <c r="R115" s="284">
        <v>0</v>
      </c>
      <c r="S115" s="285">
        <v>0</v>
      </c>
      <c r="T115" s="207" t="str">
        <f>IF(CampList[[#This Row],[HH]]&gt;0,CampList[[#This Row],[Total]]/CampList[[#This Row],[HH]],"NA")</f>
        <v>NA</v>
      </c>
      <c r="U115" s="199" t="s">
        <v>466</v>
      </c>
      <c r="V115" s="199" t="s">
        <v>995</v>
      </c>
      <c r="W115" s="199" t="s">
        <v>507</v>
      </c>
      <c r="X115" s="199" t="s">
        <v>784</v>
      </c>
      <c r="Y115" s="676">
        <v>40695</v>
      </c>
      <c r="Z115" s="676" t="s">
        <v>936</v>
      </c>
      <c r="AA115" s="223" t="s">
        <v>774</v>
      </c>
      <c r="AB115" s="210">
        <v>42180</v>
      </c>
      <c r="AC115" s="203" t="s">
        <v>1049</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3">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4">
        <v>0</v>
      </c>
      <c r="S116" s="285">
        <v>0</v>
      </c>
      <c r="T116" s="207" t="str">
        <f>IF(CampList[[#This Row],[HH]]&gt;0,CampList[[#This Row],[Total]]/CampList[[#This Row],[HH]],"NA")</f>
        <v>NA</v>
      </c>
      <c r="U116" s="199" t="s">
        <v>464</v>
      </c>
      <c r="V116" s="199" t="s">
        <v>995</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3">
      <c r="B117" s="203" t="s">
        <v>1745</v>
      </c>
      <c r="C117" s="197" t="s">
        <v>378</v>
      </c>
      <c r="D117" s="197" t="s">
        <v>478</v>
      </c>
      <c r="E117" s="197" t="s">
        <v>5</v>
      </c>
      <c r="F117" s="197" t="s">
        <v>482</v>
      </c>
      <c r="G117" s="211" t="s">
        <v>151</v>
      </c>
      <c r="H117" s="211" t="s">
        <v>492</v>
      </c>
      <c r="I117" s="211" t="s">
        <v>679</v>
      </c>
      <c r="J117" s="211" t="s">
        <v>680</v>
      </c>
      <c r="K117" s="211" t="s">
        <v>679</v>
      </c>
      <c r="L117" s="211" t="s">
        <v>679</v>
      </c>
      <c r="M117" s="197" t="s">
        <v>188</v>
      </c>
      <c r="N117" s="197" t="s">
        <v>187</v>
      </c>
      <c r="O117" s="204">
        <v>97.609832999999995</v>
      </c>
      <c r="P117" s="204">
        <v>24.002433</v>
      </c>
      <c r="Q117" s="205">
        <v>854</v>
      </c>
      <c r="R117" s="310">
        <v>362</v>
      </c>
      <c r="S117" s="311">
        <v>1718</v>
      </c>
      <c r="T117" s="207">
        <f>IF(CampList[[#This Row],[HH]]&gt;0,CampList[[#This Row],[Total]]/CampList[[#This Row],[HH]],"NA")</f>
        <v>4.7458563535911606</v>
      </c>
      <c r="U117" s="199" t="s">
        <v>466</v>
      </c>
      <c r="V117" s="199" t="s">
        <v>995</v>
      </c>
      <c r="W117" s="199" t="s">
        <v>507</v>
      </c>
      <c r="X117" s="199" t="s">
        <v>784</v>
      </c>
      <c r="Y117" s="312">
        <v>40817</v>
      </c>
      <c r="Z117" s="676" t="s">
        <v>935</v>
      </c>
      <c r="AA117" s="223" t="s">
        <v>774</v>
      </c>
      <c r="AB117" s="210">
        <v>43343</v>
      </c>
      <c r="AC117" s="203" t="s">
        <v>1786</v>
      </c>
      <c r="AD117" s="199" t="str">
        <f ca="1">IFERROR(OFFSET(DistanceToCamp[Nearest Town],MATCH(CampList[[#This Row],[CP_Pcode]],DistanceToCamp[CP_Pcode],0)-1,0,1,1),"")</f>
        <v>Namhkan Town</v>
      </c>
      <c r="AE117" s="212">
        <f ca="1">IFERROR(OFFSET(DistanceToCamp[distance],MATCH(CampList[[#This Row],[CP_Pcode]],DistanceToCamp[CP_Pcode],0)-1,0,1,1),"")</f>
        <v>19.796407430638478</v>
      </c>
      <c r="AF117" s="213">
        <f ca="1">IFERROR(INT(CampList[[#This Row],[Distance]]/5)+1,"")</f>
        <v>4</v>
      </c>
    </row>
    <row r="118" spans="2:32" ht="15.75" customHeight="1" x14ac:dyDescent="0.3">
      <c r="B118" s="203" t="s">
        <v>1745</v>
      </c>
      <c r="C118" s="198" t="s">
        <v>378</v>
      </c>
      <c r="D118" s="198" t="s">
        <v>478</v>
      </c>
      <c r="E118" s="198" t="s">
        <v>5</v>
      </c>
      <c r="F118" s="198" t="s">
        <v>482</v>
      </c>
      <c r="G118" s="198" t="s">
        <v>185</v>
      </c>
      <c r="H118" s="198" t="s">
        <v>486</v>
      </c>
      <c r="I118" s="198" t="s">
        <v>686</v>
      </c>
      <c r="J118" s="216" t="s">
        <v>687</v>
      </c>
      <c r="K118" s="198" t="s">
        <v>688</v>
      </c>
      <c r="L118" s="198">
        <v>167138</v>
      </c>
      <c r="M118" s="198" t="s">
        <v>215</v>
      </c>
      <c r="N118" s="198" t="s">
        <v>214</v>
      </c>
      <c r="O118" s="206">
        <v>97.669366999999994</v>
      </c>
      <c r="P118" s="206">
        <v>24.378167000000001</v>
      </c>
      <c r="Q118" s="217">
        <v>1149</v>
      </c>
      <c r="R118" s="206">
        <v>354</v>
      </c>
      <c r="S118" s="206">
        <v>3547</v>
      </c>
      <c r="T118" s="207">
        <f>IF(CampList[[#This Row],[HH]]&gt;0,CampList[[#This Row],[Total]]/CampList[[#This Row],[HH]],"NA")</f>
        <v>10.019774011299434</v>
      </c>
      <c r="U118" s="183" t="s">
        <v>466</v>
      </c>
      <c r="V118" s="199" t="s">
        <v>995</v>
      </c>
      <c r="W118" s="183" t="s">
        <v>507</v>
      </c>
      <c r="X118" s="183" t="s">
        <v>784</v>
      </c>
      <c r="Y118" s="313">
        <v>41000</v>
      </c>
      <c r="Z118" s="217" t="s">
        <v>935</v>
      </c>
      <c r="AA118" s="198" t="s">
        <v>774</v>
      </c>
      <c r="AB118" s="210">
        <v>43343</v>
      </c>
      <c r="AC118" s="219" t="s">
        <v>1787</v>
      </c>
      <c r="AD118" s="220" t="str">
        <f ca="1">IFERROR(OFFSET(DistanceToCamp[Nearest Town],MATCH(CampList[[#This Row],[CP_Pcode]],DistanceToCamp[CP_Pcode],0)-1,0,1,1),"")</f>
        <v>Lwegel Town</v>
      </c>
      <c r="AE118" s="212">
        <f ca="1">IFERROR(OFFSET(DistanceToCamp[distance],MATCH(CampList[[#This Row],[CP_Pcode]],DistanceToCamp[CP_Pcode],0)-1,0,1,1),"")</f>
        <v>20.558236360788097</v>
      </c>
      <c r="AF118" s="221">
        <f ca="1">IFERROR(INT(CampList[[#This Row],[Distance]]/5)+1,"")</f>
        <v>5</v>
      </c>
    </row>
    <row r="119" spans="2:32" ht="15.75" customHeight="1" x14ac:dyDescent="0.3">
      <c r="B119" s="203" t="s">
        <v>1745</v>
      </c>
      <c r="C119" s="198" t="s">
        <v>378</v>
      </c>
      <c r="D119" s="198" t="s">
        <v>478</v>
      </c>
      <c r="E119" s="198" t="s">
        <v>5</v>
      </c>
      <c r="F119" s="198" t="s">
        <v>482</v>
      </c>
      <c r="G119" s="198" t="s">
        <v>151</v>
      </c>
      <c r="H119" s="198" t="s">
        <v>492</v>
      </c>
      <c r="I119" s="198" t="s">
        <v>600</v>
      </c>
      <c r="J119" s="216" t="s">
        <v>601</v>
      </c>
      <c r="K119" s="211" t="s">
        <v>600</v>
      </c>
      <c r="L119" s="222">
        <v>167405</v>
      </c>
      <c r="M119" s="198" t="s">
        <v>154</v>
      </c>
      <c r="N119" s="198" t="s">
        <v>153</v>
      </c>
      <c r="O119" s="206">
        <v>97.578490000000002</v>
      </c>
      <c r="P119" s="206">
        <v>23.835319999999999</v>
      </c>
      <c r="Q119" s="217">
        <v>795</v>
      </c>
      <c r="R119" s="206">
        <v>442</v>
      </c>
      <c r="S119" s="206">
        <v>2301</v>
      </c>
      <c r="T119" s="207">
        <f>IF(CampList[[#This Row],[HH]]&gt;0,CampList[[#This Row],[Total]]/CampList[[#This Row],[HH]],"NA")</f>
        <v>5.2058823529411766</v>
      </c>
      <c r="U119" s="183" t="s">
        <v>464</v>
      </c>
      <c r="V119" s="199" t="s">
        <v>995</v>
      </c>
      <c r="W119" s="183" t="s">
        <v>507</v>
      </c>
      <c r="X119" s="183" t="s">
        <v>784</v>
      </c>
      <c r="Y119" s="313">
        <v>40848</v>
      </c>
      <c r="Z119" s="217" t="s">
        <v>935</v>
      </c>
      <c r="AA119" s="198" t="s">
        <v>774</v>
      </c>
      <c r="AB119" s="210">
        <v>43343</v>
      </c>
      <c r="AC119" s="219" t="s">
        <v>1788</v>
      </c>
      <c r="AD119" s="220" t="str">
        <f ca="1">IFERROR(OFFSET(DistanceToCamp[Nearest Town],MATCH(CampList[[#This Row],[CP_Pcode]],DistanceToCamp[CP_Pcode],0)-1,0,1,1),"")</f>
        <v>Namhkan Town</v>
      </c>
      <c r="AE119" s="212">
        <f ca="1">IFERROR(OFFSET(DistanceToCamp[distance],MATCH(CampList[[#This Row],[CP_Pcode]],DistanceToCamp[CP_Pcode],0)-1,0,1,1),"")</f>
        <v>10.509375400480517</v>
      </c>
      <c r="AF119" s="221">
        <f ca="1">IFERROR(INT(CampList[[#This Row],[Distance]]/5)+1,"")</f>
        <v>3</v>
      </c>
    </row>
    <row r="120" spans="2:32" ht="15.75" customHeight="1" x14ac:dyDescent="0.3">
      <c r="B120" s="203" t="s">
        <v>1745</v>
      </c>
      <c r="C120" s="197" t="s">
        <v>378</v>
      </c>
      <c r="D120" s="197" t="s">
        <v>478</v>
      </c>
      <c r="E120" s="197" t="s">
        <v>5</v>
      </c>
      <c r="F120" s="197" t="s">
        <v>482</v>
      </c>
      <c r="G120" s="197" t="s">
        <v>151</v>
      </c>
      <c r="H120" s="197" t="s">
        <v>492</v>
      </c>
      <c r="I120" s="211" t="s">
        <v>600</v>
      </c>
      <c r="J120" s="211" t="s">
        <v>601</v>
      </c>
      <c r="K120" s="211" t="s">
        <v>600</v>
      </c>
      <c r="L120" s="222">
        <v>167405</v>
      </c>
      <c r="M120" s="197" t="s">
        <v>160</v>
      </c>
      <c r="N120" s="197" t="s">
        <v>159</v>
      </c>
      <c r="O120" s="204">
        <v>97.589979999999997</v>
      </c>
      <c r="P120" s="204">
        <v>23.83013</v>
      </c>
      <c r="Q120" s="205">
        <v>741</v>
      </c>
      <c r="R120" s="274">
        <v>127</v>
      </c>
      <c r="S120" s="274">
        <v>653</v>
      </c>
      <c r="T120" s="207">
        <f>IF(CampList[[#This Row],[HH]]&gt;0,CampList[[#This Row],[Total]]/CampList[[#This Row],[HH]],"NA")</f>
        <v>5.1417322834645667</v>
      </c>
      <c r="U120" s="199" t="s">
        <v>464</v>
      </c>
      <c r="V120" s="199" t="s">
        <v>995</v>
      </c>
      <c r="W120" s="199" t="s">
        <v>507</v>
      </c>
      <c r="X120" s="199" t="s">
        <v>784</v>
      </c>
      <c r="Y120" s="312">
        <v>40940</v>
      </c>
      <c r="Z120" s="676" t="s">
        <v>424</v>
      </c>
      <c r="AA120" s="223" t="s">
        <v>774</v>
      </c>
      <c r="AB120" s="210">
        <v>43343</v>
      </c>
      <c r="AC120" s="211" t="s">
        <v>1867</v>
      </c>
      <c r="AD120" s="199" t="str">
        <f ca="1">IFERROR(OFFSET(DistanceToCamp[Nearest Town],MATCH(CampList[[#This Row],[CP_Pcode]],DistanceToCamp[CP_Pcode],0)-1,0,1,1),"")</f>
        <v>Namhkan Town</v>
      </c>
      <c r="AE120" s="212">
        <f ca="1">IFERROR(OFFSET(DistanceToCamp[distance],MATCH(CampList[[#This Row],[CP_Pcode]],DistanceToCamp[CP_Pcode],0)-1,0,1,1),"")</f>
        <v>9.3704379947870464</v>
      </c>
      <c r="AF120" s="213">
        <f ca="1">IFERROR(INT(CampList[[#This Row],[Distance]]/5)+1,"")</f>
        <v>2</v>
      </c>
    </row>
    <row r="121" spans="2:32" ht="15.75" customHeight="1" x14ac:dyDescent="0.3">
      <c r="B121" s="203" t="s">
        <v>1745</v>
      </c>
      <c r="C121" s="197" t="s">
        <v>378</v>
      </c>
      <c r="D121" s="197" t="s">
        <v>478</v>
      </c>
      <c r="E121" s="197" t="s">
        <v>5</v>
      </c>
      <c r="F121" s="197" t="s">
        <v>482</v>
      </c>
      <c r="G121" s="197" t="s">
        <v>151</v>
      </c>
      <c r="H121" s="197" t="s">
        <v>492</v>
      </c>
      <c r="I121" s="211" t="s">
        <v>600</v>
      </c>
      <c r="J121" s="211" t="s">
        <v>601</v>
      </c>
      <c r="K121" s="211" t="s">
        <v>600</v>
      </c>
      <c r="L121" s="211">
        <v>167405</v>
      </c>
      <c r="M121" s="197" t="s">
        <v>156</v>
      </c>
      <c r="N121" s="197" t="s">
        <v>155</v>
      </c>
      <c r="O121" s="204">
        <v>97.588291999999996</v>
      </c>
      <c r="P121" s="204">
        <v>23.827870999999998</v>
      </c>
      <c r="Q121" s="217"/>
      <c r="R121" s="310">
        <v>175</v>
      </c>
      <c r="S121" s="311">
        <v>834</v>
      </c>
      <c r="T121" s="207">
        <f>IF(CampList[[#This Row],[HH]]&gt;0,CampList[[#This Row],[Total]]/CampList[[#This Row],[HH]],"NA")</f>
        <v>4.765714285714286</v>
      </c>
      <c r="U121" s="199" t="s">
        <v>464</v>
      </c>
      <c r="V121" s="199" t="s">
        <v>995</v>
      </c>
      <c r="W121" s="227" t="s">
        <v>12</v>
      </c>
      <c r="X121" s="199" t="s">
        <v>784</v>
      </c>
      <c r="Y121" s="313"/>
      <c r="Z121" s="209" t="s">
        <v>1317</v>
      </c>
      <c r="AA121" s="223" t="s">
        <v>774</v>
      </c>
      <c r="AB121" s="230">
        <v>43090</v>
      </c>
      <c r="AC121" s="211" t="s">
        <v>1552</v>
      </c>
      <c r="AD121" s="199" t="str">
        <f ca="1">IFERROR(OFFSET(DistanceToCamp[Nearest Town],MATCH(CampList[[#This Row],[CP_Pcode]],DistanceToCamp[CP_Pcode],0)-1,0,1,1),"")</f>
        <v>Namhkan Town</v>
      </c>
      <c r="AE121" s="212">
        <f ca="1">IFERROR(OFFSET(DistanceToCamp[distance],MATCH(CampList[[#This Row],[CP_Pcode]],DistanceToCamp[CP_Pcode],0)-1,0,1,1),"")</f>
        <v>9.5650381623500511</v>
      </c>
      <c r="AF121" s="213">
        <f ca="1">IFERROR(INT(CampList[[#This Row],[Distance]]/5)+1,"")</f>
        <v>2</v>
      </c>
    </row>
    <row r="122" spans="2:32" ht="15.75" customHeight="1" x14ac:dyDescent="0.3">
      <c r="B122" s="203" t="s">
        <v>1745</v>
      </c>
      <c r="C122" s="197" t="s">
        <v>378</v>
      </c>
      <c r="D122" s="197" t="s">
        <v>478</v>
      </c>
      <c r="E122" s="197" t="s">
        <v>237</v>
      </c>
      <c r="F122" s="694" t="s">
        <v>484</v>
      </c>
      <c r="G122" s="694" t="s">
        <v>237</v>
      </c>
      <c r="H122" s="694" t="s">
        <v>488</v>
      </c>
      <c r="I122" s="694" t="s">
        <v>1686</v>
      </c>
      <c r="J122" s="694" t="s">
        <v>1687</v>
      </c>
      <c r="K122" s="197"/>
      <c r="L122" s="197"/>
      <c r="M122" s="197" t="s">
        <v>303</v>
      </c>
      <c r="N122" s="197" t="s">
        <v>302</v>
      </c>
      <c r="O122" s="204"/>
      <c r="P122" s="204"/>
      <c r="Q122" s="217"/>
      <c r="R122" s="310">
        <v>375</v>
      </c>
      <c r="S122" s="311">
        <v>1691</v>
      </c>
      <c r="T122" s="207">
        <f>IF(CampList[[#This Row],[HH]]&gt;0,CampList[[#This Row],[Total]]/CampList[[#This Row],[HH]],"NA")</f>
        <v>4.5093333333333332</v>
      </c>
      <c r="U122" s="199" t="s">
        <v>464</v>
      </c>
      <c r="V122" s="199" t="s">
        <v>995</v>
      </c>
      <c r="W122" s="199" t="s">
        <v>12</v>
      </c>
      <c r="X122" s="199" t="s">
        <v>784</v>
      </c>
      <c r="Y122" s="313">
        <v>41701</v>
      </c>
      <c r="Z122" s="209" t="s">
        <v>1317</v>
      </c>
      <c r="AA122" s="223" t="s">
        <v>522</v>
      </c>
      <c r="AB122" s="210">
        <v>42888</v>
      </c>
      <c r="AC122" s="203" t="s">
        <v>1248</v>
      </c>
      <c r="AD122" s="199" t="str">
        <f ca="1">IFERROR(OFFSET(DistanceToCamp[Nearest Town],MATCH(CampList[[#This Row],[CP_Pcode]],DistanceToCamp[CP_Pcode],0)-1,0,1,1),"")</f>
        <v>Sinbo Town</v>
      </c>
      <c r="AE122" s="212">
        <f ca="1">IFERROR(OFFSET(DistanceToCamp[distance],MATCH(CampList[[#This Row],[CP_Pcode]],DistanceToCamp[CP_Pcode],0)-1,0,1,1),"")</f>
        <v>0</v>
      </c>
      <c r="AF122" s="213">
        <f ca="1">IFERROR(INT(CampList[[#This Row],[Distance]]/5)+1,"")</f>
        <v>1</v>
      </c>
    </row>
    <row r="123" spans="2:32" ht="15.75" customHeight="1" x14ac:dyDescent="0.3">
      <c r="B123" s="203" t="s">
        <v>1745</v>
      </c>
      <c r="C123" s="197" t="s">
        <v>378</v>
      </c>
      <c r="D123" s="197" t="s">
        <v>478</v>
      </c>
      <c r="E123" s="197" t="s">
        <v>180</v>
      </c>
      <c r="F123" s="197" t="s">
        <v>479</v>
      </c>
      <c r="G123" s="197" t="s">
        <v>480</v>
      </c>
      <c r="H123" s="197" t="s">
        <v>481</v>
      </c>
      <c r="I123" s="197" t="s">
        <v>959</v>
      </c>
      <c r="J123" s="197" t="s">
        <v>1039</v>
      </c>
      <c r="K123" s="197" t="s">
        <v>1098</v>
      </c>
      <c r="L123" s="222">
        <v>220512</v>
      </c>
      <c r="M123" s="197" t="s">
        <v>88</v>
      </c>
      <c r="N123" s="197" t="s">
        <v>87</v>
      </c>
      <c r="O123" s="204">
        <v>96.705960000000005</v>
      </c>
      <c r="P123" s="204">
        <v>25.51352</v>
      </c>
      <c r="Q123" s="205">
        <v>0</v>
      </c>
      <c r="R123" s="274">
        <v>34</v>
      </c>
      <c r="S123" s="274">
        <v>136</v>
      </c>
      <c r="T123" s="207">
        <f>IF(CampList[[#This Row],[HH]]&gt;0,CampList[[#This Row],[Total]]/CampList[[#This Row],[HH]],"NA")</f>
        <v>4</v>
      </c>
      <c r="U123" s="199" t="s">
        <v>464</v>
      </c>
      <c r="V123" s="199" t="s">
        <v>995</v>
      </c>
      <c r="W123" s="199" t="s">
        <v>507</v>
      </c>
      <c r="X123" s="199" t="s">
        <v>742</v>
      </c>
      <c r="Y123" s="312">
        <v>41183</v>
      </c>
      <c r="Z123" s="676" t="s">
        <v>424</v>
      </c>
      <c r="AA123" s="223" t="s">
        <v>774</v>
      </c>
      <c r="AB123" s="210">
        <v>43343</v>
      </c>
      <c r="AC123" s="203" t="s">
        <v>1868</v>
      </c>
      <c r="AD123" s="199" t="str">
        <f ca="1">IFERROR(OFFSET(DistanceToCamp[Nearest Town],MATCH(CampList[[#This Row],[CP_Pcode]],DistanceToCamp[CP_Pcode],0)-1,0,1,1),"")</f>
        <v>Kamaing Town</v>
      </c>
      <c r="AE123" s="212">
        <f ca="1">IFERROR(OFFSET(DistanceToCamp[distance],MATCH(CampList[[#This Row],[CP_Pcode]],DistanceToCamp[CP_Pcode],0)-1,0,1,1),"")</f>
        <v>1.1537462444167914</v>
      </c>
      <c r="AF123" s="213">
        <f ca="1">IFERROR(INT(CampList[[#This Row],[Distance]]/5)+1,"")</f>
        <v>1</v>
      </c>
    </row>
    <row r="124" spans="2:32" ht="15.75" customHeight="1" x14ac:dyDescent="0.3">
      <c r="B124" s="203" t="s">
        <v>1745</v>
      </c>
      <c r="C124" s="198" t="s">
        <v>378</v>
      </c>
      <c r="D124" s="198" t="s">
        <v>478</v>
      </c>
      <c r="E124" s="198" t="s">
        <v>237</v>
      </c>
      <c r="F124" s="198" t="s">
        <v>484</v>
      </c>
      <c r="G124" s="198" t="s">
        <v>309</v>
      </c>
      <c r="H124" s="198" t="s">
        <v>485</v>
      </c>
      <c r="I124" s="214" t="s">
        <v>710</v>
      </c>
      <c r="J124" s="214" t="s">
        <v>709</v>
      </c>
      <c r="K124" s="214" t="s">
        <v>710</v>
      </c>
      <c r="L124" s="214">
        <v>165895</v>
      </c>
      <c r="M124" s="198" t="s">
        <v>353</v>
      </c>
      <c r="N124" s="198" t="s">
        <v>352</v>
      </c>
      <c r="O124" s="206">
        <v>97.990555999999998</v>
      </c>
      <c r="P124" s="206">
        <v>25.265277999999999</v>
      </c>
      <c r="Q124" s="217">
        <v>2764</v>
      </c>
      <c r="R124" s="274">
        <v>82</v>
      </c>
      <c r="S124" s="274">
        <v>518</v>
      </c>
      <c r="T124" s="207">
        <f>IF(CampList[[#This Row],[HH]]&gt;0,CampList[[#This Row],[Total]]/CampList[[#This Row],[HH]],"NA")</f>
        <v>6.3170731707317076</v>
      </c>
      <c r="U124" s="183" t="s">
        <v>466</v>
      </c>
      <c r="V124" s="199" t="s">
        <v>995</v>
      </c>
      <c r="W124" s="183" t="s">
        <v>507</v>
      </c>
      <c r="X124" s="183" t="s">
        <v>785</v>
      </c>
      <c r="Y124" s="313">
        <v>40848</v>
      </c>
      <c r="Z124" s="217" t="s">
        <v>936</v>
      </c>
      <c r="AA124" s="198" t="s">
        <v>774</v>
      </c>
      <c r="AB124" s="210">
        <v>43343</v>
      </c>
      <c r="AC124" s="219" t="s">
        <v>1808</v>
      </c>
      <c r="AD124" s="220" t="str">
        <f ca="1">IFERROR(OFFSET(DistanceToCamp[Nearest Town],MATCH(CampList[[#This Row],[CP_Pcode]],DistanceToCamp[CP_Pcode],0)-1,0,1,1),"")</f>
        <v>Sadung Town</v>
      </c>
      <c r="AE124" s="212">
        <f ca="1">IFERROR(OFFSET(DistanceToCamp[distance],MATCH(CampList[[#This Row],[CP_Pcode]],DistanceToCamp[CP_Pcode],0)-1,0,1,1),"")</f>
        <v>17.035515422123492</v>
      </c>
      <c r="AF124" s="221">
        <f ca="1">IFERROR(INT(CampList[[#This Row],[Distance]]/5)+1,"")</f>
        <v>4</v>
      </c>
    </row>
    <row r="125" spans="2:32" ht="15.75" customHeight="1" x14ac:dyDescent="0.3">
      <c r="B125" s="203" t="s">
        <v>1745</v>
      </c>
      <c r="C125" s="198" t="s">
        <v>378</v>
      </c>
      <c r="D125" s="198" t="s">
        <v>478</v>
      </c>
      <c r="E125" s="198" t="s">
        <v>237</v>
      </c>
      <c r="F125" s="198" t="s">
        <v>484</v>
      </c>
      <c r="G125" s="198" t="s">
        <v>237</v>
      </c>
      <c r="H125" s="198" t="s">
        <v>488</v>
      </c>
      <c r="I125" s="198" t="s">
        <v>649</v>
      </c>
      <c r="J125" s="216" t="s">
        <v>650</v>
      </c>
      <c r="K125" s="198" t="s">
        <v>651</v>
      </c>
      <c r="L125" s="198">
        <v>165685</v>
      </c>
      <c r="M125" s="198" t="s">
        <v>272</v>
      </c>
      <c r="N125" s="198" t="s">
        <v>271</v>
      </c>
      <c r="O125" s="206">
        <v>97.4345</v>
      </c>
      <c r="P125" s="206">
        <v>25.493819999999999</v>
      </c>
      <c r="Q125" s="217"/>
      <c r="R125" s="274">
        <v>138</v>
      </c>
      <c r="S125" s="274">
        <v>803</v>
      </c>
      <c r="T125" s="207">
        <f>IF(CampList[[#This Row],[HH]]&gt;0,CampList[[#This Row],[Total]]/CampList[[#This Row],[HH]],"NA")</f>
        <v>5.8188405797101446</v>
      </c>
      <c r="U125" s="183" t="s">
        <v>464</v>
      </c>
      <c r="V125" s="199" t="s">
        <v>995</v>
      </c>
      <c r="W125" s="183" t="s">
        <v>507</v>
      </c>
      <c r="X125" s="183" t="s">
        <v>742</v>
      </c>
      <c r="Y125" s="313">
        <v>41244</v>
      </c>
      <c r="Z125" s="217" t="s">
        <v>936</v>
      </c>
      <c r="AA125" s="198" t="s">
        <v>774</v>
      </c>
      <c r="AB125" s="210">
        <v>43343</v>
      </c>
      <c r="AC125" s="219" t="s">
        <v>1809</v>
      </c>
      <c r="AD125" s="220" t="str">
        <f ca="1">IFERROR(OFFSET(DistanceToCamp[Nearest Town],MATCH(CampList[[#This Row],[CP_Pcode]],DistanceToCamp[CP_Pcode],0)-1,0,1,1),"")</f>
        <v>Myitkyina Town</v>
      </c>
      <c r="AE125" s="212">
        <f ca="1">IFERROR(OFFSET(DistanceToCamp[distance],MATCH(CampList[[#This Row],[CP_Pcode]],DistanceToCamp[CP_Pcode],0)-1,0,1,1),"")</f>
        <v>12.627188913244609</v>
      </c>
      <c r="AF125" s="221">
        <f ca="1">IFERROR(INT(CampList[[#This Row],[Distance]]/5)+1,"")</f>
        <v>3</v>
      </c>
    </row>
    <row r="126" spans="2:32" ht="15.75" customHeight="1" x14ac:dyDescent="0.3">
      <c r="B126" s="203" t="s">
        <v>1745</v>
      </c>
      <c r="C126" s="197" t="s">
        <v>378</v>
      </c>
      <c r="D126" s="197" t="s">
        <v>478</v>
      </c>
      <c r="E126" s="197" t="s">
        <v>5</v>
      </c>
      <c r="F126" s="197" t="s">
        <v>482</v>
      </c>
      <c r="G126" s="197" t="s">
        <v>5</v>
      </c>
      <c r="H126" s="197" t="s">
        <v>483</v>
      </c>
      <c r="I126" s="211" t="s">
        <v>577</v>
      </c>
      <c r="J126" s="211" t="s">
        <v>578</v>
      </c>
      <c r="K126" s="197"/>
      <c r="L126" s="197"/>
      <c r="M126" s="197" t="s">
        <v>12</v>
      </c>
      <c r="N126" s="197" t="s">
        <v>11</v>
      </c>
      <c r="O126" s="204">
        <v>97.228835000000004</v>
      </c>
      <c r="P126" s="204">
        <v>24.263786</v>
      </c>
      <c r="Q126" s="217"/>
      <c r="R126" s="311">
        <v>190</v>
      </c>
      <c r="S126" s="311">
        <v>928</v>
      </c>
      <c r="T126" s="207">
        <f>IF(CampList[[#This Row],[HH]]&gt;0,CampList[[#This Row],[Total]]/CampList[[#This Row],[HH]],"NA")</f>
        <v>4.8842105263157896</v>
      </c>
      <c r="U126" s="199" t="s">
        <v>464</v>
      </c>
      <c r="V126" s="199" t="s">
        <v>995</v>
      </c>
      <c r="W126" s="227" t="s">
        <v>12</v>
      </c>
      <c r="X126" s="199" t="s">
        <v>742</v>
      </c>
      <c r="Y126" s="313"/>
      <c r="Z126" s="209" t="s">
        <v>1317</v>
      </c>
      <c r="AA126" s="223" t="s">
        <v>774</v>
      </c>
      <c r="AB126" s="230">
        <v>43090</v>
      </c>
      <c r="AC126" s="203" t="s">
        <v>1386</v>
      </c>
      <c r="AD126" s="199" t="str">
        <f ca="1">IFERROR(OFFSET(DistanceToCamp[Nearest Town],MATCH(CampList[[#This Row],[CP_Pcode]],DistanceToCamp[CP_Pcode],0)-1,0,1,1),"")</f>
        <v>Bhamo Town</v>
      </c>
      <c r="AE126" s="212">
        <f ca="1">IFERROR(OFFSET(DistanceToCamp[distance],MATCH(CampList[[#This Row],[CP_Pcode]],DistanceToCamp[CP_Pcode],0)-1,0,1,1),"")</f>
        <v>1.1354007641426449</v>
      </c>
      <c r="AF126" s="213">
        <f ca="1">IFERROR(INT(CampList[[#This Row],[Distance]]/5)+1,"")</f>
        <v>1</v>
      </c>
    </row>
    <row r="127" spans="2:32" ht="15.75" customHeight="1" x14ac:dyDescent="0.3">
      <c r="B127" s="203" t="s">
        <v>1745</v>
      </c>
      <c r="C127" s="197" t="s">
        <v>378</v>
      </c>
      <c r="D127" s="197" t="s">
        <v>478</v>
      </c>
      <c r="E127" s="197" t="s">
        <v>180</v>
      </c>
      <c r="F127" s="197" t="s">
        <v>479</v>
      </c>
      <c r="G127" s="197" t="s">
        <v>480</v>
      </c>
      <c r="H127" s="197" t="s">
        <v>481</v>
      </c>
      <c r="I127" s="197" t="s">
        <v>543</v>
      </c>
      <c r="J127" s="197" t="s">
        <v>544</v>
      </c>
      <c r="K127" s="197" t="s">
        <v>547</v>
      </c>
      <c r="L127" s="197" t="s">
        <v>548</v>
      </c>
      <c r="M127" s="197" t="s">
        <v>92</v>
      </c>
      <c r="N127" s="197" t="s">
        <v>91</v>
      </c>
      <c r="O127" s="204">
        <v>96.316400000000002</v>
      </c>
      <c r="P127" s="204">
        <v>25.61842</v>
      </c>
      <c r="Q127" s="205">
        <v>250</v>
      </c>
      <c r="R127" s="274">
        <v>11</v>
      </c>
      <c r="S127" s="274">
        <v>55</v>
      </c>
      <c r="T127" s="207">
        <f>IF(CampList[[#This Row],[HH]]&gt;0,CampList[[#This Row],[Total]]/CampList[[#This Row],[HH]],"NA")</f>
        <v>5</v>
      </c>
      <c r="U127" s="199" t="s">
        <v>464</v>
      </c>
      <c r="V127" s="199" t="s">
        <v>995</v>
      </c>
      <c r="W127" s="199" t="s">
        <v>507</v>
      </c>
      <c r="X127" s="199" t="s">
        <v>742</v>
      </c>
      <c r="Y127" s="312">
        <v>41275</v>
      </c>
      <c r="Z127" s="676" t="s">
        <v>462</v>
      </c>
      <c r="AA127" s="223" t="s">
        <v>774</v>
      </c>
      <c r="AB127" s="210">
        <v>43343</v>
      </c>
      <c r="AC127" s="203" t="s">
        <v>1829</v>
      </c>
      <c r="AD127" s="199" t="str">
        <f ca="1">IFERROR(OFFSET(DistanceToCamp[Nearest Town],MATCH(CampList[[#This Row],[CP_Pcode]],DistanceToCamp[CP_Pcode],0)-1,0,1,1),"")</f>
        <v>Hpakant Town</v>
      </c>
      <c r="AE127" s="212">
        <f ca="1">IFERROR(OFFSET(DistanceToCamp[distance],MATCH(CampList[[#This Row],[CP_Pcode]],DistanceToCamp[CP_Pcode],0)-1,0,1,1),"")</f>
        <v>0.75842119772531946</v>
      </c>
      <c r="AF127" s="213">
        <f ca="1">IFERROR(INT(CampList[[#This Row],[Distance]]/5)+1,"")</f>
        <v>1</v>
      </c>
    </row>
    <row r="128" spans="2:32" ht="15.75" customHeight="1" x14ac:dyDescent="0.3">
      <c r="B128" s="203" t="s">
        <v>1745</v>
      </c>
      <c r="C128" s="197" t="s">
        <v>378</v>
      </c>
      <c r="D128" s="197" t="s">
        <v>478</v>
      </c>
      <c r="E128" s="197" t="s">
        <v>180</v>
      </c>
      <c r="F128" s="197" t="s">
        <v>479</v>
      </c>
      <c r="G128" s="197" t="s">
        <v>480</v>
      </c>
      <c r="H128" s="197" t="s">
        <v>481</v>
      </c>
      <c r="I128" s="211" t="s">
        <v>552</v>
      </c>
      <c r="J128" s="211" t="s">
        <v>553</v>
      </c>
      <c r="K128" s="211" t="s">
        <v>552</v>
      </c>
      <c r="L128" s="211">
        <v>166773</v>
      </c>
      <c r="M128" s="197" t="s">
        <v>120</v>
      </c>
      <c r="N128" s="197" t="s">
        <v>119</v>
      </c>
      <c r="O128" s="204">
        <v>96.361609999999999</v>
      </c>
      <c r="P128" s="204">
        <v>25.656009999999998</v>
      </c>
      <c r="Q128" s="205">
        <v>317</v>
      </c>
      <c r="R128" s="274">
        <v>68</v>
      </c>
      <c r="S128" s="274">
        <v>336</v>
      </c>
      <c r="T128" s="207">
        <f>IF(CampList[[#This Row],[HH]]&gt;0,CampList[[#This Row],[Total]]/CampList[[#This Row],[HH]],"NA")</f>
        <v>4.9411764705882355</v>
      </c>
      <c r="U128" s="199" t="s">
        <v>464</v>
      </c>
      <c r="V128" s="199" t="s">
        <v>995</v>
      </c>
      <c r="W128" s="199" t="s">
        <v>507</v>
      </c>
      <c r="X128" s="199" t="s">
        <v>784</v>
      </c>
      <c r="Y128" s="312">
        <v>41275</v>
      </c>
      <c r="Z128" s="676" t="s">
        <v>936</v>
      </c>
      <c r="AA128" s="223" t="s">
        <v>774</v>
      </c>
      <c r="AB128" s="210">
        <v>43343</v>
      </c>
      <c r="AC128" s="203" t="s">
        <v>1810</v>
      </c>
      <c r="AD128" s="199" t="str">
        <f ca="1">IFERROR(OFFSET(DistanceToCamp[Nearest Town],MATCH(CampList[[#This Row],[CP_Pcode]],DistanceToCamp[CP_Pcode],0)-1,0,1,1),"")</f>
        <v>Hpakant Town</v>
      </c>
      <c r="AE128" s="212">
        <f ca="1">IFERROR(OFFSET(DistanceToCamp[distance],MATCH(CampList[[#This Row],[CP_Pcode]],DistanceToCamp[CP_Pcode],0)-1,0,1,1),"")</f>
        <v>6.3039408411778268</v>
      </c>
      <c r="AF128" s="213">
        <f ca="1">IFERROR(INT(CampList[[#This Row],[Distance]]/5)+1,"")</f>
        <v>2</v>
      </c>
    </row>
    <row r="129" spans="2:32" ht="15.75" hidden="1" customHeight="1" x14ac:dyDescent="0.3">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4">
        <v>0</v>
      </c>
      <c r="S129" s="285">
        <v>0</v>
      </c>
      <c r="T129" s="207" t="str">
        <f>IF(CampList[[#This Row],[HH]]&gt;0,CampList[[#This Row],[Total]]/CampList[[#This Row],[HH]],"NA")</f>
        <v>NA</v>
      </c>
      <c r="U129" s="199" t="s">
        <v>466</v>
      </c>
      <c r="V129" s="199" t="s">
        <v>995</v>
      </c>
      <c r="W129" s="199" t="s">
        <v>507</v>
      </c>
      <c r="X129" s="199" t="s">
        <v>785</v>
      </c>
      <c r="Y129" s="676">
        <v>41122</v>
      </c>
      <c r="Z129" s="676" t="s">
        <v>935</v>
      </c>
      <c r="AA129" s="223" t="s">
        <v>774</v>
      </c>
      <c r="AB129" s="210">
        <v>42235</v>
      </c>
      <c r="AC129" s="203" t="s">
        <v>1064</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3">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4">
        <v>0</v>
      </c>
      <c r="S130" s="285">
        <v>0</v>
      </c>
      <c r="T130" s="207" t="str">
        <f>IF(CampList[[#This Row],[HH]]&gt;0,CampList[[#This Row],[Total]]/CampList[[#This Row],[HH]],"NA")</f>
        <v>NA</v>
      </c>
      <c r="U130" s="199" t="s">
        <v>466</v>
      </c>
      <c r="V130" s="199" t="s">
        <v>995</v>
      </c>
      <c r="W130" s="199" t="s">
        <v>507</v>
      </c>
      <c r="X130" s="199"/>
      <c r="Y130" s="218"/>
      <c r="Z130" s="209"/>
      <c r="AA130" s="223" t="s">
        <v>774</v>
      </c>
      <c r="AB130" s="210">
        <v>41737</v>
      </c>
      <c r="AC130" s="203" t="s">
        <v>894</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3">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4">
        <v>0</v>
      </c>
      <c r="S131" s="285">
        <v>0</v>
      </c>
      <c r="T131" s="207" t="str">
        <f>IF(CampList[[#This Row],[HH]]&gt;0,CampList[[#This Row],[Total]]/CampList[[#This Row],[HH]],"NA")</f>
        <v>NA</v>
      </c>
      <c r="U131" s="199" t="s">
        <v>466</v>
      </c>
      <c r="V131" s="199" t="s">
        <v>995</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3">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4">
        <v>0</v>
      </c>
      <c r="S132" s="285">
        <v>0</v>
      </c>
      <c r="T132" s="207" t="str">
        <f>IF(CampList[[#This Row],[HH]]&gt;0,CampList[[#This Row],[Total]]/CampList[[#This Row],[HH]],"NA")</f>
        <v>NA</v>
      </c>
      <c r="U132" s="199" t="s">
        <v>464</v>
      </c>
      <c r="V132" s="199" t="s">
        <v>995</v>
      </c>
      <c r="W132" s="199" t="s">
        <v>507</v>
      </c>
      <c r="X132" s="199"/>
      <c r="Y132" s="218"/>
      <c r="Z132" s="209"/>
      <c r="AA132" s="223"/>
      <c r="AB132" s="210">
        <v>41712</v>
      </c>
      <c r="AC132" s="203" t="s">
        <v>879</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3">
      <c r="B133" s="203" t="s">
        <v>1745</v>
      </c>
      <c r="C133" s="197" t="s">
        <v>378</v>
      </c>
      <c r="D133" s="197" t="s">
        <v>478</v>
      </c>
      <c r="E133" s="197" t="s">
        <v>180</v>
      </c>
      <c r="F133" s="197" t="s">
        <v>479</v>
      </c>
      <c r="G133" s="197" t="s">
        <v>480</v>
      </c>
      <c r="H133" s="197" t="s">
        <v>481</v>
      </c>
      <c r="I133" s="211" t="s">
        <v>552</v>
      </c>
      <c r="J133" s="211" t="s">
        <v>553</v>
      </c>
      <c r="K133" s="211" t="s">
        <v>554</v>
      </c>
      <c r="L133" s="211">
        <v>166775</v>
      </c>
      <c r="M133" s="197" t="s">
        <v>52</v>
      </c>
      <c r="N133" s="197" t="s">
        <v>51</v>
      </c>
      <c r="O133" s="204">
        <v>96.346469999999997</v>
      </c>
      <c r="P133" s="204">
        <v>25.647649999999999</v>
      </c>
      <c r="Q133" s="205">
        <v>0</v>
      </c>
      <c r="R133" s="274">
        <v>36</v>
      </c>
      <c r="S133" s="274">
        <v>226</v>
      </c>
      <c r="T133" s="207">
        <f>IF(CampList[[#This Row],[HH]]&gt;0,CampList[[#This Row],[Total]]/CampList[[#This Row],[HH]],"NA")</f>
        <v>6.2777777777777777</v>
      </c>
      <c r="U133" s="199" t="s">
        <v>464</v>
      </c>
      <c r="V133" s="199" t="s">
        <v>995</v>
      </c>
      <c r="W133" s="199" t="s">
        <v>507</v>
      </c>
      <c r="X133" s="199" t="s">
        <v>784</v>
      </c>
      <c r="Y133" s="312">
        <v>41275</v>
      </c>
      <c r="Z133" s="676" t="s">
        <v>424</v>
      </c>
      <c r="AA133" s="223" t="s">
        <v>774</v>
      </c>
      <c r="AB133" s="210">
        <v>43343</v>
      </c>
      <c r="AC133" s="203" t="s">
        <v>1870</v>
      </c>
      <c r="AD133" s="199" t="str">
        <f ca="1">IFERROR(OFFSET(DistanceToCamp[Nearest Town],MATCH(CampList[[#This Row],[CP_Pcode]],DistanceToCamp[CP_Pcode],0)-1,0,1,1),"")</f>
        <v>Hpakant Town</v>
      </c>
      <c r="AE133" s="212">
        <f ca="1">IFERROR(OFFSET(DistanceToCamp[distance],MATCH(CampList[[#This Row],[CP_Pcode]],DistanceToCamp[CP_Pcode],0)-1,0,1,1),"")</f>
        <v>5.184483270539272</v>
      </c>
      <c r="AF133" s="213">
        <f ca="1">IFERROR(INT(CampList[[#This Row],[Distance]]/5)+1,"")</f>
        <v>2</v>
      </c>
    </row>
    <row r="134" spans="2:32" ht="15.75" customHeight="1" x14ac:dyDescent="0.3">
      <c r="B134" s="203" t="s">
        <v>1745</v>
      </c>
      <c r="C134" s="197" t="s">
        <v>378</v>
      </c>
      <c r="D134" s="197" t="s">
        <v>478</v>
      </c>
      <c r="E134" s="197" t="s">
        <v>180</v>
      </c>
      <c r="F134" s="197" t="s">
        <v>479</v>
      </c>
      <c r="G134" s="197" t="s">
        <v>480</v>
      </c>
      <c r="H134" s="197" t="s">
        <v>481</v>
      </c>
      <c r="I134" s="211" t="s">
        <v>552</v>
      </c>
      <c r="J134" s="211" t="s">
        <v>553</v>
      </c>
      <c r="K134" s="211" t="s">
        <v>1096</v>
      </c>
      <c r="L134" s="222">
        <v>216876</v>
      </c>
      <c r="M134" s="197" t="s">
        <v>76</v>
      </c>
      <c r="N134" s="197" t="s">
        <v>75</v>
      </c>
      <c r="O134" s="204">
        <v>96.35257</v>
      </c>
      <c r="P134" s="204">
        <v>25.637309999999999</v>
      </c>
      <c r="Q134" s="205">
        <v>277.60000000000002</v>
      </c>
      <c r="R134" s="274">
        <v>70</v>
      </c>
      <c r="S134" s="274">
        <v>377</v>
      </c>
      <c r="T134" s="207">
        <f>IF(CampList[[#This Row],[HH]]&gt;0,CampList[[#This Row],[Total]]/CampList[[#This Row],[HH]],"NA")</f>
        <v>5.3857142857142861</v>
      </c>
      <c r="U134" s="199" t="s">
        <v>464</v>
      </c>
      <c r="V134" s="199" t="s">
        <v>995</v>
      </c>
      <c r="W134" s="199" t="s">
        <v>507</v>
      </c>
      <c r="X134" s="183" t="s">
        <v>742</v>
      </c>
      <c r="Y134" s="312">
        <v>41275</v>
      </c>
      <c r="Z134" s="676" t="s">
        <v>462</v>
      </c>
      <c r="AA134" s="223" t="s">
        <v>774</v>
      </c>
      <c r="AB134" s="210">
        <v>43343</v>
      </c>
      <c r="AC134" s="203" t="s">
        <v>1830</v>
      </c>
      <c r="AD134" s="199" t="str">
        <f ca="1">IFERROR(OFFSET(DistanceToCamp[Nearest Town],MATCH(CampList[[#This Row],[CP_Pcode]],DistanceToCamp[CP_Pcode],0)-1,0,1,1),"")</f>
        <v>Hpakant Town</v>
      </c>
      <c r="AE134" s="212">
        <f ca="1">IFERROR(OFFSET(DistanceToCamp[distance],MATCH(CampList[[#This Row],[CP_Pcode]],DistanceToCamp[CP_Pcode],0)-1,0,1,1),"")</f>
        <v>4.8862832644478198</v>
      </c>
      <c r="AF134" s="213">
        <f ca="1">IFERROR(INT(CampList[[#This Row],[Distance]]/5)+1,"")</f>
        <v>1</v>
      </c>
    </row>
    <row r="135" spans="2:32" ht="15.75" customHeight="1" x14ac:dyDescent="0.3">
      <c r="B135" s="203" t="s">
        <v>1745</v>
      </c>
      <c r="C135" s="197" t="s">
        <v>378</v>
      </c>
      <c r="D135" s="197" t="s">
        <v>478</v>
      </c>
      <c r="E135" s="197" t="s">
        <v>180</v>
      </c>
      <c r="F135" s="197" t="s">
        <v>479</v>
      </c>
      <c r="G135" s="197" t="s">
        <v>480</v>
      </c>
      <c r="H135" s="197" t="s">
        <v>481</v>
      </c>
      <c r="I135" s="211" t="s">
        <v>552</v>
      </c>
      <c r="J135" s="211" t="s">
        <v>553</v>
      </c>
      <c r="K135" s="211" t="s">
        <v>552</v>
      </c>
      <c r="L135" s="214">
        <v>166773</v>
      </c>
      <c r="M135" s="197" t="s">
        <v>41</v>
      </c>
      <c r="N135" s="197" t="s">
        <v>40</v>
      </c>
      <c r="O135" s="204">
        <v>96.345569999999995</v>
      </c>
      <c r="P135" s="204">
        <v>25.635300000000001</v>
      </c>
      <c r="Q135" s="205">
        <v>0</v>
      </c>
      <c r="R135" s="274">
        <v>70</v>
      </c>
      <c r="S135" s="274">
        <v>374</v>
      </c>
      <c r="T135" s="207">
        <f>IF(CampList[[#This Row],[HH]]&gt;0,CampList[[#This Row],[Total]]/CampList[[#This Row],[HH]],"NA")</f>
        <v>5.3428571428571425</v>
      </c>
      <c r="U135" s="199" t="s">
        <v>464</v>
      </c>
      <c r="V135" s="199" t="s">
        <v>995</v>
      </c>
      <c r="W135" s="199" t="s">
        <v>507</v>
      </c>
      <c r="X135" s="199" t="s">
        <v>742</v>
      </c>
      <c r="Y135" s="312">
        <v>41275</v>
      </c>
      <c r="Z135" s="676" t="s">
        <v>462</v>
      </c>
      <c r="AA135" s="223" t="s">
        <v>774</v>
      </c>
      <c r="AB135" s="210">
        <v>43343</v>
      </c>
      <c r="AC135" s="203" t="s">
        <v>1831</v>
      </c>
      <c r="AD135" s="199" t="str">
        <f ca="1">IFERROR(OFFSET(DistanceToCamp[Nearest Town],MATCH(CampList[[#This Row],[CP_Pcode]],DistanceToCamp[CP_Pcode],0)-1,0,1,1),"")</f>
        <v>Hpakant Town</v>
      </c>
      <c r="AE135" s="212">
        <f ca="1">IFERROR(OFFSET(DistanceToCamp[distance],MATCH(CampList[[#This Row],[CP_Pcode]],DistanceToCamp[CP_Pcode],0)-1,0,1,1),"")</f>
        <v>4.1842484710239098</v>
      </c>
      <c r="AF135" s="213">
        <f ca="1">IFERROR(INT(CampList[[#This Row],[Distance]]/5)+1,"")</f>
        <v>1</v>
      </c>
    </row>
    <row r="136" spans="2:32" ht="15.75" hidden="1" customHeight="1" x14ac:dyDescent="0.3">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4">
        <v>0</v>
      </c>
      <c r="S136" s="285">
        <v>0</v>
      </c>
      <c r="T136" s="207" t="str">
        <f>IF(CampList[[#This Row],[HH]]&gt;0,CampList[[#This Row],[Total]]/CampList[[#This Row],[HH]],"NA")</f>
        <v>NA</v>
      </c>
      <c r="U136" s="199" t="s">
        <v>464</v>
      </c>
      <c r="V136" s="199" t="s">
        <v>995</v>
      </c>
      <c r="W136" s="227" t="s">
        <v>12</v>
      </c>
      <c r="X136" s="199"/>
      <c r="Y136" s="218"/>
      <c r="Z136" s="209"/>
      <c r="AA136" s="303"/>
      <c r="AB136" s="230">
        <v>41666</v>
      </c>
      <c r="AC136" s="211" t="s">
        <v>845</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3">
      <c r="B137" s="203" t="s">
        <v>1745</v>
      </c>
      <c r="C137" s="197" t="s">
        <v>378</v>
      </c>
      <c r="D137" s="197" t="s">
        <v>478</v>
      </c>
      <c r="E137" s="197" t="s">
        <v>180</v>
      </c>
      <c r="F137" s="197" t="s">
        <v>479</v>
      </c>
      <c r="G137" s="197" t="s">
        <v>480</v>
      </c>
      <c r="H137" s="197" t="s">
        <v>481</v>
      </c>
      <c r="I137" s="197" t="s">
        <v>538</v>
      </c>
      <c r="J137" s="197" t="s">
        <v>539</v>
      </c>
      <c r="K137" s="211" t="s">
        <v>540</v>
      </c>
      <c r="L137" s="211">
        <v>166785</v>
      </c>
      <c r="M137" s="197" t="s">
        <v>90</v>
      </c>
      <c r="N137" s="197" t="s">
        <v>89</v>
      </c>
      <c r="O137" s="204">
        <v>96.269199999999998</v>
      </c>
      <c r="P137" s="204">
        <v>25.566510000000001</v>
      </c>
      <c r="Q137" s="205">
        <v>278</v>
      </c>
      <c r="R137" s="274">
        <v>18</v>
      </c>
      <c r="S137" s="274">
        <v>102</v>
      </c>
      <c r="T137" s="207">
        <f>IF(CampList[[#This Row],[HH]]&gt;0,CampList[[#This Row],[Total]]/CampList[[#This Row],[HH]],"NA")</f>
        <v>5.666666666666667</v>
      </c>
      <c r="U137" s="199" t="s">
        <v>464</v>
      </c>
      <c r="V137" s="199" t="s">
        <v>995</v>
      </c>
      <c r="W137" s="199" t="s">
        <v>507</v>
      </c>
      <c r="X137" s="199" t="s">
        <v>784</v>
      </c>
      <c r="Y137" s="312">
        <v>41275</v>
      </c>
      <c r="Z137" s="676" t="s">
        <v>462</v>
      </c>
      <c r="AA137" s="223" t="s">
        <v>774</v>
      </c>
      <c r="AB137" s="210">
        <v>43343</v>
      </c>
      <c r="AC137" s="203" t="s">
        <v>1832</v>
      </c>
      <c r="AD137" s="199" t="str">
        <f ca="1">IFERROR(OFFSET(DistanceToCamp[Nearest Town],MATCH(CampList[[#This Row],[CP_Pcode]],DistanceToCamp[CP_Pcode],0)-1,0,1,1),"")</f>
        <v>Hpakant Town</v>
      </c>
      <c r="AE137" s="212">
        <f ca="1">IFERROR(OFFSET(DistanceToCamp[distance],MATCH(CampList[[#This Row],[CP_Pcode]],DistanceToCamp[CP_Pcode],0)-1,0,1,1),"")</f>
        <v>6.7094919928483892</v>
      </c>
      <c r="AF137" s="213">
        <f ca="1">IFERROR(INT(CampList[[#This Row],[Distance]]/5)+1,"")</f>
        <v>2</v>
      </c>
    </row>
    <row r="138" spans="2:32" ht="15.75" customHeight="1" x14ac:dyDescent="0.3">
      <c r="B138" s="203" t="s">
        <v>1745</v>
      </c>
      <c r="C138" s="197" t="s">
        <v>378</v>
      </c>
      <c r="D138" s="197" t="s">
        <v>478</v>
      </c>
      <c r="E138" s="197" t="s">
        <v>180</v>
      </c>
      <c r="F138" s="197" t="s">
        <v>479</v>
      </c>
      <c r="G138" s="197" t="s">
        <v>480</v>
      </c>
      <c r="H138" s="197" t="s">
        <v>481</v>
      </c>
      <c r="I138" s="197" t="s">
        <v>538</v>
      </c>
      <c r="J138" s="197" t="s">
        <v>539</v>
      </c>
      <c r="K138" s="197" t="s">
        <v>540</v>
      </c>
      <c r="L138" s="197">
        <v>166785</v>
      </c>
      <c r="M138" s="197" t="s">
        <v>118</v>
      </c>
      <c r="N138" s="197" t="s">
        <v>117</v>
      </c>
      <c r="O138" s="204">
        <v>96.279200000000003</v>
      </c>
      <c r="P138" s="204">
        <v>25.56551</v>
      </c>
      <c r="Q138" s="205">
        <v>259</v>
      </c>
      <c r="R138" s="274">
        <v>10</v>
      </c>
      <c r="S138" s="274">
        <v>38</v>
      </c>
      <c r="T138" s="207">
        <f>IF(CampList[[#This Row],[HH]]&gt;0,CampList[[#This Row],[Total]]/CampList[[#This Row],[HH]],"NA")</f>
        <v>3.8</v>
      </c>
      <c r="U138" s="199" t="s">
        <v>464</v>
      </c>
      <c r="V138" s="199" t="s">
        <v>995</v>
      </c>
      <c r="W138" s="199" t="s">
        <v>1384</v>
      </c>
      <c r="X138" s="199" t="s">
        <v>784</v>
      </c>
      <c r="Y138" s="312">
        <v>41275</v>
      </c>
      <c r="Z138" s="676" t="s">
        <v>1317</v>
      </c>
      <c r="AA138" s="197" t="s">
        <v>774</v>
      </c>
      <c r="AB138" s="210">
        <v>43343</v>
      </c>
      <c r="AC138" s="211" t="s">
        <v>1914</v>
      </c>
      <c r="AD138" s="199" t="str">
        <f ca="1">IFERROR(OFFSET(DistanceToCamp[Nearest Town],MATCH(CampList[[#This Row],[CP_Pcode]],DistanceToCamp[CP_Pcode],0)-1,0,1,1),"")</f>
        <v>Hpakant Town</v>
      </c>
      <c r="AE138" s="212">
        <f ca="1">IFERROR(OFFSET(DistanceToCamp[distance],MATCH(CampList[[#This Row],[CP_Pcode]],DistanceToCamp[CP_Pcode],0)-1,0,1,1),"")</f>
        <v>6.2085564346706201</v>
      </c>
      <c r="AF138" s="213">
        <f ca="1">IFERROR(INT(CampList[[#This Row],[Distance]]/5)+1,"")</f>
        <v>2</v>
      </c>
    </row>
    <row r="139" spans="2:32" ht="15.75" customHeight="1" x14ac:dyDescent="0.3">
      <c r="B139" s="203" t="s">
        <v>1745</v>
      </c>
      <c r="C139" s="197" t="s">
        <v>378</v>
      </c>
      <c r="D139" s="197" t="s">
        <v>478</v>
      </c>
      <c r="E139" s="197" t="s">
        <v>180</v>
      </c>
      <c r="F139" s="197" t="s">
        <v>479</v>
      </c>
      <c r="G139" s="197" t="s">
        <v>480</v>
      </c>
      <c r="H139" s="197" t="s">
        <v>481</v>
      </c>
      <c r="I139" s="197" t="s">
        <v>538</v>
      </c>
      <c r="J139" s="197" t="s">
        <v>539</v>
      </c>
      <c r="K139" s="197" t="s">
        <v>542</v>
      </c>
      <c r="L139" s="197">
        <v>166788</v>
      </c>
      <c r="M139" s="197" t="s">
        <v>126</v>
      </c>
      <c r="N139" s="197" t="s">
        <v>125</v>
      </c>
      <c r="O139" s="204">
        <v>96.286680000000004</v>
      </c>
      <c r="P139" s="204">
        <v>25.577559999999998</v>
      </c>
      <c r="Q139" s="205">
        <v>0</v>
      </c>
      <c r="R139" s="274">
        <v>32</v>
      </c>
      <c r="S139" s="274">
        <v>173</v>
      </c>
      <c r="T139" s="207">
        <f>IF(CampList[[#This Row],[HH]]&gt;0,CampList[[#This Row],[Total]]/CampList[[#This Row],[HH]],"NA")</f>
        <v>5.40625</v>
      </c>
      <c r="U139" s="199" t="s">
        <v>464</v>
      </c>
      <c r="V139" s="199" t="s">
        <v>995</v>
      </c>
      <c r="W139" s="199" t="s">
        <v>507</v>
      </c>
      <c r="X139" s="199" t="s">
        <v>742</v>
      </c>
      <c r="Y139" s="312">
        <v>41275</v>
      </c>
      <c r="Z139" s="676" t="s">
        <v>424</v>
      </c>
      <c r="AA139" s="197" t="s">
        <v>774</v>
      </c>
      <c r="AB139" s="210">
        <v>43343</v>
      </c>
      <c r="AC139" s="211" t="s">
        <v>1871</v>
      </c>
      <c r="AD139" s="199" t="str">
        <f ca="1">IFERROR(OFFSET(DistanceToCamp[Nearest Town],MATCH(CampList[[#This Row],[CP_Pcode]],DistanceToCamp[CP_Pcode],0)-1,0,1,1),"")</f>
        <v>Hpakant Town</v>
      </c>
      <c r="AE139" s="212">
        <f ca="1">IFERROR(OFFSET(DistanceToCamp[distance],MATCH(CampList[[#This Row],[CP_Pcode]],DistanceToCamp[CP_Pcode],0)-1,0,1,1),"")</f>
        <v>4.6754712546149264</v>
      </c>
      <c r="AF139" s="213">
        <f ca="1">IFERROR(INT(CampList[[#This Row],[Distance]]/5)+1,"")</f>
        <v>1</v>
      </c>
    </row>
    <row r="140" spans="2:32" ht="15.75" customHeight="1" x14ac:dyDescent="0.3">
      <c r="B140" s="203" t="s">
        <v>1745</v>
      </c>
      <c r="C140" s="197" t="s">
        <v>378</v>
      </c>
      <c r="D140" s="197" t="s">
        <v>478</v>
      </c>
      <c r="E140" s="197" t="s">
        <v>180</v>
      </c>
      <c r="F140" s="695" t="s">
        <v>479</v>
      </c>
      <c r="G140" s="695" t="s">
        <v>480</v>
      </c>
      <c r="H140" s="695" t="s">
        <v>481</v>
      </c>
      <c r="I140" s="697" t="s">
        <v>543</v>
      </c>
      <c r="J140" s="697" t="s">
        <v>544</v>
      </c>
      <c r="K140" s="211" t="s">
        <v>547</v>
      </c>
      <c r="L140" s="211" t="s">
        <v>548</v>
      </c>
      <c r="M140" s="197" t="s">
        <v>43</v>
      </c>
      <c r="N140" s="197" t="s">
        <v>42</v>
      </c>
      <c r="O140" s="204">
        <v>96.317350000000005</v>
      </c>
      <c r="P140" s="204">
        <v>25.616509000000001</v>
      </c>
      <c r="Q140" s="205">
        <v>264</v>
      </c>
      <c r="R140" s="274">
        <v>14</v>
      </c>
      <c r="S140" s="274">
        <v>83</v>
      </c>
      <c r="T140" s="207">
        <f>IF(CampList[[#This Row],[HH]]&gt;0,CampList[[#This Row],[Total]]/CampList[[#This Row],[HH]],"NA")</f>
        <v>5.9285714285714288</v>
      </c>
      <c r="U140" s="199" t="s">
        <v>464</v>
      </c>
      <c r="V140" s="199" t="s">
        <v>995</v>
      </c>
      <c r="W140" s="199" t="s">
        <v>507</v>
      </c>
      <c r="X140" s="183" t="s">
        <v>742</v>
      </c>
      <c r="Y140" s="312">
        <v>41275</v>
      </c>
      <c r="Z140" s="676" t="s">
        <v>462</v>
      </c>
      <c r="AA140" s="223" t="s">
        <v>774</v>
      </c>
      <c r="AB140" s="210">
        <v>43343</v>
      </c>
      <c r="AC140" s="203" t="s">
        <v>1833</v>
      </c>
      <c r="AD140" s="199" t="str">
        <f ca="1">IFERROR(OFFSET(DistanceToCamp[Nearest Town],MATCH(CampList[[#This Row],[CP_Pcode]],DistanceToCamp[CP_Pcode],0)-1,0,1,1),"")</f>
        <v>Hpakant Town</v>
      </c>
      <c r="AE140" s="212">
        <f ca="1">IFERROR(OFFSET(DistanceToCamp[distance],MATCH(CampList[[#This Row],[CP_Pcode]],DistanceToCamp[CP_Pcode],0)-1,0,1,1),"")</f>
        <v>0.66733171900141897</v>
      </c>
      <c r="AF140" s="213">
        <f ca="1">IFERROR(INT(CampList[[#This Row],[Distance]]/5)+1,"")</f>
        <v>1</v>
      </c>
    </row>
    <row r="141" spans="2:32" ht="15.75" customHeight="1" x14ac:dyDescent="0.3">
      <c r="B141" s="203" t="s">
        <v>1745</v>
      </c>
      <c r="C141" s="197" t="s">
        <v>378</v>
      </c>
      <c r="D141" s="197" t="s">
        <v>478</v>
      </c>
      <c r="E141" s="197" t="s">
        <v>180</v>
      </c>
      <c r="F141" s="197" t="s">
        <v>479</v>
      </c>
      <c r="G141" s="197" t="s">
        <v>480</v>
      </c>
      <c r="H141" s="197" t="s">
        <v>481</v>
      </c>
      <c r="I141" s="211" t="s">
        <v>543</v>
      </c>
      <c r="J141" s="211" t="s">
        <v>544</v>
      </c>
      <c r="K141" s="211" t="s">
        <v>547</v>
      </c>
      <c r="L141" s="211" t="s">
        <v>548</v>
      </c>
      <c r="M141" s="197" t="s">
        <v>44</v>
      </c>
      <c r="N141" s="197" t="s">
        <v>45</v>
      </c>
      <c r="O141" s="204">
        <v>96.316564</v>
      </c>
      <c r="P141" s="204">
        <v>25.615960999999999</v>
      </c>
      <c r="Q141" s="205">
        <v>281</v>
      </c>
      <c r="R141" s="274">
        <v>2</v>
      </c>
      <c r="S141" s="274">
        <v>14</v>
      </c>
      <c r="T141" s="207">
        <f>IF(CampList[[#This Row],[HH]]&gt;0,CampList[[#This Row],[Total]]/CampList[[#This Row],[HH]],"NA")</f>
        <v>7</v>
      </c>
      <c r="U141" s="199" t="s">
        <v>464</v>
      </c>
      <c r="V141" s="199" t="s">
        <v>995</v>
      </c>
      <c r="W141" s="199" t="s">
        <v>1384</v>
      </c>
      <c r="X141" s="199" t="s">
        <v>742</v>
      </c>
      <c r="Y141" s="312">
        <v>41122</v>
      </c>
      <c r="Z141" s="208" t="s">
        <v>1317</v>
      </c>
      <c r="AA141" s="223" t="s">
        <v>774</v>
      </c>
      <c r="AB141" s="210">
        <v>43343</v>
      </c>
      <c r="AC141" s="203" t="s">
        <v>1915</v>
      </c>
      <c r="AD141" s="199" t="str">
        <f ca="1">IFERROR(OFFSET(DistanceToCamp[Nearest Town],MATCH(CampList[[#This Row],[CP_Pcode]],DistanceToCamp[CP_Pcode],0)-1,0,1,1),"")</f>
        <v>Hpakant Town</v>
      </c>
      <c r="AE141" s="212">
        <f ca="1">IFERROR(OFFSET(DistanceToCamp[distance],MATCH(CampList[[#This Row],[CP_Pcode]],DistanceToCamp[CP_Pcode],0)-1,0,1,1),"")</f>
        <v>0.56771790814545575</v>
      </c>
      <c r="AF141" s="213">
        <f ca="1">IFERROR(INT(CampList[[#This Row],[Distance]]/5)+1,"")</f>
        <v>1</v>
      </c>
    </row>
    <row r="142" spans="2:32" ht="15.75" customHeight="1" x14ac:dyDescent="0.3">
      <c r="B142" s="203" t="s">
        <v>1745</v>
      </c>
      <c r="C142" s="197" t="s">
        <v>378</v>
      </c>
      <c r="D142" s="197" t="s">
        <v>478</v>
      </c>
      <c r="E142" s="197" t="s">
        <v>180</v>
      </c>
      <c r="F142" s="197" t="s">
        <v>479</v>
      </c>
      <c r="G142" s="197" t="s">
        <v>480</v>
      </c>
      <c r="H142" s="197" t="s">
        <v>481</v>
      </c>
      <c r="I142" s="211" t="s">
        <v>549</v>
      </c>
      <c r="J142" s="211" t="s">
        <v>550</v>
      </c>
      <c r="K142" s="211" t="s">
        <v>549</v>
      </c>
      <c r="L142" s="697">
        <v>166776</v>
      </c>
      <c r="M142" s="197" t="s">
        <v>551</v>
      </c>
      <c r="N142" s="197" t="s">
        <v>46</v>
      </c>
      <c r="O142" s="204">
        <v>96.339590000000001</v>
      </c>
      <c r="P142" s="204">
        <v>25.617998</v>
      </c>
      <c r="Q142" s="217"/>
      <c r="R142" s="274">
        <v>11</v>
      </c>
      <c r="S142" s="274">
        <v>43</v>
      </c>
      <c r="T142" s="207">
        <f>IF(CampList[[#This Row],[HH]]&gt;0,CampList[[#This Row],[Total]]/CampList[[#This Row],[HH]],"NA")</f>
        <v>3.9090909090909092</v>
      </c>
      <c r="U142" s="199" t="s">
        <v>464</v>
      </c>
      <c r="V142" s="199" t="s">
        <v>995</v>
      </c>
      <c r="W142" s="199" t="s">
        <v>1384</v>
      </c>
      <c r="X142" s="199" t="s">
        <v>742</v>
      </c>
      <c r="Y142" s="312">
        <v>41275</v>
      </c>
      <c r="Z142" s="208" t="s">
        <v>1317</v>
      </c>
      <c r="AA142" s="223" t="s">
        <v>774</v>
      </c>
      <c r="AB142" s="210">
        <v>43343</v>
      </c>
      <c r="AC142" s="203" t="s">
        <v>1916</v>
      </c>
      <c r="AD142" s="199" t="str">
        <f ca="1">IFERROR(OFFSET(DistanceToCamp[Nearest Town],MATCH(CampList[[#This Row],[CP_Pcode]],DistanceToCamp[CP_Pcode],0)-1,0,1,1),"")</f>
        <v>Hpakant Town</v>
      </c>
      <c r="AE142" s="212">
        <f ca="1">IFERROR(OFFSET(DistanceToCamp[distance],MATCH(CampList[[#This Row],[CP_Pcode]],DistanceToCamp[CP_Pcode],0)-1,0,1,1),"")</f>
        <v>2.814225084976667</v>
      </c>
      <c r="AF142" s="213">
        <f ca="1">IFERROR(INT(CampList[[#This Row],[Distance]]/5)+1,"")</f>
        <v>1</v>
      </c>
    </row>
    <row r="143" spans="2:32" ht="15.75" hidden="1" customHeight="1" x14ac:dyDescent="0.3">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4"/>
      <c r="S143" s="285"/>
      <c r="T143" s="207" t="str">
        <f>IF(CampList[[#This Row],[HH]]&gt;0,CampList[[#This Row],[Total]]/CampList[[#This Row],[HH]],"NA")</f>
        <v>NA</v>
      </c>
      <c r="U143" s="199" t="s">
        <v>464</v>
      </c>
      <c r="V143" s="199" t="s">
        <v>995</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3">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4">
        <v>0</v>
      </c>
      <c r="S144" s="285">
        <v>0</v>
      </c>
      <c r="T144" s="207" t="str">
        <f>IF(CampList[[#This Row],[HH]]&gt;0,CampList[[#This Row],[Total]]/CampList[[#This Row],[HH]],"NA")</f>
        <v>NA</v>
      </c>
      <c r="U144" s="199" t="s">
        <v>464</v>
      </c>
      <c r="V144" s="199" t="s">
        <v>995</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3">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4"/>
      <c r="S145" s="285"/>
      <c r="T145" s="207" t="str">
        <f>IF(CampList[[#This Row],[HH]]&gt;0,CampList[[#This Row],[Total]]/CampList[[#This Row],[HH]],"NA")</f>
        <v>NA</v>
      </c>
      <c r="U145" s="199" t="s">
        <v>464</v>
      </c>
      <c r="V145" s="199" t="s">
        <v>995</v>
      </c>
      <c r="W145" s="199" t="s">
        <v>507</v>
      </c>
      <c r="X145" s="199" t="s">
        <v>784</v>
      </c>
      <c r="Y145" s="676">
        <v>41275</v>
      </c>
      <c r="Z145" s="676"/>
      <c r="AA145" s="223" t="s">
        <v>773</v>
      </c>
      <c r="AB145" s="210">
        <v>41774</v>
      </c>
      <c r="AC145" s="203" t="s">
        <v>896</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3">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4"/>
      <c r="S146" s="285"/>
      <c r="T146" s="207" t="str">
        <f>IF(CampList[[#This Row],[HH]]&gt;0,CampList[[#This Row],[Total]]/CampList[[#This Row],[HH]],"NA")</f>
        <v>NA</v>
      </c>
      <c r="U146" s="199" t="s">
        <v>464</v>
      </c>
      <c r="V146" s="199" t="s">
        <v>995</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3">
      <c r="B147" s="203" t="s">
        <v>1745</v>
      </c>
      <c r="C147" s="197" t="s">
        <v>378</v>
      </c>
      <c r="D147" s="197" t="s">
        <v>478</v>
      </c>
      <c r="E147" s="197" t="s">
        <v>5</v>
      </c>
      <c r="F147" s="197" t="s">
        <v>482</v>
      </c>
      <c r="G147" s="197" t="s">
        <v>5</v>
      </c>
      <c r="H147" s="197" t="s">
        <v>483</v>
      </c>
      <c r="I147" s="197" t="s">
        <v>585</v>
      </c>
      <c r="J147" s="197" t="s">
        <v>586</v>
      </c>
      <c r="K147" s="197" t="s">
        <v>587</v>
      </c>
      <c r="L147" s="197">
        <v>166854</v>
      </c>
      <c r="M147" s="197" t="s">
        <v>364</v>
      </c>
      <c r="N147" s="197" t="s">
        <v>374</v>
      </c>
      <c r="O147" s="204">
        <v>97.252650000000003</v>
      </c>
      <c r="P147" s="204">
        <v>24.222349999999999</v>
      </c>
      <c r="Q147" s="205">
        <v>0</v>
      </c>
      <c r="R147" s="274">
        <v>148</v>
      </c>
      <c r="S147" s="274">
        <v>747</v>
      </c>
      <c r="T147" s="207">
        <f>IF(CampList[[#This Row],[HH]]&gt;0,CampList[[#This Row],[Total]]/CampList[[#This Row],[HH]],"NA")</f>
        <v>5.0472972972972974</v>
      </c>
      <c r="U147" s="199" t="s">
        <v>464</v>
      </c>
      <c r="V147" s="199" t="s">
        <v>995</v>
      </c>
      <c r="W147" s="199" t="s">
        <v>507</v>
      </c>
      <c r="X147" s="199" t="s">
        <v>742</v>
      </c>
      <c r="Y147" s="312">
        <v>41275</v>
      </c>
      <c r="Z147" s="676" t="s">
        <v>424</v>
      </c>
      <c r="AA147" s="197" t="s">
        <v>774</v>
      </c>
      <c r="AB147" s="210">
        <v>43343</v>
      </c>
      <c r="AC147" s="211" t="s">
        <v>1872</v>
      </c>
      <c r="AD147" s="199" t="str">
        <f ca="1">IFERROR(OFFSET(DistanceToCamp[Nearest Town],MATCH(CampList[[#This Row],[CP_Pcode]],DistanceToCamp[CP_Pcode],0)-1,0,1,1),"")</f>
        <v>Bhamo Town</v>
      </c>
      <c r="AE147" s="212">
        <f ca="1">IFERROR(OFFSET(DistanceToCamp[distance],MATCH(CampList[[#This Row],[CP_Pcode]],DistanceToCamp[CP_Pcode],0)-1,0,1,1),"")</f>
        <v>4.067486452659054</v>
      </c>
      <c r="AF147" s="213">
        <f ca="1">IFERROR(INT(CampList[[#This Row],[Distance]]/5)+1,"")</f>
        <v>1</v>
      </c>
    </row>
    <row r="148" spans="2:35" ht="15.75" hidden="1" customHeight="1" x14ac:dyDescent="0.3">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4"/>
      <c r="S148" s="285"/>
      <c r="T148" s="207" t="str">
        <f>IF(CampList[[#This Row],[HH]]&gt;0,CampList[[#This Row],[Total]]/CampList[[#This Row],[HH]],"NA")</f>
        <v>NA</v>
      </c>
      <c r="U148" s="199" t="s">
        <v>464</v>
      </c>
      <c r="V148" s="199" t="s">
        <v>995</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3">
      <c r="B149" s="203" t="s">
        <v>1745</v>
      </c>
      <c r="C149" s="197" t="s">
        <v>378</v>
      </c>
      <c r="D149" s="197" t="s">
        <v>478</v>
      </c>
      <c r="E149" s="197" t="s">
        <v>5</v>
      </c>
      <c r="F149" s="197" t="s">
        <v>482</v>
      </c>
      <c r="G149" s="197" t="s">
        <v>5</v>
      </c>
      <c r="H149" s="197" t="s">
        <v>483</v>
      </c>
      <c r="I149" s="211" t="s">
        <v>1093</v>
      </c>
      <c r="J149" s="211" t="s">
        <v>1092</v>
      </c>
      <c r="K149" s="211" t="s">
        <v>1093</v>
      </c>
      <c r="L149" s="222">
        <v>166904</v>
      </c>
      <c r="M149" s="197" t="s">
        <v>465</v>
      </c>
      <c r="N149" s="197" t="s">
        <v>375</v>
      </c>
      <c r="O149" s="204">
        <v>97.252650000000003</v>
      </c>
      <c r="P149" s="204">
        <v>24.260466999999998</v>
      </c>
      <c r="Q149" s="205">
        <v>0</v>
      </c>
      <c r="R149" s="274">
        <v>12</v>
      </c>
      <c r="S149" s="274">
        <v>51</v>
      </c>
      <c r="T149" s="207">
        <f>IF(CampList[[#This Row],[HH]]&gt;0,CampList[[#This Row],[Total]]/CampList[[#This Row],[HH]],"NA")</f>
        <v>4.25</v>
      </c>
      <c r="U149" s="199" t="s">
        <v>464</v>
      </c>
      <c r="V149" s="199" t="s">
        <v>995</v>
      </c>
      <c r="W149" s="199" t="s">
        <v>507</v>
      </c>
      <c r="X149" s="199" t="s">
        <v>742</v>
      </c>
      <c r="Y149" s="312">
        <v>40787</v>
      </c>
      <c r="Z149" s="676" t="s">
        <v>424</v>
      </c>
      <c r="AA149" s="223" t="s">
        <v>774</v>
      </c>
      <c r="AB149" s="210">
        <v>43343</v>
      </c>
      <c r="AC149" s="203" t="s">
        <v>1873</v>
      </c>
      <c r="AD149" s="199" t="str">
        <f ca="1">IFERROR(OFFSET(DistanceToCamp[Nearest Town],MATCH(CampList[[#This Row],[CP_Pcode]],DistanceToCamp[CP_Pcode],0)-1,0,1,1),"")</f>
        <v>Bhamo Town</v>
      </c>
      <c r="AE149" s="212">
        <f ca="1">IFERROR(OFFSET(DistanceToCamp[distance],MATCH(CampList[[#This Row],[CP_Pcode]],DistanceToCamp[CP_Pcode],0)-1,0,1,1),"")</f>
        <v>1.9489261822960435</v>
      </c>
      <c r="AF149" s="213">
        <f ca="1">IFERROR(INT(CampList[[#This Row],[Distance]]/5)+1,"")</f>
        <v>1</v>
      </c>
    </row>
    <row r="150" spans="2:35" ht="15.75" hidden="1" customHeight="1" x14ac:dyDescent="0.3">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4">
        <v>0</v>
      </c>
      <c r="S150" s="285">
        <v>0</v>
      </c>
      <c r="T150" s="207" t="str">
        <f>IF(CampList[[#This Row],[HH]]&gt;0,CampList[[#This Row],[Total]]/CampList[[#This Row],[HH]],"NA")</f>
        <v>NA</v>
      </c>
      <c r="U150" s="199" t="s">
        <v>464</v>
      </c>
      <c r="V150" s="199" t="s">
        <v>995</v>
      </c>
      <c r="W150" s="199" t="s">
        <v>507</v>
      </c>
      <c r="X150" s="199" t="s">
        <v>784</v>
      </c>
      <c r="Y150" s="676">
        <v>41275</v>
      </c>
      <c r="Z150" s="676"/>
      <c r="AA150" s="223" t="s">
        <v>773</v>
      </c>
      <c r="AB150" s="210">
        <v>41774</v>
      </c>
      <c r="AC150" s="203" t="s">
        <v>898</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3">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4">
        <v>0</v>
      </c>
      <c r="S151" s="285">
        <v>0</v>
      </c>
      <c r="T151" s="207" t="str">
        <f>IF(CampList[[#This Row],[HH]]&gt;0,CampList[[#This Row],[Total]]/CampList[[#This Row],[HH]],"NA")</f>
        <v>NA</v>
      </c>
      <c r="U151" s="199" t="s">
        <v>464</v>
      </c>
      <c r="V151" s="199" t="s">
        <v>995</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3">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4"/>
      <c r="S152" s="274"/>
      <c r="T152" s="207" t="str">
        <f>IF(CampList[[#This Row],[HH]]&gt;0,CampList[[#This Row],[Total]]/CampList[[#This Row],[HH]],"NA")</f>
        <v>NA</v>
      </c>
      <c r="U152" s="199" t="s">
        <v>464</v>
      </c>
      <c r="V152" s="199" t="s">
        <v>995</v>
      </c>
      <c r="W152" s="199" t="s">
        <v>507</v>
      </c>
      <c r="X152" s="199" t="s">
        <v>784</v>
      </c>
      <c r="Y152" s="312">
        <v>41275</v>
      </c>
      <c r="Z152" s="676" t="s">
        <v>424</v>
      </c>
      <c r="AA152" s="223" t="s">
        <v>774</v>
      </c>
      <c r="AB152" s="210">
        <v>42919</v>
      </c>
      <c r="AC152" s="203" t="s">
        <v>1272</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3">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4"/>
      <c r="S153" s="285"/>
      <c r="T153" s="207" t="str">
        <f>IF(CampList[[#This Row],[HH]]&gt;0,CampList[[#This Row],[Total]]/CampList[[#This Row],[HH]],"NA")</f>
        <v>NA</v>
      </c>
      <c r="U153" s="199" t="s">
        <v>464</v>
      </c>
      <c r="V153" s="199" t="s">
        <v>995</v>
      </c>
      <c r="W153" s="199" t="s">
        <v>507</v>
      </c>
      <c r="X153" s="199" t="s">
        <v>784</v>
      </c>
      <c r="Y153" s="218"/>
      <c r="Z153" s="209"/>
      <c r="AA153" s="223" t="s">
        <v>774</v>
      </c>
      <c r="AB153" s="210">
        <v>41774</v>
      </c>
      <c r="AC153" s="203" t="s">
        <v>898</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3">
      <c r="B154" s="203" t="s">
        <v>1745</v>
      </c>
      <c r="C154" s="197" t="s">
        <v>378</v>
      </c>
      <c r="D154" s="197" t="s">
        <v>478</v>
      </c>
      <c r="E154" s="197" t="s">
        <v>237</v>
      </c>
      <c r="F154" s="197" t="s">
        <v>484</v>
      </c>
      <c r="G154" s="197" t="s">
        <v>27</v>
      </c>
      <c r="H154" s="197" t="s">
        <v>487</v>
      </c>
      <c r="I154" s="694" t="s">
        <v>731</v>
      </c>
      <c r="J154" s="694" t="s">
        <v>732</v>
      </c>
      <c r="K154" s="224" t="s">
        <v>1689</v>
      </c>
      <c r="L154" s="694" t="s">
        <v>1690</v>
      </c>
      <c r="M154" s="197" t="s">
        <v>363</v>
      </c>
      <c r="N154" s="197" t="s">
        <v>376</v>
      </c>
      <c r="O154" s="204">
        <v>98.129990000000006</v>
      </c>
      <c r="P154" s="204">
        <v>25.887339999999998</v>
      </c>
      <c r="Q154" s="217">
        <v>259.10000000000002</v>
      </c>
      <c r="R154" s="274">
        <v>204</v>
      </c>
      <c r="S154" s="274">
        <v>837</v>
      </c>
      <c r="T154" s="207">
        <f>IF(CampList[[#This Row],[HH]]&gt;0,CampList[[#This Row],[Total]]/CampList[[#This Row],[HH]],"NA")</f>
        <v>4.1029411764705879</v>
      </c>
      <c r="U154" s="199" t="s">
        <v>464</v>
      </c>
      <c r="V154" s="199" t="s">
        <v>995</v>
      </c>
      <c r="W154" s="199" t="s">
        <v>507</v>
      </c>
      <c r="X154" s="199" t="s">
        <v>784</v>
      </c>
      <c r="Y154" s="312">
        <v>40940</v>
      </c>
      <c r="Z154" s="676" t="s">
        <v>462</v>
      </c>
      <c r="AA154" s="223" t="s">
        <v>774</v>
      </c>
      <c r="AB154" s="210">
        <v>43343</v>
      </c>
      <c r="AC154" s="203" t="s">
        <v>1834</v>
      </c>
      <c r="AD154" s="199" t="str">
        <f ca="1">IFERROR(OFFSET(DistanceToCamp[Nearest Town],MATCH(CampList[[#This Row],[CP_Pcode]],DistanceToCamp[CP_Pcode],0)-1,0,1,1),"")</f>
        <v>Chipwi Town</v>
      </c>
      <c r="AE154" s="212">
        <f ca="1">IFERROR(OFFSET(DistanceToCamp[distance],MATCH(CampList[[#This Row],[CP_Pcode]],DistanceToCamp[CP_Pcode],0)-1,0,1,1),"")</f>
        <v>0</v>
      </c>
      <c r="AF154" s="213">
        <f ca="1">IFERROR(INT(CampList[[#This Row],[Distance]]/5)+1,"")</f>
        <v>1</v>
      </c>
    </row>
    <row r="155" spans="2:35" ht="15.75" customHeight="1" x14ac:dyDescent="0.3">
      <c r="B155" s="203" t="s">
        <v>1745</v>
      </c>
      <c r="C155" s="197" t="s">
        <v>378</v>
      </c>
      <c r="D155" s="197" t="s">
        <v>478</v>
      </c>
      <c r="E155" s="197" t="s">
        <v>5</v>
      </c>
      <c r="F155" s="197" t="s">
        <v>482</v>
      </c>
      <c r="G155" s="197" t="s">
        <v>151</v>
      </c>
      <c r="H155" s="197" t="s">
        <v>492</v>
      </c>
      <c r="I155" s="211" t="s">
        <v>590</v>
      </c>
      <c r="J155" s="211" t="s">
        <v>591</v>
      </c>
      <c r="K155" s="197"/>
      <c r="L155" s="197"/>
      <c r="M155" s="197" t="s">
        <v>12</v>
      </c>
      <c r="N155" s="197" t="s">
        <v>388</v>
      </c>
      <c r="O155" s="204">
        <v>97.298055000000005</v>
      </c>
      <c r="P155" s="204">
        <v>24.118618999999999</v>
      </c>
      <c r="Q155" s="217"/>
      <c r="R155" s="310">
        <v>80</v>
      </c>
      <c r="S155" s="311">
        <v>290</v>
      </c>
      <c r="T155" s="207">
        <f>IF(CampList[[#This Row],[HH]]&gt;0,CampList[[#This Row],[Total]]/CampList[[#This Row],[HH]],"NA")</f>
        <v>3.625</v>
      </c>
      <c r="U155" s="199" t="s">
        <v>464</v>
      </c>
      <c r="V155" s="199" t="s">
        <v>995</v>
      </c>
      <c r="W155" s="227" t="s">
        <v>12</v>
      </c>
      <c r="X155" s="199" t="s">
        <v>742</v>
      </c>
      <c r="Y155" s="313"/>
      <c r="Z155" s="209" t="s">
        <v>1317</v>
      </c>
      <c r="AA155" s="223" t="s">
        <v>774</v>
      </c>
      <c r="AB155" s="230">
        <v>43090</v>
      </c>
      <c r="AC155" s="203" t="s">
        <v>1553</v>
      </c>
      <c r="AD155" s="199" t="str">
        <f ca="1">IFERROR(OFFSET(DistanceToCamp[Nearest Town],MATCH(CampList[[#This Row],[CP_Pcode]],DistanceToCamp[CP_Pcode],0)-1,0,1,1),"")</f>
        <v>Mansi Town</v>
      </c>
      <c r="AE155" s="212">
        <f ca="1">IFERROR(OFFSET(DistanceToCamp[distance],MATCH(CampList[[#This Row],[CP_Pcode]],DistanceToCamp[CP_Pcode],0)-1,0,1,1),"")</f>
        <v>0.51447052329458698</v>
      </c>
      <c r="AF155" s="213">
        <f ca="1">IFERROR(INT(CampList[[#This Row],[Distance]]/5)+1,"")</f>
        <v>1</v>
      </c>
    </row>
    <row r="156" spans="2:35" ht="15.75" hidden="1" customHeight="1" x14ac:dyDescent="0.3">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4">
        <v>8</v>
      </c>
      <c r="S156" s="274">
        <v>32</v>
      </c>
      <c r="T156" s="207">
        <f>IF(CampList[[#This Row],[HH]]&gt;0,CampList[[#This Row],[Total]]/CampList[[#This Row],[HH]],"NA")</f>
        <v>4</v>
      </c>
      <c r="U156" s="199" t="s">
        <v>464</v>
      </c>
      <c r="V156" s="199" t="s">
        <v>995</v>
      </c>
      <c r="W156" s="199" t="s">
        <v>507</v>
      </c>
      <c r="X156" s="199" t="s">
        <v>784</v>
      </c>
      <c r="Y156" s="312">
        <v>41275</v>
      </c>
      <c r="Z156" s="208" t="s">
        <v>424</v>
      </c>
      <c r="AA156" s="197" t="s">
        <v>774</v>
      </c>
      <c r="AB156" s="210">
        <v>43039</v>
      </c>
      <c r="AC156" s="211" t="s">
        <v>1540</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3">
      <c r="B157" s="203" t="s">
        <v>1745</v>
      </c>
      <c r="C157" s="197" t="s">
        <v>378</v>
      </c>
      <c r="D157" s="197" t="s">
        <v>478</v>
      </c>
      <c r="E157" s="197" t="s">
        <v>5</v>
      </c>
      <c r="F157" s="197" t="s">
        <v>482</v>
      </c>
      <c r="G157" s="197" t="s">
        <v>185</v>
      </c>
      <c r="H157" s="197" t="s">
        <v>486</v>
      </c>
      <c r="I157" s="197" t="s">
        <v>602</v>
      </c>
      <c r="J157" s="197" t="s">
        <v>603</v>
      </c>
      <c r="K157" s="197"/>
      <c r="L157" s="197"/>
      <c r="M157" s="197" t="s">
        <v>12</v>
      </c>
      <c r="N157" s="197" t="s">
        <v>389</v>
      </c>
      <c r="O157" s="204">
        <v>97.348405</v>
      </c>
      <c r="P157" s="204">
        <v>24.251232000000002</v>
      </c>
      <c r="Q157" s="217"/>
      <c r="R157" s="310">
        <v>223</v>
      </c>
      <c r="S157" s="311">
        <v>1067</v>
      </c>
      <c r="T157" s="207">
        <f>IF(CampList[[#This Row],[HH]]&gt;0,CampList[[#This Row],[Total]]/CampList[[#This Row],[HH]],"NA")</f>
        <v>4.7847533632286998</v>
      </c>
      <c r="U157" s="199" t="s">
        <v>464</v>
      </c>
      <c r="V157" s="199" t="s">
        <v>995</v>
      </c>
      <c r="W157" s="227" t="s">
        <v>12</v>
      </c>
      <c r="X157" s="199" t="s">
        <v>742</v>
      </c>
      <c r="Y157" s="313"/>
      <c r="Z157" s="209" t="s">
        <v>1317</v>
      </c>
      <c r="AA157" s="223" t="s">
        <v>773</v>
      </c>
      <c r="AB157" s="230">
        <v>43090</v>
      </c>
      <c r="AC157" s="203" t="s">
        <v>1554</v>
      </c>
      <c r="AD157" s="199" t="str">
        <f ca="1">IFERROR(OFFSET(DistanceToCamp[Nearest Town],MATCH(CampList[[#This Row],[CP_Pcode]],DistanceToCamp[CP_Pcode],0)-1,0,1,1),"")</f>
        <v>Momauk Town</v>
      </c>
      <c r="AE157" s="212">
        <f ca="1">IFERROR(OFFSET(DistanceToCamp[distance],MATCH(CampList[[#This Row],[CP_Pcode]],DistanceToCamp[CP_Pcode],0)-1,0,1,1),"")</f>
        <v>0.60629049139006752</v>
      </c>
      <c r="AF157" s="213">
        <f ca="1">IFERROR(INT(CampList[[#This Row],[Distance]]/5)+1,"")</f>
        <v>1</v>
      </c>
    </row>
    <row r="158" spans="2:35" ht="15.75" hidden="1" customHeight="1" x14ac:dyDescent="0.3">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4"/>
      <c r="S158" s="285"/>
      <c r="T158" s="207" t="str">
        <f>IF(CampList[[#This Row],[HH]]&gt;0,CampList[[#This Row],[Total]]/CampList[[#This Row],[HH]],"NA")</f>
        <v>NA</v>
      </c>
      <c r="U158" s="199" t="s">
        <v>464</v>
      </c>
      <c r="V158" s="199" t="s">
        <v>995</v>
      </c>
      <c r="W158" s="199" t="s">
        <v>507</v>
      </c>
      <c r="X158" s="199" t="s">
        <v>784</v>
      </c>
      <c r="Y158" s="676">
        <v>41275</v>
      </c>
      <c r="Z158" s="676" t="s">
        <v>936</v>
      </c>
      <c r="AA158" s="223" t="s">
        <v>773</v>
      </c>
      <c r="AB158" s="210">
        <v>41736</v>
      </c>
      <c r="AC158" s="211" t="s">
        <v>890</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3">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4"/>
      <c r="S159" s="285"/>
      <c r="T159" s="207" t="str">
        <f>IF(CampList[[#This Row],[HH]]&gt;0,CampList[[#This Row],[Total]]/CampList[[#This Row],[HH]],"NA")</f>
        <v>NA</v>
      </c>
      <c r="U159" s="199" t="s">
        <v>464</v>
      </c>
      <c r="V159" s="199" t="s">
        <v>995</v>
      </c>
      <c r="W159" s="199" t="s">
        <v>507</v>
      </c>
      <c r="X159" s="199"/>
      <c r="Y159" s="218"/>
      <c r="Z159" s="209"/>
      <c r="AA159" s="223" t="s">
        <v>773</v>
      </c>
      <c r="AB159" s="210">
        <v>41663</v>
      </c>
      <c r="AC159" s="203" t="s">
        <v>844</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4"/>
      <c r="AI159" s="285"/>
    </row>
    <row r="160" spans="2:35" ht="15.75" hidden="1" customHeight="1" x14ac:dyDescent="0.3">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4"/>
      <c r="S160" s="285"/>
      <c r="T160" s="207" t="str">
        <f>IF(CampList[[#This Row],[HH]]&gt;0,CampList[[#This Row],[Total]]/CampList[[#This Row],[HH]],"NA")</f>
        <v>NA</v>
      </c>
      <c r="U160" s="199" t="s">
        <v>464</v>
      </c>
      <c r="V160" s="199" t="s">
        <v>995</v>
      </c>
      <c r="W160" s="199" t="s">
        <v>507</v>
      </c>
      <c r="X160" s="199" t="s">
        <v>784</v>
      </c>
      <c r="Y160" s="218"/>
      <c r="Z160" s="676" t="s">
        <v>462</v>
      </c>
      <c r="AA160" s="223" t="s">
        <v>774</v>
      </c>
      <c r="AB160" s="210">
        <v>42096</v>
      </c>
      <c r="AC160" s="203" t="s">
        <v>1065</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3">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4">
        <v>0</v>
      </c>
      <c r="S161" s="285">
        <v>0</v>
      </c>
      <c r="T161" s="207" t="str">
        <f>IF(CampList[[#This Row],[HH]]&gt;0,CampList[[#This Row],[Total]]/CampList[[#This Row],[HH]],"NA")</f>
        <v>NA</v>
      </c>
      <c r="U161" s="199" t="s">
        <v>464</v>
      </c>
      <c r="V161" s="199" t="s">
        <v>995</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3">
      <c r="B162" s="203" t="s">
        <v>1745</v>
      </c>
      <c r="C162" s="197" t="s">
        <v>378</v>
      </c>
      <c r="D162" s="197" t="s">
        <v>478</v>
      </c>
      <c r="E162" s="197" t="s">
        <v>5</v>
      </c>
      <c r="F162" s="197" t="s">
        <v>482</v>
      </c>
      <c r="G162" s="197" t="s">
        <v>185</v>
      </c>
      <c r="H162" s="197" t="s">
        <v>486</v>
      </c>
      <c r="I162" s="197" t="s">
        <v>738</v>
      </c>
      <c r="J162" s="197" t="s">
        <v>924</v>
      </c>
      <c r="K162" s="197" t="s">
        <v>925</v>
      </c>
      <c r="L162" s="197">
        <v>167060</v>
      </c>
      <c r="M162" s="197" t="s">
        <v>474</v>
      </c>
      <c r="N162" s="197" t="s">
        <v>475</v>
      </c>
      <c r="O162" s="231">
        <v>97.343406999999999</v>
      </c>
      <c r="P162" s="204">
        <v>24.377054000000001</v>
      </c>
      <c r="Q162" s="217"/>
      <c r="R162" s="310">
        <v>3</v>
      </c>
      <c r="S162" s="311">
        <v>18</v>
      </c>
      <c r="T162" s="207">
        <f>IF(CampList[[#This Row],[HH]]&gt;0,CampList[[#This Row],[Total]]/CampList[[#This Row],[HH]],"NA")</f>
        <v>6</v>
      </c>
      <c r="U162" s="199" t="s">
        <v>464</v>
      </c>
      <c r="V162" s="199" t="s">
        <v>995</v>
      </c>
      <c r="W162" s="199" t="s">
        <v>12</v>
      </c>
      <c r="X162" s="199" t="s">
        <v>784</v>
      </c>
      <c r="Y162" s="313"/>
      <c r="Z162" s="209" t="s">
        <v>1317</v>
      </c>
      <c r="AA162" s="223" t="s">
        <v>773</v>
      </c>
      <c r="AB162" s="210">
        <v>42950</v>
      </c>
      <c r="AC162" s="203" t="s">
        <v>1166</v>
      </c>
      <c r="AD162" s="199" t="str">
        <f ca="1">IFERROR(OFFSET(DistanceToCamp[Nearest Town],MATCH(CampList[[#This Row],[CP_Pcode]],DistanceToCamp[CP_Pcode],0)-1,0,1,1),"")</f>
        <v>Momauk Town</v>
      </c>
      <c r="AE162" s="212">
        <f ca="1">IFERROR(OFFSET(DistanceToCamp[distance],MATCH(CampList[[#This Row],[CP_Pcode]],DistanceToCamp[CP_Pcode],0)-1,0,1,1),"")</f>
        <v>13.446032768350749</v>
      </c>
      <c r="AF162" s="213">
        <f ca="1">IFERROR(INT(CampList[[#This Row],[Distance]]/5)+1,"")</f>
        <v>3</v>
      </c>
    </row>
    <row r="163" spans="2:32" ht="15.75" customHeight="1" x14ac:dyDescent="0.3">
      <c r="B163" s="203" t="s">
        <v>1745</v>
      </c>
      <c r="C163" s="197" t="s">
        <v>378</v>
      </c>
      <c r="D163" s="197" t="s">
        <v>478</v>
      </c>
      <c r="E163" s="197" t="s">
        <v>299</v>
      </c>
      <c r="F163" s="197" t="s">
        <v>499</v>
      </c>
      <c r="G163" s="197" t="s">
        <v>746</v>
      </c>
      <c r="H163" s="197" t="s">
        <v>747</v>
      </c>
      <c r="I163" s="197" t="s">
        <v>748</v>
      </c>
      <c r="J163" s="197" t="s">
        <v>749</v>
      </c>
      <c r="K163" s="197"/>
      <c r="L163" s="197"/>
      <c r="M163" s="197" t="s">
        <v>746</v>
      </c>
      <c r="N163" s="197" t="s">
        <v>750</v>
      </c>
      <c r="O163" s="204">
        <v>97.568836000000005</v>
      </c>
      <c r="P163" s="204">
        <v>26.541930000000001</v>
      </c>
      <c r="Q163" s="205">
        <v>1025</v>
      </c>
      <c r="R163" s="205">
        <v>5</v>
      </c>
      <c r="S163" s="217">
        <v>32</v>
      </c>
      <c r="T163" s="207">
        <f>IF(CampList[[#This Row],[HH]]&gt;0,CampList[[#This Row],[Total]]/CampList[[#This Row],[HH]],"NA")</f>
        <v>6.4</v>
      </c>
      <c r="U163" s="199" t="s">
        <v>464</v>
      </c>
      <c r="V163" s="199" t="s">
        <v>995</v>
      </c>
      <c r="W163" s="199" t="s">
        <v>1384</v>
      </c>
      <c r="X163" s="199" t="s">
        <v>784</v>
      </c>
      <c r="Y163" s="312"/>
      <c r="Z163" s="209" t="s">
        <v>1317</v>
      </c>
      <c r="AA163" s="223" t="s">
        <v>773</v>
      </c>
      <c r="AB163" s="210">
        <v>42927</v>
      </c>
      <c r="AC163" s="211"/>
      <c r="AD163" s="199" t="str">
        <f ca="1">IFERROR(OFFSET(DistanceToCamp[Nearest Town],MATCH(CampList[[#This Row],[CP_Pcode]],DistanceToCamp[CP_Pcode],0)-1,0,1,1),"")</f>
        <v>Sumprabum Town</v>
      </c>
      <c r="AE163" s="212">
        <f ca="1">IFERROR(OFFSET(DistanceToCamp[distance],MATCH(CampList[[#This Row],[CP_Pcode]],DistanceToCamp[CP_Pcode],0)-1,0,1,1),"")</f>
        <v>0.23004407510846425</v>
      </c>
      <c r="AF163" s="213">
        <f ca="1">IFERROR(INT(CampList[[#This Row],[Distance]]/5)+1,"")</f>
        <v>1</v>
      </c>
    </row>
    <row r="164" spans="2:32" ht="15.75" customHeight="1" x14ac:dyDescent="0.3">
      <c r="B164" s="203" t="s">
        <v>1745</v>
      </c>
      <c r="C164" s="197" t="s">
        <v>378</v>
      </c>
      <c r="D164" s="197" t="s">
        <v>478</v>
      </c>
      <c r="E164" s="197" t="s">
        <v>237</v>
      </c>
      <c r="F164" s="197" t="s">
        <v>484</v>
      </c>
      <c r="G164" s="197" t="s">
        <v>309</v>
      </c>
      <c r="H164" s="197" t="s">
        <v>485</v>
      </c>
      <c r="I164" s="197" t="s">
        <v>667</v>
      </c>
      <c r="J164" s="197" t="s">
        <v>668</v>
      </c>
      <c r="K164" s="197"/>
      <c r="L164" s="215"/>
      <c r="M164" s="197" t="s">
        <v>751</v>
      </c>
      <c r="N164" s="197" t="s">
        <v>752</v>
      </c>
      <c r="O164" s="204">
        <v>97.541793999999996</v>
      </c>
      <c r="P164" s="204">
        <v>24.752471</v>
      </c>
      <c r="Q164" s="217"/>
      <c r="R164" s="206"/>
      <c r="S164" s="217">
        <v>872</v>
      </c>
      <c r="T164" s="207" t="str">
        <f>IF(CampList[[#This Row],[HH]]&gt;0,CampList[[#This Row],[Total]]/CampList[[#This Row],[HH]],"NA")</f>
        <v>NA</v>
      </c>
      <c r="U164" s="199" t="s">
        <v>466</v>
      </c>
      <c r="V164" s="199" t="s">
        <v>995</v>
      </c>
      <c r="W164" s="199" t="s">
        <v>849</v>
      </c>
      <c r="X164" s="199" t="s">
        <v>742</v>
      </c>
      <c r="Y164" s="313"/>
      <c r="Z164" s="209" t="s">
        <v>1317</v>
      </c>
      <c r="AA164" s="223" t="s">
        <v>522</v>
      </c>
      <c r="AB164" s="210">
        <v>42736</v>
      </c>
      <c r="AC164" s="211" t="s">
        <v>951</v>
      </c>
      <c r="AD164" s="199" t="str">
        <f ca="1">IFERROR(OFFSET(DistanceToCamp[Nearest Town],MATCH(CampList[[#This Row],[CP_Pcode]],DistanceToCamp[CP_Pcode],0)-1,0,1,1),"")</f>
        <v>Laiza town</v>
      </c>
      <c r="AE164" s="212">
        <f ca="1">IFERROR(OFFSET(DistanceToCamp[distance],MATCH(CampList[[#This Row],[CP_Pcode]],DistanceToCamp[CP_Pcode],0)-1,0,1,1),"")</f>
        <v>2.3307568207764655</v>
      </c>
      <c r="AF164" s="213">
        <f ca="1">IFERROR(INT(CampList[[#This Row],[Distance]]/5)+1,"")</f>
        <v>1</v>
      </c>
    </row>
    <row r="165" spans="2:32" ht="15.75" customHeight="1" x14ac:dyDescent="0.3">
      <c r="B165" s="203" t="s">
        <v>1745</v>
      </c>
      <c r="C165" s="198" t="s">
        <v>378</v>
      </c>
      <c r="D165" s="198" t="s">
        <v>478</v>
      </c>
      <c r="E165" s="198" t="s">
        <v>237</v>
      </c>
      <c r="F165" s="198" t="s">
        <v>484</v>
      </c>
      <c r="G165" s="198" t="s">
        <v>27</v>
      </c>
      <c r="H165" s="198" t="s">
        <v>487</v>
      </c>
      <c r="I165" s="198" t="s">
        <v>999</v>
      </c>
      <c r="J165" s="216" t="s">
        <v>1104</v>
      </c>
      <c r="K165" s="198" t="s">
        <v>656</v>
      </c>
      <c r="L165" s="198" t="s">
        <v>1105</v>
      </c>
      <c r="M165" s="198" t="s">
        <v>790</v>
      </c>
      <c r="N165" s="198" t="s">
        <v>789</v>
      </c>
      <c r="O165" s="206">
        <v>98.377780000000001</v>
      </c>
      <c r="P165" s="206">
        <v>25.60867</v>
      </c>
      <c r="Q165" s="217">
        <v>2345</v>
      </c>
      <c r="R165" s="274">
        <v>57</v>
      </c>
      <c r="S165" s="274">
        <v>273</v>
      </c>
      <c r="T165" s="207">
        <f>IF(CampList[[#This Row],[HH]]&gt;0,CampList[[#This Row],[Total]]/CampList[[#This Row],[HH]],"NA")</f>
        <v>4.7894736842105265</v>
      </c>
      <c r="U165" s="183" t="s">
        <v>464</v>
      </c>
      <c r="V165" s="199" t="s">
        <v>995</v>
      </c>
      <c r="W165" s="183" t="s">
        <v>507</v>
      </c>
      <c r="X165" s="183" t="s">
        <v>784</v>
      </c>
      <c r="Y165" s="313">
        <v>41091</v>
      </c>
      <c r="Z165" s="217" t="s">
        <v>936</v>
      </c>
      <c r="AA165" s="198" t="s">
        <v>774</v>
      </c>
      <c r="AB165" s="210">
        <v>43343</v>
      </c>
      <c r="AC165" s="219" t="s">
        <v>1811</v>
      </c>
      <c r="AD165" s="220" t="str">
        <f ca="1">IFERROR(OFFSET(DistanceToCamp[Nearest Town],MATCH(CampList[[#This Row],[CP_Pcode]],DistanceToCamp[CP_Pcode],0)-1,0,1,1),"")</f>
        <v>Pang War Town</v>
      </c>
      <c r="AE165" s="212">
        <f ca="1">IFERROR(OFFSET(DistanceToCamp[distance],MATCH(CampList[[#This Row],[CP_Pcode]],DistanceToCamp[CP_Pcode],0)-1,0,1,1),"")</f>
        <v>0.18710270881855062</v>
      </c>
      <c r="AF165" s="221">
        <f ca="1">IFERROR(INT(CampList[[#This Row],[Distance]]/5)+1,"")</f>
        <v>1</v>
      </c>
    </row>
    <row r="166" spans="2:32" ht="15.75" customHeight="1" x14ac:dyDescent="0.3">
      <c r="B166" s="203" t="s">
        <v>1745</v>
      </c>
      <c r="C166" s="197" t="s">
        <v>378</v>
      </c>
      <c r="D166" s="197" t="s">
        <v>478</v>
      </c>
      <c r="E166" s="197" t="s">
        <v>5</v>
      </c>
      <c r="F166" s="197" t="s">
        <v>482</v>
      </c>
      <c r="G166" s="197" t="s">
        <v>151</v>
      </c>
      <c r="H166" s="197" t="s">
        <v>492</v>
      </c>
      <c r="I166" s="197" t="s">
        <v>811</v>
      </c>
      <c r="J166" s="197" t="s">
        <v>1108</v>
      </c>
      <c r="K166" s="197" t="s">
        <v>811</v>
      </c>
      <c r="L166" s="197">
        <v>167301</v>
      </c>
      <c r="M166" s="197" t="s">
        <v>847</v>
      </c>
      <c r="N166" s="197" t="s">
        <v>846</v>
      </c>
      <c r="O166" s="204">
        <v>97.227057000000002</v>
      </c>
      <c r="P166" s="204">
        <v>23.976571</v>
      </c>
      <c r="Q166" s="217">
        <v>478</v>
      </c>
      <c r="R166" s="206">
        <v>169</v>
      </c>
      <c r="S166" s="206">
        <v>804</v>
      </c>
      <c r="T166" s="207">
        <f>IF(CampList[[#This Row],[HH]]&gt;0,CampList[[#This Row],[Total]]/CampList[[#This Row],[HH]],"NA")</f>
        <v>4.7573964497041423</v>
      </c>
      <c r="U166" s="199" t="s">
        <v>464</v>
      </c>
      <c r="V166" s="199" t="s">
        <v>995</v>
      </c>
      <c r="W166" s="199" t="s">
        <v>507</v>
      </c>
      <c r="X166" s="199" t="s">
        <v>784</v>
      </c>
      <c r="Y166" s="312">
        <v>41548</v>
      </c>
      <c r="Z166" s="676" t="s">
        <v>935</v>
      </c>
      <c r="AA166" s="197" t="s">
        <v>774</v>
      </c>
      <c r="AB166" s="210">
        <v>43343</v>
      </c>
      <c r="AC166" s="211" t="s">
        <v>1789</v>
      </c>
      <c r="AD166" s="199" t="str">
        <f ca="1">IFERROR(OFFSET(DistanceToCamp[Nearest Town],MATCH(CampList[[#This Row],[CP_Pcode]],DistanceToCamp[CP_Pcode],0)-1,0,1,1),"")</f>
        <v>Kamaing Town</v>
      </c>
      <c r="AE166" s="212">
        <f ca="1">IFERROR(OFFSET(DistanceToCamp[distance],MATCH(CampList[[#This Row],[CP_Pcode]],DistanceToCamp[CP_Pcode],0)-1,0,1,1),"")</f>
        <v>12.257552920582597</v>
      </c>
      <c r="AF166" s="213">
        <f ca="1">IFERROR(INT(CampList[[#This Row],[Distance]]/5)+1,"")</f>
        <v>3</v>
      </c>
    </row>
    <row r="167" spans="2:32" ht="15.75" customHeight="1" x14ac:dyDescent="0.3">
      <c r="B167" s="203" t="s">
        <v>1745</v>
      </c>
      <c r="C167" s="198" t="s">
        <v>378</v>
      </c>
      <c r="D167" s="198" t="s">
        <v>478</v>
      </c>
      <c r="E167" s="198" t="s">
        <v>237</v>
      </c>
      <c r="F167" s="198" t="s">
        <v>484</v>
      </c>
      <c r="G167" s="198" t="s">
        <v>27</v>
      </c>
      <c r="H167" s="198" t="s">
        <v>487</v>
      </c>
      <c r="I167" s="198" t="s">
        <v>730</v>
      </c>
      <c r="J167" s="216" t="s">
        <v>729</v>
      </c>
      <c r="K167" s="198" t="s">
        <v>875</v>
      </c>
      <c r="L167" s="198"/>
      <c r="M167" s="198" t="s">
        <v>875</v>
      </c>
      <c r="N167" s="198" t="s">
        <v>876</v>
      </c>
      <c r="O167" s="206">
        <v>98.356260000000006</v>
      </c>
      <c r="P167" s="206">
        <v>25.645959999999999</v>
      </c>
      <c r="Q167" s="217">
        <v>1945</v>
      </c>
      <c r="R167" s="274">
        <v>28</v>
      </c>
      <c r="S167" s="274">
        <v>165</v>
      </c>
      <c r="T167" s="207">
        <f>IF(CampList[[#This Row],[HH]]&gt;0,CampList[[#This Row],[Total]]/CampList[[#This Row],[HH]],"NA")</f>
        <v>5.8928571428571432</v>
      </c>
      <c r="U167" s="183" t="s">
        <v>464</v>
      </c>
      <c r="V167" s="199" t="s">
        <v>995</v>
      </c>
      <c r="W167" s="183" t="s">
        <v>507</v>
      </c>
      <c r="X167" s="183" t="s">
        <v>742</v>
      </c>
      <c r="Y167" s="313">
        <v>41091</v>
      </c>
      <c r="Z167" s="217" t="s">
        <v>936</v>
      </c>
      <c r="AA167" s="198" t="s">
        <v>774</v>
      </c>
      <c r="AB167" s="210">
        <v>43343</v>
      </c>
      <c r="AC167" s="219" t="s">
        <v>1812</v>
      </c>
      <c r="AD167" s="220" t="str">
        <f ca="1">IFERROR(OFFSET(DistanceToCamp[Nearest Town],MATCH(CampList[[#This Row],[CP_Pcode]],DistanceToCamp[CP_Pcode],0)-1,0,1,1),"")</f>
        <v>Naypyitaw Town</v>
      </c>
      <c r="AE167" s="212">
        <f ca="1">IFERROR(OFFSET(DistanceToCamp[distance],MATCH(CampList[[#This Row],[CP_Pcode]],DistanceToCamp[CP_Pcode],0)-1,0,1,1),"")</f>
        <v>0</v>
      </c>
      <c r="AF167" s="221">
        <f ca="1">IFERROR(INT(CampList[[#This Row],[Distance]]/5)+1,"")</f>
        <v>1</v>
      </c>
    </row>
    <row r="168" spans="2:32" ht="15.75" customHeight="1" x14ac:dyDescent="0.3">
      <c r="B168" s="203" t="s">
        <v>1745</v>
      </c>
      <c r="C168" s="197" t="s">
        <v>378</v>
      </c>
      <c r="D168" s="197" t="s">
        <v>478</v>
      </c>
      <c r="E168" s="197" t="s">
        <v>299</v>
      </c>
      <c r="F168" s="197" t="s">
        <v>499</v>
      </c>
      <c r="G168" s="197" t="s">
        <v>299</v>
      </c>
      <c r="H168" s="197" t="s">
        <v>505</v>
      </c>
      <c r="I168" s="197" t="s">
        <v>883</v>
      </c>
      <c r="J168" s="197" t="s">
        <v>884</v>
      </c>
      <c r="K168" s="197" t="s">
        <v>891</v>
      </c>
      <c r="L168" s="197">
        <v>217032</v>
      </c>
      <c r="M168" s="197" t="s">
        <v>892</v>
      </c>
      <c r="N168" s="197" t="s">
        <v>893</v>
      </c>
      <c r="O168" s="206">
        <v>97.561105999999995</v>
      </c>
      <c r="P168" s="206">
        <v>27.248964999999998</v>
      </c>
      <c r="Q168" s="217">
        <v>398</v>
      </c>
      <c r="R168" s="206">
        <v>10</v>
      </c>
      <c r="S168" s="217">
        <v>56</v>
      </c>
      <c r="T168" s="207">
        <f>IF(CampList[[#This Row],[HH]]&gt;0,CampList[[#This Row],[Total]]/CampList[[#This Row],[HH]],"NA")</f>
        <v>5.6</v>
      </c>
      <c r="U168" s="199" t="s">
        <v>464</v>
      </c>
      <c r="V168" s="199" t="s">
        <v>995</v>
      </c>
      <c r="W168" s="199" t="s">
        <v>12</v>
      </c>
      <c r="X168" s="199" t="s">
        <v>784</v>
      </c>
      <c r="Y168" s="313">
        <v>41487</v>
      </c>
      <c r="Z168" s="209" t="s">
        <v>1317</v>
      </c>
      <c r="AA168" s="197" t="s">
        <v>774</v>
      </c>
      <c r="AB168" s="210">
        <v>41736</v>
      </c>
      <c r="AC168" s="211" t="s">
        <v>1387</v>
      </c>
      <c r="AD168" s="199" t="str">
        <f ca="1">IFERROR(OFFSET(DistanceToCamp[Nearest Town],MATCH(CampList[[#This Row],[CP_Pcode]],DistanceToCamp[CP_Pcode],0)-1,0,1,1),"")</f>
        <v>Machanbaw Town</v>
      </c>
      <c r="AE168" s="212">
        <f ca="1">IFERROR(OFFSET(DistanceToCamp[distance],MATCH(CampList[[#This Row],[CP_Pcode]],DistanceToCamp[CP_Pcode],0)-1,0,1,1),"")</f>
        <v>4.789460146835963</v>
      </c>
      <c r="AF168" s="213">
        <f ca="1">IFERROR(INT(CampList[[#This Row],[Distance]]/5)+1,"")</f>
        <v>1</v>
      </c>
    </row>
    <row r="169" spans="2:32" ht="15.75" customHeight="1" x14ac:dyDescent="0.3">
      <c r="B169" s="203" t="s">
        <v>1745</v>
      </c>
      <c r="C169" s="198" t="s">
        <v>378</v>
      </c>
      <c r="D169" s="198" t="s">
        <v>478</v>
      </c>
      <c r="E169" s="198" t="s">
        <v>5</v>
      </c>
      <c r="F169" s="198" t="s">
        <v>482</v>
      </c>
      <c r="G169" s="198" t="s">
        <v>151</v>
      </c>
      <c r="H169" s="198" t="s">
        <v>492</v>
      </c>
      <c r="I169" s="198" t="s">
        <v>600</v>
      </c>
      <c r="J169" s="216" t="s">
        <v>601</v>
      </c>
      <c r="K169" s="211" t="s">
        <v>600</v>
      </c>
      <c r="L169" s="222">
        <v>167405</v>
      </c>
      <c r="M169" s="198" t="s">
        <v>911</v>
      </c>
      <c r="N169" s="198" t="s">
        <v>912</v>
      </c>
      <c r="O169" s="206">
        <v>97.578367</v>
      </c>
      <c r="P169" s="206">
        <v>23.833477999999999</v>
      </c>
      <c r="Q169" s="217">
        <v>925</v>
      </c>
      <c r="R169" s="206">
        <v>151</v>
      </c>
      <c r="S169" s="206">
        <v>729</v>
      </c>
      <c r="T169" s="207">
        <f>IF(CampList[[#This Row],[HH]]&gt;0,CampList[[#This Row],[Total]]/CampList[[#This Row],[HH]],"NA")</f>
        <v>4.8278145695364234</v>
      </c>
      <c r="U169" s="183" t="s">
        <v>464</v>
      </c>
      <c r="V169" s="199" t="s">
        <v>995</v>
      </c>
      <c r="W169" s="183" t="s">
        <v>507</v>
      </c>
      <c r="X169" s="183" t="s">
        <v>784</v>
      </c>
      <c r="Y169" s="313">
        <v>41791</v>
      </c>
      <c r="Z169" s="217" t="s">
        <v>935</v>
      </c>
      <c r="AA169" s="198" t="s">
        <v>774</v>
      </c>
      <c r="AB169" s="210">
        <v>43343</v>
      </c>
      <c r="AC169" s="219" t="s">
        <v>1790</v>
      </c>
      <c r="AD169" s="220" t="str">
        <f ca="1">IFERROR(OFFSET(DistanceToCamp[Nearest Town],MATCH(CampList[[#This Row],[CP_Pcode]],DistanceToCamp[CP_Pcode],0)-1,0,1,1),"")</f>
        <v>Namhkan Town</v>
      </c>
      <c r="AE169" s="212">
        <f ca="1">IFERROR(OFFSET(DistanceToCamp[distance],MATCH(CampList[[#This Row],[CP_Pcode]],DistanceToCamp[CP_Pcode],0)-1,0,1,1),"")</f>
        <v>10.527586947557506</v>
      </c>
      <c r="AF169" s="221">
        <f ca="1">IFERROR(INT(CampList[[#This Row],[Distance]]/5)+1,"")</f>
        <v>3</v>
      </c>
    </row>
    <row r="170" spans="2:32" ht="15.75" hidden="1" customHeight="1" x14ac:dyDescent="0.3">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10"/>
      <c r="S170" s="311"/>
      <c r="T170" s="207" t="str">
        <f>IF(CampList[[#This Row],[HH]]&gt;0,CampList[[#This Row],[Total]]/CampList[[#This Row],[HH]],"NA")</f>
        <v>NA</v>
      </c>
      <c r="U170" s="199" t="s">
        <v>464</v>
      </c>
      <c r="V170" s="199" t="s">
        <v>995</v>
      </c>
      <c r="W170" s="227" t="s">
        <v>12</v>
      </c>
      <c r="X170" s="199" t="s">
        <v>784</v>
      </c>
      <c r="Y170" s="313"/>
      <c r="Z170" s="209"/>
      <c r="AA170" s="223" t="s">
        <v>773</v>
      </c>
      <c r="AB170" s="210">
        <v>42927</v>
      </c>
      <c r="AC170" s="203" t="s">
        <v>1290</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3">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10"/>
      <c r="S171" s="311"/>
      <c r="T171" s="207" t="str">
        <f>IF(CampList[[#This Row],[HH]]&gt;0,CampList[[#This Row],[Total]]/CampList[[#This Row],[HH]],"NA")</f>
        <v>NA</v>
      </c>
      <c r="U171" s="199" t="s">
        <v>464</v>
      </c>
      <c r="V171" s="199" t="s">
        <v>995</v>
      </c>
      <c r="W171" s="229" t="s">
        <v>12</v>
      </c>
      <c r="X171" s="199" t="s">
        <v>742</v>
      </c>
      <c r="Y171" s="313"/>
      <c r="Z171" s="209"/>
      <c r="AA171" s="223" t="s">
        <v>773</v>
      </c>
      <c r="AB171" s="210">
        <v>42927</v>
      </c>
      <c r="AC171" s="203" t="s">
        <v>1287</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3">
      <c r="B172" s="203" t="s">
        <v>1745</v>
      </c>
      <c r="C172" s="197" t="s">
        <v>378</v>
      </c>
      <c r="D172" s="197" t="s">
        <v>478</v>
      </c>
      <c r="E172" s="197" t="s">
        <v>180</v>
      </c>
      <c r="F172" s="197" t="s">
        <v>479</v>
      </c>
      <c r="G172" s="197" t="s">
        <v>480</v>
      </c>
      <c r="H172" s="197" t="s">
        <v>481</v>
      </c>
      <c r="I172" s="211" t="s">
        <v>549</v>
      </c>
      <c r="J172" s="211" t="s">
        <v>550</v>
      </c>
      <c r="K172" s="211" t="s">
        <v>549</v>
      </c>
      <c r="L172" s="211">
        <v>166776</v>
      </c>
      <c r="M172" s="197" t="s">
        <v>915</v>
      </c>
      <c r="N172" s="197" t="s">
        <v>916</v>
      </c>
      <c r="O172" s="204">
        <v>96.312790000000007</v>
      </c>
      <c r="P172" s="204">
        <v>25.611160000000002</v>
      </c>
      <c r="Q172" s="217"/>
      <c r="R172" s="274">
        <v>106</v>
      </c>
      <c r="S172" s="274">
        <v>514</v>
      </c>
      <c r="T172" s="207">
        <f>IF(CampList[[#This Row],[HH]]&gt;0,CampList[[#This Row],[Total]]/CampList[[#This Row],[HH]],"NA")</f>
        <v>4.8490566037735849</v>
      </c>
      <c r="U172" s="199" t="s">
        <v>464</v>
      </c>
      <c r="V172" s="199" t="s">
        <v>995</v>
      </c>
      <c r="W172" s="199" t="s">
        <v>507</v>
      </c>
      <c r="X172" s="199" t="s">
        <v>742</v>
      </c>
      <c r="Y172" s="313">
        <v>41122</v>
      </c>
      <c r="Z172" s="209" t="s">
        <v>424</v>
      </c>
      <c r="AA172" s="197" t="s">
        <v>774</v>
      </c>
      <c r="AB172" s="210">
        <v>43343</v>
      </c>
      <c r="AC172" s="211" t="s">
        <v>1875</v>
      </c>
      <c r="AD172" s="199" t="str">
        <f ca="1">IFERROR(OFFSET(DistanceToCamp[Nearest Town],MATCH(CampList[[#This Row],[CP_Pcode]],DistanceToCamp[CP_Pcode],0)-1,0,1,1),"")</f>
        <v>Hpakant Town</v>
      </c>
      <c r="AE172" s="212">
        <f ca="1">IFERROR(OFFSET(DistanceToCamp[distance],MATCH(CampList[[#This Row],[CP_Pcode]],DistanceToCamp[CP_Pcode],0)-1,0,1,1),"")</f>
        <v>0.19374952337076978</v>
      </c>
      <c r="AF172" s="221">
        <f ca="1">IFERROR(INT(CampList[[#This Row],[Distance]]/5)+1,"")</f>
        <v>1</v>
      </c>
    </row>
    <row r="173" spans="2:32" ht="15.75" hidden="1" customHeight="1" x14ac:dyDescent="0.3">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4">
        <v>0</v>
      </c>
      <c r="S173" s="285">
        <v>0</v>
      </c>
      <c r="T173" s="207" t="str">
        <f>IF(CampList[[#This Row],[HH]]&gt;0,CampList[[#This Row],[Total]]/CampList[[#This Row],[HH]],"NA")</f>
        <v>NA</v>
      </c>
      <c r="U173" s="199" t="s">
        <v>464</v>
      </c>
      <c r="V173" s="199" t="s">
        <v>995</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3">
      <c r="B174" s="203" t="s">
        <v>775</v>
      </c>
      <c r="C174" s="197" t="s">
        <v>378</v>
      </c>
      <c r="D174" s="197" t="s">
        <v>478</v>
      </c>
      <c r="E174" s="197" t="s">
        <v>5</v>
      </c>
      <c r="F174" s="197" t="s">
        <v>482</v>
      </c>
      <c r="G174" s="197" t="s">
        <v>151</v>
      </c>
      <c r="H174" s="197" t="s">
        <v>492</v>
      </c>
      <c r="I174" s="697" t="s">
        <v>681</v>
      </c>
      <c r="J174" s="697" t="s">
        <v>682</v>
      </c>
      <c r="K174" s="211"/>
      <c r="L174" s="697"/>
      <c r="M174" s="197" t="s">
        <v>469</v>
      </c>
      <c r="N174" s="197" t="s">
        <v>470</v>
      </c>
      <c r="O174" s="204">
        <v>97.601243999999994</v>
      </c>
      <c r="P174" s="204">
        <v>23.867713999999999</v>
      </c>
      <c r="Q174" s="205">
        <v>755</v>
      </c>
      <c r="R174" s="284">
        <v>0</v>
      </c>
      <c r="S174" s="285">
        <v>0</v>
      </c>
      <c r="T174" s="207" t="str">
        <f>IF(CampList[[#This Row],[HH]]&gt;0,CampList[[#This Row],[Total]]/CampList[[#This Row],[HH]],"NA")</f>
        <v>NA</v>
      </c>
      <c r="U174" s="199" t="s">
        <v>466</v>
      </c>
      <c r="V174" s="199" t="s">
        <v>995</v>
      </c>
      <c r="W174" s="199" t="s">
        <v>507</v>
      </c>
      <c r="X174" s="199" t="s">
        <v>784</v>
      </c>
      <c r="Y174" s="676">
        <v>41365</v>
      </c>
      <c r="Z174" s="676" t="s">
        <v>935</v>
      </c>
      <c r="AA174" s="223" t="s">
        <v>774</v>
      </c>
      <c r="AB174" s="210">
        <v>41811</v>
      </c>
      <c r="AC174" s="203" t="s">
        <v>941</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3">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4">
        <v>0</v>
      </c>
      <c r="S175" s="285">
        <v>0</v>
      </c>
      <c r="T175" s="207" t="str">
        <f>IF(CampList[[#This Row],[HH]]&gt;0,CampList[[#This Row],[Total]]/CampList[[#This Row],[HH]],"NA")</f>
        <v>NA</v>
      </c>
      <c r="U175" s="199" t="s">
        <v>466</v>
      </c>
      <c r="V175" s="199" t="s">
        <v>995</v>
      </c>
      <c r="W175" s="199" t="s">
        <v>507</v>
      </c>
      <c r="X175" s="199" t="s">
        <v>784</v>
      </c>
      <c r="Y175" s="676">
        <v>41091</v>
      </c>
      <c r="Z175" s="676"/>
      <c r="AA175" s="223" t="s">
        <v>774</v>
      </c>
      <c r="AB175" s="210">
        <v>41661</v>
      </c>
      <c r="AC175" s="203" t="s">
        <v>843</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 hidden="1" customHeight="1" x14ac:dyDescent="0.3">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4">
        <v>0</v>
      </c>
      <c r="S176" s="285">
        <v>0</v>
      </c>
      <c r="T176" s="207" t="str">
        <f>IF(CampList[[#This Row],[HH]]&gt;0,CampList[[#This Row],[Total]]/CampList[[#This Row],[HH]],"NA")</f>
        <v>NA</v>
      </c>
      <c r="U176" s="199" t="s">
        <v>466</v>
      </c>
      <c r="V176" s="199" t="s">
        <v>995</v>
      </c>
      <c r="W176" s="199" t="s">
        <v>507</v>
      </c>
      <c r="X176" s="199" t="s">
        <v>784</v>
      </c>
      <c r="Y176" s="676">
        <v>41091</v>
      </c>
      <c r="Z176" s="676"/>
      <c r="AA176" s="223" t="s">
        <v>774</v>
      </c>
      <c r="AB176" s="226"/>
      <c r="AC176" s="203" t="s">
        <v>843</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3">
      <c r="B177" s="203" t="s">
        <v>1745</v>
      </c>
      <c r="C177" s="197" t="s">
        <v>378</v>
      </c>
      <c r="D177" s="197" t="s">
        <v>478</v>
      </c>
      <c r="E177" s="197" t="s">
        <v>5</v>
      </c>
      <c r="F177" s="197" t="s">
        <v>482</v>
      </c>
      <c r="G177" s="197" t="s">
        <v>151</v>
      </c>
      <c r="H177" s="197" t="s">
        <v>492</v>
      </c>
      <c r="I177" s="197" t="s">
        <v>600</v>
      </c>
      <c r="J177" s="197" t="s">
        <v>601</v>
      </c>
      <c r="K177" s="197" t="s">
        <v>600</v>
      </c>
      <c r="L177" s="197">
        <v>167405</v>
      </c>
      <c r="M177" s="197" t="s">
        <v>938</v>
      </c>
      <c r="N177" s="197" t="s">
        <v>939</v>
      </c>
      <c r="O177" s="206">
        <v>97.590767</v>
      </c>
      <c r="P177" s="206">
        <v>23.829599000000002</v>
      </c>
      <c r="Q177" s="217"/>
      <c r="R177" s="274">
        <v>155</v>
      </c>
      <c r="S177" s="274">
        <v>681</v>
      </c>
      <c r="T177" s="207">
        <f>IF(CampList[[#This Row],[HH]]&gt;0,CampList[[#This Row],[Total]]/CampList[[#This Row],[HH]],"NA")</f>
        <v>4.3935483870967742</v>
      </c>
      <c r="U177" s="199" t="s">
        <v>464</v>
      </c>
      <c r="V177" s="199" t="s">
        <v>995</v>
      </c>
      <c r="W177" s="199" t="s">
        <v>507</v>
      </c>
      <c r="X177" s="199" t="s">
        <v>784</v>
      </c>
      <c r="Y177" s="313">
        <v>41730</v>
      </c>
      <c r="Z177" s="209" t="s">
        <v>424</v>
      </c>
      <c r="AA177" s="197" t="s">
        <v>774</v>
      </c>
      <c r="AB177" s="210">
        <v>43343</v>
      </c>
      <c r="AC177" s="211" t="s">
        <v>1876</v>
      </c>
      <c r="AD177" s="199" t="str">
        <f ca="1">IFERROR(OFFSET(DistanceToCamp[Nearest Town],MATCH(CampList[[#This Row],[CP_Pcode]],DistanceToCamp[CP_Pcode],0)-1,0,1,1),"")</f>
        <v>Namhkan Town</v>
      </c>
      <c r="AE177" s="212">
        <f ca="1">IFERROR(OFFSET(DistanceToCamp[distance],MATCH(CampList[[#This Row],[CP_Pcode]],DistanceToCamp[CP_Pcode],0)-1,0,1,1),"")</f>
        <v>9.2957189123335944</v>
      </c>
      <c r="AF177" s="221">
        <f ca="1">IFERROR(INT(CampList[[#This Row],[Distance]]/5)+1,"")</f>
        <v>2</v>
      </c>
    </row>
    <row r="178" spans="2:32" ht="15.75" customHeight="1" x14ac:dyDescent="0.3">
      <c r="B178" s="203" t="s">
        <v>1745</v>
      </c>
      <c r="C178" s="197" t="s">
        <v>378</v>
      </c>
      <c r="D178" s="197" t="s">
        <v>478</v>
      </c>
      <c r="E178" s="197" t="s">
        <v>180</v>
      </c>
      <c r="F178" s="197" t="s">
        <v>479</v>
      </c>
      <c r="G178" s="197" t="s">
        <v>180</v>
      </c>
      <c r="H178" s="197" t="s">
        <v>504</v>
      </c>
      <c r="I178" s="197" t="s">
        <v>1007</v>
      </c>
      <c r="J178" s="197" t="s">
        <v>1110</v>
      </c>
      <c r="K178" s="197" t="s">
        <v>1111</v>
      </c>
      <c r="L178" s="197" t="s">
        <v>1112</v>
      </c>
      <c r="M178" s="197" t="s">
        <v>984</v>
      </c>
      <c r="N178" s="197" t="s">
        <v>986</v>
      </c>
      <c r="O178" s="206">
        <v>96.52534</v>
      </c>
      <c r="P178" s="206">
        <v>24.996279999999999</v>
      </c>
      <c r="Q178" s="217"/>
      <c r="R178" s="206">
        <v>27</v>
      </c>
      <c r="S178" s="217">
        <v>121</v>
      </c>
      <c r="T178" s="207">
        <f>IF(CampList[[#This Row],[HH]]&gt;0,CampList[[#This Row],[Total]]/CampList[[#This Row],[HH]],"NA")</f>
        <v>4.4814814814814818</v>
      </c>
      <c r="U178" s="199" t="s">
        <v>464</v>
      </c>
      <c r="V178" s="199" t="s">
        <v>995</v>
      </c>
      <c r="W178" s="227" t="s">
        <v>12</v>
      </c>
      <c r="X178" s="199" t="s">
        <v>742</v>
      </c>
      <c r="Y178" s="313">
        <v>41275</v>
      </c>
      <c r="Z178" s="209" t="s">
        <v>1317</v>
      </c>
      <c r="AA178" s="197" t="s">
        <v>774</v>
      </c>
      <c r="AB178" s="210">
        <v>42849</v>
      </c>
      <c r="AC178" s="211" t="s">
        <v>1234</v>
      </c>
      <c r="AD178" s="199" t="str">
        <f ca="1">IFERROR(OFFSET(DistanceToCamp[Nearest Town],MATCH(CampList[[#This Row],[CP_Pcode]],DistanceToCamp[CP_Pcode],0)-1,0,1,1),"")</f>
        <v>Hopin Town</v>
      </c>
      <c r="AE178" s="212">
        <f ca="1">IFERROR(OFFSET(DistanceToCamp[distance],MATCH(CampList[[#This Row],[CP_Pcode]],DistanceToCamp[CP_Pcode],0)-1,0,1,1),"")</f>
        <v>0</v>
      </c>
      <c r="AF178" s="213">
        <f ca="1">IFERROR(INT(CampList[[#This Row],[Distance]]/5)+1,"")</f>
        <v>1</v>
      </c>
    </row>
    <row r="179" spans="2:32" ht="15.75" hidden="1" customHeight="1" x14ac:dyDescent="0.3">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4">
        <v>0</v>
      </c>
      <c r="S179" s="285">
        <v>0</v>
      </c>
      <c r="T179" s="207" t="str">
        <f>IF(CampList[[#This Row],[HH]]&gt;0,CampList[[#This Row],[Total]]/CampList[[#This Row],[HH]],"NA")</f>
        <v>NA</v>
      </c>
      <c r="U179" s="199" t="s">
        <v>466</v>
      </c>
      <c r="V179" s="199" t="s">
        <v>995</v>
      </c>
      <c r="W179" s="199" t="s">
        <v>507</v>
      </c>
      <c r="X179" s="199"/>
      <c r="Y179" s="218"/>
      <c r="Z179" s="209"/>
      <c r="AA179" s="223" t="s">
        <v>774</v>
      </c>
      <c r="AB179" s="226"/>
      <c r="AC179" s="203" t="s">
        <v>843</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3">
      <c r="B180" s="203" t="s">
        <v>1745</v>
      </c>
      <c r="C180" s="197" t="s">
        <v>378</v>
      </c>
      <c r="D180" s="197" t="s">
        <v>478</v>
      </c>
      <c r="E180" s="197" t="s">
        <v>180</v>
      </c>
      <c r="F180" s="197" t="s">
        <v>479</v>
      </c>
      <c r="G180" s="197" t="s">
        <v>180</v>
      </c>
      <c r="H180" s="197" t="s">
        <v>504</v>
      </c>
      <c r="I180" s="197" t="s">
        <v>960</v>
      </c>
      <c r="J180" s="197" t="s">
        <v>1038</v>
      </c>
      <c r="K180" s="197"/>
      <c r="L180" s="197"/>
      <c r="M180" s="197" t="s">
        <v>985</v>
      </c>
      <c r="N180" s="197" t="s">
        <v>987</v>
      </c>
      <c r="O180" s="206">
        <v>96.366919999999993</v>
      </c>
      <c r="P180" s="206">
        <v>24.764959999999999</v>
      </c>
      <c r="Q180" s="217"/>
      <c r="R180" s="206">
        <v>14</v>
      </c>
      <c r="S180" s="217">
        <v>63</v>
      </c>
      <c r="T180" s="207">
        <f>IF(CampList[[#This Row],[HH]]&gt;0,CampList[[#This Row],[Total]]/CampList[[#This Row],[HH]],"NA")</f>
        <v>4.5</v>
      </c>
      <c r="U180" s="199" t="s">
        <v>464</v>
      </c>
      <c r="V180" s="199" t="s">
        <v>995</v>
      </c>
      <c r="W180" s="227" t="s">
        <v>12</v>
      </c>
      <c r="X180" s="199" t="s">
        <v>742</v>
      </c>
      <c r="Y180" s="313">
        <v>41275</v>
      </c>
      <c r="Z180" s="209" t="s">
        <v>1317</v>
      </c>
      <c r="AA180" s="197" t="s">
        <v>774</v>
      </c>
      <c r="AB180" s="210">
        <v>42849</v>
      </c>
      <c r="AC180" s="211" t="s">
        <v>1235</v>
      </c>
      <c r="AD180" s="199" t="str">
        <f ca="1">IFERROR(OFFSET(DistanceToCamp[Nearest Town],MATCH(CampList[[#This Row],[CP_Pcode]],DistanceToCamp[CP_Pcode],0)-1,0,1,1),"")</f>
        <v>Mohnyin Town</v>
      </c>
      <c r="AE180" s="212">
        <f ca="1">IFERROR(OFFSET(DistanceToCamp[distance],MATCH(CampList[[#This Row],[CP_Pcode]],DistanceToCamp[CP_Pcode],0)-1,0,1,1),"")</f>
        <v>0</v>
      </c>
      <c r="AF180" s="213">
        <f ca="1">IFERROR(INT(CampList[[#This Row],[Distance]]/5)+1,"")</f>
        <v>1</v>
      </c>
    </row>
    <row r="181" spans="2:32" ht="15.75" hidden="1" customHeight="1" x14ac:dyDescent="0.3">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4">
        <v>0</v>
      </c>
      <c r="S181" s="285">
        <v>0</v>
      </c>
      <c r="T181" s="207" t="str">
        <f>IF(CampList[[#This Row],[HH]]&gt;0,CampList[[#This Row],[Total]]/CampList[[#This Row],[HH]],"NA")</f>
        <v>NA</v>
      </c>
      <c r="U181" s="199" t="s">
        <v>464</v>
      </c>
      <c r="V181" s="199" t="s">
        <v>995</v>
      </c>
      <c r="W181" s="199" t="s">
        <v>507</v>
      </c>
      <c r="X181" s="199" t="s">
        <v>742</v>
      </c>
      <c r="Y181" s="676"/>
      <c r="Z181" s="676"/>
      <c r="AA181" s="223" t="s">
        <v>774</v>
      </c>
      <c r="AB181" s="210">
        <v>41701</v>
      </c>
      <c r="AC181" s="203" t="s">
        <v>873</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 hidden="1" customHeight="1" x14ac:dyDescent="0.3">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4">
        <v>0</v>
      </c>
      <c r="S182" s="285">
        <v>0</v>
      </c>
      <c r="T182" s="207" t="str">
        <f>IF(CampList[[#This Row],[HH]]&gt;0,CampList[[#This Row],[Total]]/CampList[[#This Row],[HH]],"NA")</f>
        <v>NA</v>
      </c>
      <c r="U182" s="199" t="s">
        <v>464</v>
      </c>
      <c r="V182" s="199" t="s">
        <v>995</v>
      </c>
      <c r="W182" s="199" t="s">
        <v>507</v>
      </c>
      <c r="X182" s="199"/>
      <c r="Y182" s="218"/>
      <c r="Z182" s="209"/>
      <c r="AA182" s="223" t="s">
        <v>774</v>
      </c>
      <c r="AB182" s="210">
        <v>41701</v>
      </c>
      <c r="AC182" s="203" t="s">
        <v>868</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3">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4">
        <v>0</v>
      </c>
      <c r="S183" s="285">
        <v>0</v>
      </c>
      <c r="T183" s="207" t="str">
        <f>IF(CampList[[#This Row],[HH]]&gt;0,CampList[[#This Row],[Total]]/CampList[[#This Row],[HH]],"NA")</f>
        <v>NA</v>
      </c>
      <c r="U183" s="199" t="s">
        <v>464</v>
      </c>
      <c r="V183" s="199" t="s">
        <v>995</v>
      </c>
      <c r="W183" s="199" t="s">
        <v>507</v>
      </c>
      <c r="X183" s="199"/>
      <c r="Y183" s="218"/>
      <c r="Z183" s="209"/>
      <c r="AA183" s="223" t="s">
        <v>774</v>
      </c>
      <c r="AB183" s="210">
        <v>41701</v>
      </c>
      <c r="AC183" s="203" t="s">
        <v>868</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3">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4">
        <v>0</v>
      </c>
      <c r="S184" s="285">
        <v>0</v>
      </c>
      <c r="T184" s="207" t="str">
        <f>IF(CampList[[#This Row],[HH]]&gt;0,CampList[[#This Row],[Total]]/CampList[[#This Row],[HH]],"NA")</f>
        <v>NA</v>
      </c>
      <c r="U184" s="199" t="s">
        <v>464</v>
      </c>
      <c r="V184" s="199" t="s">
        <v>995</v>
      </c>
      <c r="W184" s="199" t="s">
        <v>507</v>
      </c>
      <c r="X184" s="199"/>
      <c r="Y184" s="218"/>
      <c r="Z184" s="209"/>
      <c r="AA184" s="223" t="s">
        <v>774</v>
      </c>
      <c r="AB184" s="210">
        <v>41701</v>
      </c>
      <c r="AC184" s="203" t="s">
        <v>867</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3">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4">
        <v>0</v>
      </c>
      <c r="S185" s="285">
        <v>0</v>
      </c>
      <c r="T185" s="207" t="str">
        <f>IF(CampList[[#This Row],[HH]]&gt;0,CampList[[#This Row],[Total]]/CampList[[#This Row],[HH]],"NA")</f>
        <v>NA</v>
      </c>
      <c r="U185" s="199" t="s">
        <v>464</v>
      </c>
      <c r="V185" s="199" t="s">
        <v>995</v>
      </c>
      <c r="W185" s="199" t="s">
        <v>507</v>
      </c>
      <c r="X185" s="199"/>
      <c r="Y185" s="218"/>
      <c r="Z185" s="209"/>
      <c r="AA185" s="223" t="s">
        <v>774</v>
      </c>
      <c r="AB185" s="210">
        <v>41701</v>
      </c>
      <c r="AC185" s="203" t="s">
        <v>867</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3">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4">
        <v>0</v>
      </c>
      <c r="S186" s="285">
        <v>0</v>
      </c>
      <c r="T186" s="207" t="str">
        <f>IF(CampList[[#This Row],[HH]]&gt;0,CampList[[#This Row],[Total]]/CampList[[#This Row],[HH]],"NA")</f>
        <v>NA</v>
      </c>
      <c r="U186" s="199" t="s">
        <v>464</v>
      </c>
      <c r="V186" s="199" t="s">
        <v>995</v>
      </c>
      <c r="W186" s="199" t="s">
        <v>12</v>
      </c>
      <c r="X186" s="199" t="s">
        <v>784</v>
      </c>
      <c r="Y186" s="218"/>
      <c r="Z186" s="209"/>
      <c r="AA186" s="223" t="s">
        <v>774</v>
      </c>
      <c r="AB186" s="210">
        <v>42090</v>
      </c>
      <c r="AC186" s="203" t="s">
        <v>1027</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3">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4">
        <v>0</v>
      </c>
      <c r="S187" s="285">
        <v>0</v>
      </c>
      <c r="T187" s="207" t="str">
        <f>IF(CampList[[#This Row],[HH]]&gt;0,CampList[[#This Row],[Total]]/CampList[[#This Row],[HH]],"NA")</f>
        <v>NA</v>
      </c>
      <c r="U187" s="199" t="s">
        <v>464</v>
      </c>
      <c r="V187" s="199" t="s">
        <v>995</v>
      </c>
      <c r="W187" s="199" t="s">
        <v>784</v>
      </c>
      <c r="X187" s="199"/>
      <c r="Y187" s="218"/>
      <c r="Z187" s="209"/>
      <c r="AA187" s="223" t="s">
        <v>774</v>
      </c>
      <c r="AB187" s="210">
        <v>41677</v>
      </c>
      <c r="AC187" s="203" t="s">
        <v>848</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3">
      <c r="B188" s="203" t="s">
        <v>1745</v>
      </c>
      <c r="C188" s="197" t="s">
        <v>378</v>
      </c>
      <c r="D188" s="197" t="s">
        <v>478</v>
      </c>
      <c r="E188" s="197" t="s">
        <v>299</v>
      </c>
      <c r="F188" s="197" t="s">
        <v>499</v>
      </c>
      <c r="G188" s="197" t="s">
        <v>299</v>
      </c>
      <c r="H188" s="197" t="s">
        <v>505</v>
      </c>
      <c r="I188" s="198" t="s">
        <v>740</v>
      </c>
      <c r="J188" s="216" t="s">
        <v>741</v>
      </c>
      <c r="K188" s="198" t="s">
        <v>1052</v>
      </c>
      <c r="L188" s="211" t="s">
        <v>1053</v>
      </c>
      <c r="M188" s="198" t="s">
        <v>1046</v>
      </c>
      <c r="N188" s="197" t="s">
        <v>1045</v>
      </c>
      <c r="O188" s="234">
        <v>97.416121000000004</v>
      </c>
      <c r="P188" s="234">
        <v>27.337499999999999</v>
      </c>
      <c r="Q188" s="217"/>
      <c r="R188" s="274">
        <v>61</v>
      </c>
      <c r="S188" s="274">
        <v>281</v>
      </c>
      <c r="T188" s="207">
        <f>IF(CampList[[#This Row],[HH]]&gt;0,CampList[[#This Row],[Total]]/CampList[[#This Row],[HH]],"NA")</f>
        <v>4.6065573770491799</v>
      </c>
      <c r="U188" s="199" t="s">
        <v>464</v>
      </c>
      <c r="V188" s="199" t="s">
        <v>995</v>
      </c>
      <c r="W188" s="199" t="s">
        <v>507</v>
      </c>
      <c r="X188" s="183" t="s">
        <v>742</v>
      </c>
      <c r="Y188" s="313">
        <v>42180</v>
      </c>
      <c r="Z188" s="217" t="s">
        <v>424</v>
      </c>
      <c r="AA188" s="197" t="s">
        <v>774</v>
      </c>
      <c r="AB188" s="210">
        <v>43343</v>
      </c>
      <c r="AC188" s="219" t="s">
        <v>1877</v>
      </c>
      <c r="AD188" s="199" t="str">
        <f ca="1">IFERROR(OFFSET(DistanceToCamp[Nearest Town],MATCH(CampList[[#This Row],[CP_Pcode]],DistanceToCamp[CP_Pcode],0)-1,0,1,1),"")</f>
        <v>Puta-O Town</v>
      </c>
      <c r="AE188" s="212">
        <f ca="1">IFERROR(OFFSET(DistanceToCamp[distance],MATCH(CampList[[#This Row],[CP_Pcode]],DistanceToCamp[CP_Pcode],0)-1,0,1,1),"")</f>
        <v>0</v>
      </c>
      <c r="AF188" s="213">
        <f ca="1">IFERROR(INT(CampList[[#This Row],[Distance]]/5)+1,"")</f>
        <v>1</v>
      </c>
    </row>
    <row r="189" spans="2:32" ht="15.75" hidden="1" customHeight="1" x14ac:dyDescent="0.3">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4">
        <v>0</v>
      </c>
      <c r="S189" s="285">
        <v>0</v>
      </c>
      <c r="T189" s="207" t="str">
        <f>IF(CampList[[#This Row],[HH]]&gt;0,CampList[[#This Row],[Total]]/CampList[[#This Row],[HH]],"NA")</f>
        <v>NA</v>
      </c>
      <c r="U189" s="199" t="s">
        <v>464</v>
      </c>
      <c r="V189" s="199" t="s">
        <v>995</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3">
      <c r="B190" s="203" t="s">
        <v>775</v>
      </c>
      <c r="C190" s="197" t="s">
        <v>378</v>
      </c>
      <c r="D190" s="197" t="s">
        <v>478</v>
      </c>
      <c r="E190" s="197" t="s">
        <v>299</v>
      </c>
      <c r="F190" s="197" t="s">
        <v>499</v>
      </c>
      <c r="G190" s="197" t="s">
        <v>299</v>
      </c>
      <c r="H190" s="197" t="s">
        <v>505</v>
      </c>
      <c r="I190" s="197" t="s">
        <v>883</v>
      </c>
      <c r="J190" s="197" t="s">
        <v>884</v>
      </c>
      <c r="K190" s="197" t="s">
        <v>885</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995</v>
      </c>
      <c r="W190" s="199" t="s">
        <v>507</v>
      </c>
      <c r="X190" s="199" t="s">
        <v>784</v>
      </c>
      <c r="Y190" s="676">
        <v>41487</v>
      </c>
      <c r="Z190" s="676"/>
      <c r="AA190" s="197" t="s">
        <v>774</v>
      </c>
      <c r="AB190" s="210">
        <v>41725</v>
      </c>
      <c r="AC190" s="211" t="s">
        <v>1051</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3">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995</v>
      </c>
      <c r="W191" s="199" t="s">
        <v>507</v>
      </c>
      <c r="X191" s="199" t="s">
        <v>784</v>
      </c>
      <c r="Y191" s="218">
        <v>41518</v>
      </c>
      <c r="Z191" s="233"/>
      <c r="AA191" s="197" t="s">
        <v>774</v>
      </c>
      <c r="AB191" s="210">
        <v>42180</v>
      </c>
      <c r="AC191" s="203" t="s">
        <v>1050</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3">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4"/>
      <c r="S192" s="285"/>
      <c r="T192" s="207" t="str">
        <f>IF(CampList[[#This Row],[HH]]&gt;0,CampList[[#This Row],[Total]]/CampList[[#This Row],[HH]],"NA")</f>
        <v>NA</v>
      </c>
      <c r="U192" s="199" t="s">
        <v>464</v>
      </c>
      <c r="V192" s="199" t="s">
        <v>995</v>
      </c>
      <c r="W192" s="199" t="s">
        <v>507</v>
      </c>
      <c r="X192" s="199" t="s">
        <v>742</v>
      </c>
      <c r="Y192" s="218"/>
      <c r="Z192" s="209"/>
      <c r="AA192" s="223" t="s">
        <v>774</v>
      </c>
      <c r="AB192" s="210">
        <v>41702</v>
      </c>
      <c r="AC192" s="211" t="s">
        <v>872</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3">
      <c r="B193" s="203" t="s">
        <v>1745</v>
      </c>
      <c r="C193" s="197" t="s">
        <v>378</v>
      </c>
      <c r="D193" s="197" t="s">
        <v>478</v>
      </c>
      <c r="E193" s="197" t="s">
        <v>180</v>
      </c>
      <c r="F193" s="197" t="s">
        <v>479</v>
      </c>
      <c r="G193" s="197" t="s">
        <v>173</v>
      </c>
      <c r="H193" s="197" t="s">
        <v>498</v>
      </c>
      <c r="I193" s="197" t="s">
        <v>1058</v>
      </c>
      <c r="J193" s="197" t="s">
        <v>1059</v>
      </c>
      <c r="K193" s="197" t="s">
        <v>1058</v>
      </c>
      <c r="L193" s="197">
        <v>166724</v>
      </c>
      <c r="M193" s="197" t="s">
        <v>1062</v>
      </c>
      <c r="N193" s="197" t="s">
        <v>1056</v>
      </c>
      <c r="O193" s="204">
        <v>96.793999999999997</v>
      </c>
      <c r="P193" s="204">
        <v>25.225000000000001</v>
      </c>
      <c r="Q193" s="217"/>
      <c r="R193" s="274">
        <v>27</v>
      </c>
      <c r="S193" s="274">
        <v>133</v>
      </c>
      <c r="T193" s="207">
        <f>IF(CampList[[#This Row],[HH]]&gt;0,CampList[[#This Row],[Total]]/CampList[[#This Row],[HH]],"NA")</f>
        <v>4.9259259259259256</v>
      </c>
      <c r="U193" s="199" t="s">
        <v>464</v>
      </c>
      <c r="V193" s="199" t="s">
        <v>995</v>
      </c>
      <c r="W193" s="199" t="s">
        <v>507</v>
      </c>
      <c r="X193" s="199" t="s">
        <v>784</v>
      </c>
      <c r="Y193" s="313">
        <v>42125</v>
      </c>
      <c r="Z193" s="209" t="s">
        <v>424</v>
      </c>
      <c r="AA193" s="198" t="s">
        <v>774</v>
      </c>
      <c r="AB193" s="210">
        <v>43343</v>
      </c>
      <c r="AC193" s="211" t="s">
        <v>1878</v>
      </c>
      <c r="AD193" s="199" t="str">
        <f ca="1">IFERROR(OFFSET(DistanceToCamp[Nearest Town],MATCH(CampList[[#This Row],[CP_Pcode]],DistanceToCamp[CP_Pcode],0)-1,0,1,1),"")</f>
        <v>Mogaung Town</v>
      </c>
      <c r="AE193" s="212">
        <f ca="1">IFERROR(OFFSET(DistanceToCamp[distance],MATCH(CampList[[#This Row],[CP_Pcode]],DistanceToCamp[CP_Pcode],0)-1,0,1,1),"")</f>
        <v>5</v>
      </c>
      <c r="AF193" s="213">
        <f ca="1">IFERROR(INT(CampList[[#This Row],[Distance]]/5)+1,"")</f>
        <v>2</v>
      </c>
    </row>
    <row r="194" spans="2:32" ht="15.75" hidden="1" customHeight="1" x14ac:dyDescent="0.3">
      <c r="B194" s="203" t="s">
        <v>775</v>
      </c>
      <c r="C194" s="197" t="s">
        <v>378</v>
      </c>
      <c r="D194" s="197" t="s">
        <v>478</v>
      </c>
      <c r="E194" s="197" t="s">
        <v>5</v>
      </c>
      <c r="F194" s="197" t="s">
        <v>482</v>
      </c>
      <c r="G194" s="197" t="s">
        <v>5</v>
      </c>
      <c r="H194" s="197" t="s">
        <v>483</v>
      </c>
      <c r="I194" s="197" t="s">
        <v>585</v>
      </c>
      <c r="J194" s="197" t="s">
        <v>586</v>
      </c>
      <c r="K194" s="197"/>
      <c r="L194" s="197"/>
      <c r="M194" s="197" t="s">
        <v>877</v>
      </c>
      <c r="N194" s="197" t="s">
        <v>874</v>
      </c>
      <c r="O194" s="204">
        <v>97.239130000000003</v>
      </c>
      <c r="P194" s="206">
        <v>24.229189999999999</v>
      </c>
      <c r="Q194" s="217">
        <v>126</v>
      </c>
      <c r="R194" s="183"/>
      <c r="S194" s="225"/>
      <c r="T194" s="207" t="str">
        <f>IF(CampList[[#This Row],[HH]]&gt;0,CampList[[#This Row],[Total]]/CampList[[#This Row],[HH]],"NA")</f>
        <v>NA</v>
      </c>
      <c r="U194" s="199" t="s">
        <v>464</v>
      </c>
      <c r="V194" s="199" t="s">
        <v>995</v>
      </c>
      <c r="W194" s="199" t="s">
        <v>507</v>
      </c>
      <c r="X194" s="199" t="s">
        <v>742</v>
      </c>
      <c r="Y194" s="218"/>
      <c r="Z194" s="209" t="s">
        <v>462</v>
      </c>
      <c r="AA194" s="197" t="s">
        <v>774</v>
      </c>
      <c r="AB194" s="210">
        <v>41906</v>
      </c>
      <c r="AC194" s="211" t="s">
        <v>952</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3">
      <c r="B195" s="203" t="s">
        <v>1745</v>
      </c>
      <c r="C195" s="198" t="s">
        <v>378</v>
      </c>
      <c r="D195" s="197" t="s">
        <v>478</v>
      </c>
      <c r="E195" s="197" t="s">
        <v>299</v>
      </c>
      <c r="F195" s="197" t="s">
        <v>499</v>
      </c>
      <c r="G195" s="197" t="s">
        <v>746</v>
      </c>
      <c r="H195" s="197" t="s">
        <v>747</v>
      </c>
      <c r="I195" s="198"/>
      <c r="J195" s="216"/>
      <c r="K195" s="198"/>
      <c r="L195" s="198"/>
      <c r="M195" s="197" t="s">
        <v>1066</v>
      </c>
      <c r="N195" s="198" t="s">
        <v>1067</v>
      </c>
      <c r="O195" s="234">
        <v>97.745480999999998</v>
      </c>
      <c r="P195" s="234">
        <v>26.569633</v>
      </c>
      <c r="Q195" s="217"/>
      <c r="R195" s="274">
        <v>123</v>
      </c>
      <c r="S195" s="274">
        <v>637</v>
      </c>
      <c r="T195" s="207">
        <f>IF(CampList[[#This Row],[HH]]&gt;0,CampList[[#This Row],[Total]]/CampList[[#This Row],[HH]],"NA")</f>
        <v>5.178861788617886</v>
      </c>
      <c r="U195" s="183" t="s">
        <v>466</v>
      </c>
      <c r="V195" s="199" t="s">
        <v>995</v>
      </c>
      <c r="W195" s="183" t="s">
        <v>507</v>
      </c>
      <c r="X195" s="183" t="s">
        <v>784</v>
      </c>
      <c r="Y195" s="313">
        <v>42036</v>
      </c>
      <c r="Z195" s="217" t="s">
        <v>424</v>
      </c>
      <c r="AA195" s="198" t="s">
        <v>774</v>
      </c>
      <c r="AB195" s="210">
        <v>43343</v>
      </c>
      <c r="AC195" s="235" t="s">
        <v>1879</v>
      </c>
      <c r="AD195" s="199" t="str">
        <f ca="1">IFERROR(OFFSET(DistanceToCamp[Nearest Town],MATCH(CampList[[#This Row],[CP_Pcode]],DistanceToCamp[CP_Pcode],0)-1,0,1,1),"")</f>
        <v>Sumprabum Town</v>
      </c>
      <c r="AE195" s="212">
        <f ca="1">IFERROR(OFFSET(DistanceToCamp[distance],MATCH(CampList[[#This Row],[CP_Pcode]],DistanceToCamp[CP_Pcode],0)-1,0,1,1),"")</f>
        <v>0</v>
      </c>
      <c r="AF195" s="213">
        <f ca="1">IFERROR(INT(CampList[[#This Row],[Distance]]/5)+1,"")</f>
        <v>1</v>
      </c>
    </row>
    <row r="196" spans="2:32" ht="15.75" hidden="1" customHeight="1" x14ac:dyDescent="0.3">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888</v>
      </c>
      <c r="N196" s="197" t="s">
        <v>889</v>
      </c>
      <c r="O196" s="204">
        <v>97.608249999999998</v>
      </c>
      <c r="P196" s="204">
        <v>24.000250000000001</v>
      </c>
      <c r="Q196" s="217"/>
      <c r="R196" s="183"/>
      <c r="S196" s="225"/>
      <c r="T196" s="207" t="str">
        <f>IF(CampList[[#This Row],[HH]]&gt;0,CampList[[#This Row],[Total]]/CampList[[#This Row],[HH]],"NA")</f>
        <v>NA</v>
      </c>
      <c r="U196" s="199" t="s">
        <v>466</v>
      </c>
      <c r="V196" s="199" t="s">
        <v>995</v>
      </c>
      <c r="W196" s="199" t="s">
        <v>507</v>
      </c>
      <c r="X196" s="199" t="s">
        <v>784</v>
      </c>
      <c r="Y196" s="218">
        <v>40817</v>
      </c>
      <c r="Z196" s="676" t="s">
        <v>935</v>
      </c>
      <c r="AA196" s="197" t="s">
        <v>774</v>
      </c>
      <c r="AB196" s="210">
        <v>42629</v>
      </c>
      <c r="AC196" s="203" t="s">
        <v>1165</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3">
      <c r="B197" s="203" t="s">
        <v>1745</v>
      </c>
      <c r="C197" s="198" t="s">
        <v>378</v>
      </c>
      <c r="D197" s="197" t="s">
        <v>478</v>
      </c>
      <c r="E197" s="197" t="s">
        <v>299</v>
      </c>
      <c r="F197" s="197" t="s">
        <v>499</v>
      </c>
      <c r="G197" s="197" t="s">
        <v>746</v>
      </c>
      <c r="H197" s="197" t="s">
        <v>747</v>
      </c>
      <c r="I197" s="198"/>
      <c r="J197" s="216"/>
      <c r="K197" s="198"/>
      <c r="L197" s="198"/>
      <c r="M197" s="198" t="s">
        <v>1068</v>
      </c>
      <c r="N197" s="198" t="s">
        <v>1069</v>
      </c>
      <c r="O197" s="234">
        <v>97.75609</v>
      </c>
      <c r="P197" s="234">
        <v>26.548506</v>
      </c>
      <c r="Q197" s="217"/>
      <c r="R197" s="274">
        <v>63</v>
      </c>
      <c r="S197" s="274">
        <v>332</v>
      </c>
      <c r="T197" s="207">
        <f>IF(CampList[[#This Row],[HH]]&gt;0,CampList[[#This Row],[Total]]/CampList[[#This Row],[HH]],"NA")</f>
        <v>5.2698412698412698</v>
      </c>
      <c r="U197" s="183" t="s">
        <v>466</v>
      </c>
      <c r="V197" s="199" t="s">
        <v>995</v>
      </c>
      <c r="W197" s="183" t="s">
        <v>507</v>
      </c>
      <c r="X197" s="183" t="s">
        <v>784</v>
      </c>
      <c r="Y197" s="313">
        <v>42036</v>
      </c>
      <c r="Z197" s="217" t="s">
        <v>424</v>
      </c>
      <c r="AA197" s="198" t="s">
        <v>774</v>
      </c>
      <c r="AB197" s="210">
        <v>43343</v>
      </c>
      <c r="AC197" s="235" t="s">
        <v>1880</v>
      </c>
      <c r="AD197" s="199" t="str">
        <f ca="1">IFERROR(OFFSET(DistanceToCamp[Nearest Town],MATCH(CampList[[#This Row],[CP_Pcode]],DistanceToCamp[CP_Pcode],0)-1,0,1,1),"")</f>
        <v>Sumprabum Town</v>
      </c>
      <c r="AE197" s="212">
        <f ca="1">IFERROR(OFFSET(DistanceToCamp[distance],MATCH(CampList[[#This Row],[CP_Pcode]],DistanceToCamp[CP_Pcode],0)-1,0,1,1),"")</f>
        <v>0</v>
      </c>
      <c r="AF197" s="213">
        <f ca="1">IFERROR(INT(CampList[[#This Row],[Distance]]/5)+1,"")</f>
        <v>1</v>
      </c>
    </row>
    <row r="198" spans="2:32" ht="15.75" customHeight="1" x14ac:dyDescent="0.3">
      <c r="B198" s="203" t="s">
        <v>1745</v>
      </c>
      <c r="C198" s="197" t="s">
        <v>378</v>
      </c>
      <c r="D198" s="197" t="s">
        <v>478</v>
      </c>
      <c r="E198" s="197" t="s">
        <v>180</v>
      </c>
      <c r="F198" s="197" t="s">
        <v>479</v>
      </c>
      <c r="G198" s="197" t="s">
        <v>480</v>
      </c>
      <c r="H198" s="197" t="s">
        <v>481</v>
      </c>
      <c r="I198" s="198" t="s">
        <v>1152</v>
      </c>
      <c r="J198" s="216" t="s">
        <v>1153</v>
      </c>
      <c r="K198" s="198" t="s">
        <v>1159</v>
      </c>
      <c r="L198" s="198">
        <v>166819</v>
      </c>
      <c r="M198" s="173" t="s">
        <v>1158</v>
      </c>
      <c r="N198" s="198" t="s">
        <v>1161</v>
      </c>
      <c r="O198" s="241">
        <v>96.662092000000001</v>
      </c>
      <c r="P198" s="241">
        <v>25.920006000000001</v>
      </c>
      <c r="Q198" s="217"/>
      <c r="R198" s="274">
        <v>31</v>
      </c>
      <c r="S198" s="274">
        <v>129</v>
      </c>
      <c r="T198" s="207">
        <f>IF(CampList[[#This Row],[HH]]&gt;0,CampList[[#This Row],[Total]]/CampList[[#This Row],[HH]],"NA")</f>
        <v>4.161290322580645</v>
      </c>
      <c r="U198" s="183" t="s">
        <v>464</v>
      </c>
      <c r="V198" s="199" t="s">
        <v>995</v>
      </c>
      <c r="W198" s="183" t="s">
        <v>507</v>
      </c>
      <c r="X198" s="183" t="s">
        <v>784</v>
      </c>
      <c r="Y198" s="313">
        <v>42584</v>
      </c>
      <c r="Z198" s="217" t="s">
        <v>424</v>
      </c>
      <c r="AA198" s="198" t="s">
        <v>774</v>
      </c>
      <c r="AB198" s="210">
        <v>43343</v>
      </c>
      <c r="AC198" s="219" t="s">
        <v>1881</v>
      </c>
      <c r="AD198" s="220" t="str">
        <f ca="1">IFERROR(OFFSET(DistanceToCamp[Nearest Town],MATCH(CampList[[#This Row],[CP_Pcode]],DistanceToCamp[CP_Pcode],0)-1,0,1,1),"")</f>
        <v>Hpakant Town</v>
      </c>
      <c r="AE198" s="212">
        <f ca="1">IFERROR(OFFSET(DistanceToCamp[distance],MATCH(CampList[[#This Row],[CP_Pcode]],DistanceToCamp[CP_Pcode],0)-1,0,1,1),"")</f>
        <v>0</v>
      </c>
      <c r="AF198" s="221">
        <f ca="1">IFERROR(INT(CampList[[#This Row],[Distance]]/5)+1,"")</f>
        <v>1</v>
      </c>
    </row>
    <row r="199" spans="2:32" ht="15.75" customHeight="1" x14ac:dyDescent="0.3">
      <c r="B199" s="203" t="s">
        <v>1745</v>
      </c>
      <c r="C199" s="197" t="s">
        <v>378</v>
      </c>
      <c r="D199" s="197" t="s">
        <v>478</v>
      </c>
      <c r="E199" s="197" t="s">
        <v>180</v>
      </c>
      <c r="F199" s="197" t="s">
        <v>479</v>
      </c>
      <c r="G199" s="197" t="s">
        <v>480</v>
      </c>
      <c r="H199" s="197" t="s">
        <v>481</v>
      </c>
      <c r="I199" s="198" t="s">
        <v>1152</v>
      </c>
      <c r="J199" s="216" t="s">
        <v>1153</v>
      </c>
      <c r="K199" s="198" t="s">
        <v>1159</v>
      </c>
      <c r="L199" s="198">
        <v>166819</v>
      </c>
      <c r="M199" s="173" t="s">
        <v>1157</v>
      </c>
      <c r="N199" s="198" t="s">
        <v>1163</v>
      </c>
      <c r="O199" s="241">
        <v>96.662092000000001</v>
      </c>
      <c r="P199" s="241">
        <v>25.920006000000001</v>
      </c>
      <c r="Q199" s="217"/>
      <c r="R199" s="274">
        <v>4</v>
      </c>
      <c r="S199" s="274">
        <v>11</v>
      </c>
      <c r="T199" s="207">
        <f>IF(CampList[[#This Row],[HH]]&gt;0,CampList[[#This Row],[Total]]/CampList[[#This Row],[HH]],"NA")</f>
        <v>2.75</v>
      </c>
      <c r="U199" s="183" t="s">
        <v>464</v>
      </c>
      <c r="V199" s="199" t="s">
        <v>995</v>
      </c>
      <c r="W199" s="183" t="s">
        <v>1574</v>
      </c>
      <c r="X199" s="183" t="s">
        <v>784</v>
      </c>
      <c r="Y199" s="313">
        <v>42584</v>
      </c>
      <c r="Z199" s="676" t="s">
        <v>1317</v>
      </c>
      <c r="AA199" s="198" t="s">
        <v>774</v>
      </c>
      <c r="AB199" s="210">
        <v>43281</v>
      </c>
      <c r="AC199" s="219" t="s">
        <v>1722</v>
      </c>
      <c r="AD199" s="220" t="str">
        <f ca="1">IFERROR(OFFSET(DistanceToCamp[Nearest Town],MATCH(CampList[[#This Row],[CP_Pcode]],DistanceToCamp[CP_Pcode],0)-1,0,1,1),"")</f>
        <v>Hpakant Town</v>
      </c>
      <c r="AE199" s="212">
        <f ca="1">IFERROR(OFFSET(DistanceToCamp[distance],MATCH(CampList[[#This Row],[CP_Pcode]],DistanceToCamp[CP_Pcode],0)-1,0,1,1),"")</f>
        <v>0</v>
      </c>
      <c r="AF199" s="221">
        <f ca="1">IFERROR(INT(CampList[[#This Row],[Distance]]/5)+1,"")</f>
        <v>1</v>
      </c>
    </row>
    <row r="200" spans="2:32" ht="15.75" customHeight="1" x14ac:dyDescent="0.3">
      <c r="B200" s="203" t="s">
        <v>1745</v>
      </c>
      <c r="C200" s="197" t="s">
        <v>378</v>
      </c>
      <c r="D200" s="197" t="s">
        <v>478</v>
      </c>
      <c r="E200" s="197" t="s">
        <v>180</v>
      </c>
      <c r="F200" s="197" t="s">
        <v>479</v>
      </c>
      <c r="G200" s="197" t="s">
        <v>480</v>
      </c>
      <c r="H200" s="197" t="s">
        <v>481</v>
      </c>
      <c r="I200" s="198" t="s">
        <v>1152</v>
      </c>
      <c r="J200" s="216" t="s">
        <v>1153</v>
      </c>
      <c r="K200" s="198" t="s">
        <v>1159</v>
      </c>
      <c r="L200" s="198">
        <v>166819</v>
      </c>
      <c r="M200" s="173" t="s">
        <v>1156</v>
      </c>
      <c r="N200" s="198" t="s">
        <v>1164</v>
      </c>
      <c r="O200" s="241">
        <v>96.662092000000001</v>
      </c>
      <c r="P200" s="241">
        <v>25.920006000000001</v>
      </c>
      <c r="Q200" s="217"/>
      <c r="R200" s="274">
        <v>22</v>
      </c>
      <c r="S200" s="274">
        <v>95</v>
      </c>
      <c r="T200" s="207">
        <f>IF(CampList[[#This Row],[HH]]&gt;0,CampList[[#This Row],[Total]]/CampList[[#This Row],[HH]],"NA")</f>
        <v>4.3181818181818183</v>
      </c>
      <c r="U200" s="183" t="s">
        <v>464</v>
      </c>
      <c r="V200" s="199" t="s">
        <v>995</v>
      </c>
      <c r="W200" s="183" t="s">
        <v>507</v>
      </c>
      <c r="X200" s="183" t="s">
        <v>784</v>
      </c>
      <c r="Y200" s="313">
        <v>42584</v>
      </c>
      <c r="Z200" s="676" t="s">
        <v>936</v>
      </c>
      <c r="AA200" s="198" t="s">
        <v>774</v>
      </c>
      <c r="AB200" s="210">
        <v>43343</v>
      </c>
      <c r="AC200" s="219" t="s">
        <v>1813</v>
      </c>
      <c r="AD200" s="220" t="str">
        <f ca="1">IFERROR(OFFSET(DistanceToCamp[Nearest Town],MATCH(CampList[[#This Row],[CP_Pcode]],DistanceToCamp[CP_Pcode],0)-1,0,1,1),"")</f>
        <v>Hpakant Town</v>
      </c>
      <c r="AE200" s="212">
        <f ca="1">IFERROR(OFFSET(DistanceToCamp[distance],MATCH(CampList[[#This Row],[CP_Pcode]],DistanceToCamp[CP_Pcode],0)-1,0,1,1),"")</f>
        <v>0</v>
      </c>
      <c r="AF200" s="221">
        <f ca="1">IFERROR(INT(CampList[[#This Row],[Distance]]/5)+1,"")</f>
        <v>1</v>
      </c>
    </row>
    <row r="201" spans="2:32" ht="15.75" hidden="1" customHeight="1" x14ac:dyDescent="0.3">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956</v>
      </c>
      <c r="N201" s="197" t="s">
        <v>957</v>
      </c>
      <c r="O201" s="206">
        <v>96.637</v>
      </c>
      <c r="P201" s="206">
        <v>25.806999999999999</v>
      </c>
      <c r="Q201" s="217"/>
      <c r="R201" s="274"/>
      <c r="S201" s="274"/>
      <c r="T201" s="207" t="str">
        <f>IF(CampList[[#This Row],[HH]]&gt;0,CampList[[#This Row],[Total]]/CampList[[#This Row],[HH]],"NA")</f>
        <v>NA</v>
      </c>
      <c r="U201" s="199" t="s">
        <v>464</v>
      </c>
      <c r="V201" s="199" t="s">
        <v>995</v>
      </c>
      <c r="W201" s="199" t="s">
        <v>507</v>
      </c>
      <c r="X201" s="199" t="s">
        <v>784</v>
      </c>
      <c r="Y201" s="312">
        <v>42019</v>
      </c>
      <c r="Z201" s="209" t="s">
        <v>424</v>
      </c>
      <c r="AA201" s="197" t="s">
        <v>774</v>
      </c>
      <c r="AB201" s="210">
        <v>42919</v>
      </c>
      <c r="AC201" s="211" t="s">
        <v>1273</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3">
      <c r="B202" s="203" t="s">
        <v>1745</v>
      </c>
      <c r="C202" s="198" t="s">
        <v>378</v>
      </c>
      <c r="D202" s="198" t="s">
        <v>478</v>
      </c>
      <c r="E202" s="198" t="s">
        <v>237</v>
      </c>
      <c r="F202" s="198" t="s">
        <v>484</v>
      </c>
      <c r="G202" s="198" t="s">
        <v>309</v>
      </c>
      <c r="H202" s="198" t="s">
        <v>485</v>
      </c>
      <c r="I202" s="198" t="s">
        <v>1249</v>
      </c>
      <c r="J202" s="216" t="s">
        <v>1250</v>
      </c>
      <c r="K202" s="198" t="s">
        <v>1251</v>
      </c>
      <c r="L202" s="198">
        <v>216822</v>
      </c>
      <c r="M202" s="198" t="s">
        <v>1255</v>
      </c>
      <c r="N202" s="198" t="s">
        <v>1252</v>
      </c>
      <c r="O202" s="206">
        <v>97.430321000000006</v>
      </c>
      <c r="P202" s="206">
        <v>25.305008999999998</v>
      </c>
      <c r="Q202" s="217"/>
      <c r="R202" s="206">
        <v>62</v>
      </c>
      <c r="S202" s="217">
        <v>410</v>
      </c>
      <c r="T202" s="207">
        <f>IF(CampList[[#This Row],[HH]]&gt;0,CampList[[#This Row],[Total]]/CampList[[#This Row],[HH]],"NA")</f>
        <v>6.612903225806452</v>
      </c>
      <c r="U202" s="183" t="s">
        <v>464</v>
      </c>
      <c r="V202" s="199" t="s">
        <v>995</v>
      </c>
      <c r="W202" s="199" t="s">
        <v>1384</v>
      </c>
      <c r="X202" s="183" t="s">
        <v>784</v>
      </c>
      <c r="Y202" s="313"/>
      <c r="Z202" s="209" t="s">
        <v>1317</v>
      </c>
      <c r="AA202" s="198" t="s">
        <v>1256</v>
      </c>
      <c r="AB202" s="210">
        <v>42888</v>
      </c>
      <c r="AC202" s="219" t="s">
        <v>1257</v>
      </c>
      <c r="AD202" s="220" t="str">
        <f ca="1">IFERROR(OFFSET(DistanceToCamp[Nearest Town],MATCH(CampList[[#This Row],[CP_Pcode]],DistanceToCamp[CP_Pcode],0)-1,0,1,1),"")</f>
        <v>Waingmaw Town</v>
      </c>
      <c r="AE202" s="212">
        <f ca="1">IFERROR(OFFSET(DistanceToCamp[distance],MATCH(CampList[[#This Row],[CP_Pcode]],DistanceToCamp[CP_Pcode],0)-1,0,1,1),"")</f>
        <v>0</v>
      </c>
      <c r="AF202" s="221">
        <f ca="1">IFERROR(INT(CampList[[#This Row],[Distance]]/5)+1,"")</f>
        <v>1</v>
      </c>
    </row>
    <row r="203" spans="2:32" ht="15.75" customHeight="1" x14ac:dyDescent="0.3">
      <c r="B203" s="203" t="s">
        <v>1745</v>
      </c>
      <c r="C203" s="197" t="s">
        <v>378</v>
      </c>
      <c r="D203" s="197" t="s">
        <v>478</v>
      </c>
      <c r="E203" s="197" t="s">
        <v>180</v>
      </c>
      <c r="F203" s="197" t="s">
        <v>479</v>
      </c>
      <c r="G203" s="197" t="s">
        <v>480</v>
      </c>
      <c r="H203" s="197" t="s">
        <v>481</v>
      </c>
      <c r="I203" s="197" t="s">
        <v>552</v>
      </c>
      <c r="J203" s="216" t="s">
        <v>553</v>
      </c>
      <c r="K203" s="197" t="s">
        <v>1269</v>
      </c>
      <c r="L203" s="216">
        <v>220486</v>
      </c>
      <c r="M203" s="198" t="s">
        <v>1594</v>
      </c>
      <c r="N203" s="198" t="s">
        <v>1270</v>
      </c>
      <c r="O203" s="274"/>
      <c r="P203" s="274"/>
      <c r="Q203" s="275"/>
      <c r="R203" s="691">
        <v>124</v>
      </c>
      <c r="S203" s="274">
        <v>662</v>
      </c>
      <c r="T203" s="276">
        <f>IF(CampList[[#This Row],[HH]]&gt;0,CampList[[#This Row],[Total]]/CampList[[#This Row],[HH]],"NA")</f>
        <v>5.338709677419355</v>
      </c>
      <c r="U203" s="182" t="s">
        <v>464</v>
      </c>
      <c r="V203" s="277" t="s">
        <v>995</v>
      </c>
      <c r="W203" s="182" t="s">
        <v>507</v>
      </c>
      <c r="X203" s="182" t="s">
        <v>784</v>
      </c>
      <c r="Y203" s="322">
        <v>42887</v>
      </c>
      <c r="Z203" s="275" t="s">
        <v>424</v>
      </c>
      <c r="AA203" s="272" t="s">
        <v>774</v>
      </c>
      <c r="AB203" s="210">
        <v>43343</v>
      </c>
      <c r="AC203" s="294" t="s">
        <v>1883</v>
      </c>
      <c r="AD203" s="281" t="str">
        <f ca="1">IFERROR(OFFSET(DistanceToCamp[Nearest Town],MATCH(CampList[[#This Row],[CP_Pcode]],DistanceToCamp[CP_Pcode],0)-1,0,1,1),"")</f>
        <v>Hpakant Town</v>
      </c>
      <c r="AE203" s="282">
        <f ca="1">IFERROR(OFFSET(DistanceToCamp[distance],MATCH(CampList[[#This Row],[CP_Pcode]],DistanceToCamp[CP_Pcode],0)-1,0,1,1),"")</f>
        <v>0</v>
      </c>
      <c r="AF203" s="283">
        <f ca="1">IFERROR(INT(CampList[[#This Row],[Distance]]/5)+1,"")</f>
        <v>1</v>
      </c>
    </row>
    <row r="204" spans="2:32" ht="15.75" customHeight="1" x14ac:dyDescent="0.3">
      <c r="B204" s="203" t="s">
        <v>1745</v>
      </c>
      <c r="C204" s="197" t="s">
        <v>378</v>
      </c>
      <c r="D204" s="197" t="s">
        <v>478</v>
      </c>
      <c r="E204" s="197" t="s">
        <v>237</v>
      </c>
      <c r="F204" s="198" t="s">
        <v>484</v>
      </c>
      <c r="G204" s="197" t="s">
        <v>1136</v>
      </c>
      <c r="H204" s="197" t="s">
        <v>1135</v>
      </c>
      <c r="I204" s="694" t="s">
        <v>1684</v>
      </c>
      <c r="J204" s="694" t="s">
        <v>1685</v>
      </c>
      <c r="K204" s="197"/>
      <c r="L204" s="197"/>
      <c r="M204" s="198" t="s">
        <v>1904</v>
      </c>
      <c r="N204" s="708" t="s">
        <v>1406</v>
      </c>
      <c r="O204" s="204"/>
      <c r="P204" s="204"/>
      <c r="Q204" s="217"/>
      <c r="R204" s="284">
        <v>139</v>
      </c>
      <c r="S204" s="285">
        <v>572</v>
      </c>
      <c r="T204" s="207">
        <f>IF(CampList[[#This Row],[HH]]&gt;0,CampList[[#This Row],[Total]]/CampList[[#This Row],[HH]],"NA")</f>
        <v>4.1151079136690649</v>
      </c>
      <c r="U204" s="183" t="s">
        <v>464</v>
      </c>
      <c r="V204" s="199" t="s">
        <v>995</v>
      </c>
      <c r="W204" s="199" t="s">
        <v>507</v>
      </c>
      <c r="X204" s="199" t="s">
        <v>742</v>
      </c>
      <c r="Y204" s="676">
        <v>42741</v>
      </c>
      <c r="Z204" s="209" t="s">
        <v>936</v>
      </c>
      <c r="AA204" s="223" t="s">
        <v>774</v>
      </c>
      <c r="AB204" s="210">
        <v>43343</v>
      </c>
      <c r="AC204" s="203" t="s">
        <v>1905</v>
      </c>
      <c r="AD204" s="220" t="str">
        <f ca="1">IFERROR(OFFSET(DistanceToCamp[Nearest Town],MATCH(CampList[[#This Row],[CP_Pcode]],DistanceToCamp[CP_Pcode],0)-1,0,1,1),"")</f>
        <v>Tanai Town</v>
      </c>
      <c r="AE204" s="212">
        <f ca="1">IFERROR(OFFSET(DistanceToCamp[distance],MATCH(CampList[[#This Row],[CP_Pcode]],DistanceToCamp[CP_Pcode],0)-1,0,1,1),"")</f>
        <v>0</v>
      </c>
      <c r="AF204" s="221">
        <f ca="1">IFERROR(INT(CampList[[#This Row],[Distance]]/5)+1,"")</f>
        <v>1</v>
      </c>
    </row>
    <row r="205" spans="2:32" ht="15.75" hidden="1" customHeight="1" x14ac:dyDescent="0.3">
      <c r="B205" s="203" t="s">
        <v>775</v>
      </c>
      <c r="C205" s="197" t="s">
        <v>378</v>
      </c>
      <c r="D205" s="197" t="s">
        <v>478</v>
      </c>
      <c r="E205" s="197" t="s">
        <v>180</v>
      </c>
      <c r="F205" s="197" t="s">
        <v>479</v>
      </c>
      <c r="G205" s="197" t="s">
        <v>173</v>
      </c>
      <c r="H205" s="197" t="s">
        <v>498</v>
      </c>
      <c r="I205" s="197" t="s">
        <v>1058</v>
      </c>
      <c r="J205" s="197" t="s">
        <v>1059</v>
      </c>
      <c r="K205" s="197" t="s">
        <v>1058</v>
      </c>
      <c r="L205" s="224">
        <v>166724</v>
      </c>
      <c r="M205" s="197" t="s">
        <v>1063</v>
      </c>
      <c r="N205" s="197" t="s">
        <v>1055</v>
      </c>
      <c r="O205" s="204">
        <v>96.793999999999997</v>
      </c>
      <c r="P205" s="204">
        <v>25.225000000000001</v>
      </c>
      <c r="Q205" s="217"/>
      <c r="R205" s="206"/>
      <c r="S205" s="217"/>
      <c r="T205" s="207" t="str">
        <f>IF(CampList[[#This Row],[HH]]&gt;0,CampList[[#This Row],[Total]]/CampList[[#This Row],[HH]],"NA")</f>
        <v>NA</v>
      </c>
      <c r="U205" s="199" t="s">
        <v>464</v>
      </c>
      <c r="V205" s="199" t="s">
        <v>995</v>
      </c>
      <c r="W205" s="199" t="s">
        <v>12</v>
      </c>
      <c r="X205" s="199" t="s">
        <v>784</v>
      </c>
      <c r="Y205" s="313">
        <v>42125</v>
      </c>
      <c r="Z205" s="209"/>
      <c r="AA205" s="223" t="s">
        <v>773</v>
      </c>
      <c r="AB205" s="210">
        <v>42927</v>
      </c>
      <c r="AC205" s="211" t="s">
        <v>1288</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3">
      <c r="B206" s="203" t="s">
        <v>1745</v>
      </c>
      <c r="C206" s="197" t="s">
        <v>378</v>
      </c>
      <c r="D206" s="197" t="s">
        <v>478</v>
      </c>
      <c r="E206" s="197" t="s">
        <v>237</v>
      </c>
      <c r="F206" s="198" t="s">
        <v>484</v>
      </c>
      <c r="G206" s="197" t="s">
        <v>1136</v>
      </c>
      <c r="H206" s="197" t="s">
        <v>1135</v>
      </c>
      <c r="I206" s="694" t="s">
        <v>1684</v>
      </c>
      <c r="J206" s="694" t="s">
        <v>1685</v>
      </c>
      <c r="K206" s="197"/>
      <c r="L206" s="197"/>
      <c r="M206" s="198" t="s">
        <v>1732</v>
      </c>
      <c r="N206" s="197" t="s">
        <v>1408</v>
      </c>
      <c r="O206" s="204"/>
      <c r="P206" s="204"/>
      <c r="Q206" s="217"/>
      <c r="R206" s="284">
        <v>101</v>
      </c>
      <c r="S206" s="285">
        <v>380</v>
      </c>
      <c r="T206" s="207">
        <f>IF(CampList[[#This Row],[HH]]&gt;0,CampList[[#This Row],[Total]]/CampList[[#This Row],[HH]],"NA")</f>
        <v>3.7623762376237622</v>
      </c>
      <c r="U206" s="183" t="s">
        <v>464</v>
      </c>
      <c r="V206" s="199" t="s">
        <v>995</v>
      </c>
      <c r="W206" s="199" t="s">
        <v>507</v>
      </c>
      <c r="X206" s="199" t="s">
        <v>742</v>
      </c>
      <c r="Y206" s="676">
        <v>42741</v>
      </c>
      <c r="Z206" s="209" t="s">
        <v>424</v>
      </c>
      <c r="AA206" s="223" t="s">
        <v>774</v>
      </c>
      <c r="AB206" s="210">
        <v>43343</v>
      </c>
      <c r="AC206" s="203" t="s">
        <v>1884</v>
      </c>
      <c r="AD206" s="220" t="str">
        <f ca="1">IFERROR(OFFSET(DistanceToCamp[Nearest Town],MATCH(CampList[[#This Row],[CP_Pcode]],DistanceToCamp[CP_Pcode],0)-1,0,1,1),"")</f>
        <v>Tanai Town</v>
      </c>
      <c r="AE206" s="212">
        <f ca="1">IFERROR(OFFSET(DistanceToCamp[distance],MATCH(CampList[[#This Row],[CP_Pcode]],DistanceToCamp[CP_Pcode],0)-1,0,1,1),"")</f>
        <v>0</v>
      </c>
      <c r="AF206" s="221">
        <f ca="1">IFERROR(INT(CampList[[#This Row],[Distance]]/5)+1,"")</f>
        <v>1</v>
      </c>
    </row>
    <row r="207" spans="2:32" ht="15.75" hidden="1" customHeight="1" x14ac:dyDescent="0.3">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1054</v>
      </c>
      <c r="N207" s="198" t="s">
        <v>1057</v>
      </c>
      <c r="O207" s="206">
        <v>96.942279999999997</v>
      </c>
      <c r="P207" s="206">
        <v>25.299679999999999</v>
      </c>
      <c r="Q207" s="217"/>
      <c r="R207" s="206">
        <v>6</v>
      </c>
      <c r="S207" s="217">
        <v>31</v>
      </c>
      <c r="T207" s="207">
        <f>IF(CampList[[#This Row],[HH]]&gt;0,CampList[[#This Row],[Total]]/CampList[[#This Row],[HH]],"NA")</f>
        <v>5.166666666666667</v>
      </c>
      <c r="U207" s="183" t="s">
        <v>464</v>
      </c>
      <c r="V207" s="199" t="s">
        <v>995</v>
      </c>
      <c r="W207" s="199" t="s">
        <v>1384</v>
      </c>
      <c r="X207" s="183" t="s">
        <v>742</v>
      </c>
      <c r="Y207" s="313">
        <v>42125</v>
      </c>
      <c r="Z207" s="217"/>
      <c r="AA207" s="198" t="s">
        <v>774</v>
      </c>
      <c r="AB207" s="210">
        <v>43189</v>
      </c>
      <c r="AC207" s="219" t="s">
        <v>1712</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3">
      <c r="B208" s="203" t="s">
        <v>1745</v>
      </c>
      <c r="C208" s="197" t="s">
        <v>378</v>
      </c>
      <c r="D208" s="197" t="s">
        <v>478</v>
      </c>
      <c r="E208" s="197" t="s">
        <v>237</v>
      </c>
      <c r="F208" s="198" t="s">
        <v>484</v>
      </c>
      <c r="G208" s="197" t="s">
        <v>1136</v>
      </c>
      <c r="H208" s="197" t="s">
        <v>1135</v>
      </c>
      <c r="I208" s="694" t="s">
        <v>1684</v>
      </c>
      <c r="J208" s="694" t="s">
        <v>1685</v>
      </c>
      <c r="K208" s="197"/>
      <c r="L208" s="197"/>
      <c r="M208" s="198" t="s">
        <v>1396</v>
      </c>
      <c r="N208" s="197" t="s">
        <v>1409</v>
      </c>
      <c r="O208" s="204"/>
      <c r="P208" s="204"/>
      <c r="Q208" s="217"/>
      <c r="R208" s="284">
        <v>34</v>
      </c>
      <c r="S208" s="285">
        <v>143</v>
      </c>
      <c r="T208" s="207">
        <f>IF(CampList[[#This Row],[HH]]&gt;0,CampList[[#This Row],[Total]]/CampList[[#This Row],[HH]],"NA")</f>
        <v>4.2058823529411766</v>
      </c>
      <c r="U208" s="183" t="s">
        <v>464</v>
      </c>
      <c r="V208" s="199" t="s">
        <v>995</v>
      </c>
      <c r="W208" s="199" t="s">
        <v>507</v>
      </c>
      <c r="X208" s="199" t="s">
        <v>742</v>
      </c>
      <c r="Y208" s="676">
        <v>42741</v>
      </c>
      <c r="Z208" s="209" t="s">
        <v>936</v>
      </c>
      <c r="AA208" s="223" t="s">
        <v>774</v>
      </c>
      <c r="AB208" s="210">
        <v>43343</v>
      </c>
      <c r="AC208" s="203" t="s">
        <v>1814</v>
      </c>
      <c r="AD208" s="220" t="str">
        <f ca="1">IFERROR(OFFSET(DistanceToCamp[Nearest Town],MATCH(CampList[[#This Row],[CP_Pcode]],DistanceToCamp[CP_Pcode],0)-1,0,1,1),"")</f>
        <v>Tanai Town</v>
      </c>
      <c r="AE208" s="212">
        <f ca="1">IFERROR(OFFSET(DistanceToCamp[distance],MATCH(CampList[[#This Row],[CP_Pcode]],DistanceToCamp[CP_Pcode],0)-1,0,1,1),"")</f>
        <v>0</v>
      </c>
      <c r="AF208" s="221">
        <f ca="1">IFERROR(INT(CampList[[#This Row],[Distance]]/5)+1,"")</f>
        <v>1</v>
      </c>
    </row>
    <row r="209" spans="2:35" ht="15.75" customHeight="1" x14ac:dyDescent="0.3">
      <c r="B209" s="203" t="s">
        <v>1745</v>
      </c>
      <c r="C209" s="197" t="s">
        <v>378</v>
      </c>
      <c r="D209" s="197" t="s">
        <v>478</v>
      </c>
      <c r="E209" s="197" t="s">
        <v>237</v>
      </c>
      <c r="F209" s="198" t="s">
        <v>484</v>
      </c>
      <c r="G209" s="197" t="s">
        <v>237</v>
      </c>
      <c r="H209" s="197" t="s">
        <v>488</v>
      </c>
      <c r="I209" s="197" t="s">
        <v>611</v>
      </c>
      <c r="J209" s="216"/>
      <c r="K209" s="197" t="s">
        <v>1514</v>
      </c>
      <c r="L209" s="197"/>
      <c r="M209" s="197" t="s">
        <v>1515</v>
      </c>
      <c r="N209" s="197" t="s">
        <v>1546</v>
      </c>
      <c r="O209" s="204"/>
      <c r="P209" s="204"/>
      <c r="Q209" s="217"/>
      <c r="R209" s="182">
        <v>14</v>
      </c>
      <c r="S209" s="292">
        <v>38</v>
      </c>
      <c r="T209" s="207">
        <f>IF(CampList[[#This Row],[HH]]&gt;0,CampList[[#This Row],[Total]]/CampList[[#This Row],[HH]],"NA")</f>
        <v>2.7142857142857144</v>
      </c>
      <c r="U209" s="199" t="s">
        <v>464</v>
      </c>
      <c r="V209" s="199" t="s">
        <v>995</v>
      </c>
      <c r="W209" s="199" t="s">
        <v>507</v>
      </c>
      <c r="X209" s="199" t="s">
        <v>742</v>
      </c>
      <c r="Y209" s="676">
        <v>42929</v>
      </c>
      <c r="Z209" s="676" t="s">
        <v>936</v>
      </c>
      <c r="AA209" s="197" t="s">
        <v>774</v>
      </c>
      <c r="AB209" s="210">
        <v>43343</v>
      </c>
      <c r="AC209" s="211" t="s">
        <v>1906</v>
      </c>
      <c r="AD209" s="220" t="str">
        <f ca="1">IFERROR(OFFSET(DistanceToCamp[Nearest Town],MATCH(CampList[[#This Row],[CP_Pcode]],DistanceToCamp[CP_Pcode],0)-1,0,1,1),"")</f>
        <v>Myitkyina Town</v>
      </c>
      <c r="AE209" s="212">
        <f ca="1">IFERROR(OFFSET(DistanceToCamp[distance],MATCH(CampList[[#This Row],[CP_Pcode]],DistanceToCamp[CP_Pcode],0)-1,0,1,1),"")</f>
        <v>0</v>
      </c>
      <c r="AF209" s="221">
        <f ca="1">IFERROR(INT(CampList[[#This Row],[Distance]]/5)+1,"")</f>
        <v>1</v>
      </c>
    </row>
    <row r="210" spans="2:35" ht="15.75" hidden="1" customHeight="1" x14ac:dyDescent="0.3">
      <c r="B210" s="203" t="s">
        <v>775</v>
      </c>
      <c r="C210" s="197" t="s">
        <v>378</v>
      </c>
      <c r="D210" s="197" t="s">
        <v>478</v>
      </c>
      <c r="E210" s="197" t="s">
        <v>5</v>
      </c>
      <c r="F210" s="197" t="s">
        <v>482</v>
      </c>
      <c r="G210" s="239" t="s">
        <v>185</v>
      </c>
      <c r="H210" s="239" t="s">
        <v>486</v>
      </c>
      <c r="I210" s="239" t="s">
        <v>1009</v>
      </c>
      <c r="J210" s="239" t="s">
        <v>1079</v>
      </c>
      <c r="K210" s="198" t="s">
        <v>656</v>
      </c>
      <c r="L210" s="197" t="s">
        <v>1109</v>
      </c>
      <c r="M210" s="197" t="s">
        <v>1080</v>
      </c>
      <c r="N210" s="197" t="s">
        <v>1081</v>
      </c>
      <c r="O210" s="240">
        <v>97.461271999999994</v>
      </c>
      <c r="P210" s="240">
        <v>24.613976000000001</v>
      </c>
      <c r="Q210" s="217"/>
      <c r="R210" s="205"/>
      <c r="S210" s="217"/>
      <c r="T210" s="207" t="str">
        <f>IF(CampList[[#This Row],[HH]]&gt;0,CampList[[#This Row],[Total]]/CampList[[#This Row],[HH]],"NA")</f>
        <v>NA</v>
      </c>
      <c r="U210" s="199" t="s">
        <v>464</v>
      </c>
      <c r="V210" s="199" t="s">
        <v>995</v>
      </c>
      <c r="W210" s="199" t="s">
        <v>849</v>
      </c>
      <c r="X210" s="199" t="s">
        <v>784</v>
      </c>
      <c r="Y210" s="312"/>
      <c r="Z210" s="676"/>
      <c r="AA210" s="197" t="s">
        <v>1166</v>
      </c>
      <c r="AB210" s="210">
        <v>42927</v>
      </c>
      <c r="AC210" s="211" t="s">
        <v>1285</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3">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1132</v>
      </c>
      <c r="O211" s="204">
        <v>97.174999999999997</v>
      </c>
      <c r="P211" s="204">
        <v>23.867000000000001</v>
      </c>
      <c r="Q211" s="217"/>
      <c r="R211" s="284"/>
      <c r="S211" s="285"/>
      <c r="T211" s="207" t="str">
        <f>IF(CampList[[#This Row],[HH]]&gt;0,CampList[[#This Row],[Total]]/CampList[[#This Row],[HH]],"NA")</f>
        <v>NA</v>
      </c>
      <c r="U211" s="199" t="s">
        <v>466</v>
      </c>
      <c r="V211" s="199" t="s">
        <v>995</v>
      </c>
      <c r="W211" s="199" t="s">
        <v>507</v>
      </c>
      <c r="X211" s="199"/>
      <c r="Y211" s="218"/>
      <c r="Z211" s="209"/>
      <c r="AA211" s="223"/>
      <c r="AB211" s="210">
        <v>41701</v>
      </c>
      <c r="AC211" s="203" t="s">
        <v>869</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3">
      <c r="B212" s="203" t="s">
        <v>775</v>
      </c>
      <c r="C212" s="197" t="s">
        <v>378</v>
      </c>
      <c r="D212" s="197" t="s">
        <v>478</v>
      </c>
      <c r="E212" s="198" t="s">
        <v>237</v>
      </c>
      <c r="F212" s="198" t="s">
        <v>484</v>
      </c>
      <c r="G212" s="198" t="s">
        <v>480</v>
      </c>
      <c r="H212" s="198" t="s">
        <v>1135</v>
      </c>
      <c r="I212" s="198" t="s">
        <v>1152</v>
      </c>
      <c r="J212" s="216" t="s">
        <v>1153</v>
      </c>
      <c r="K212" s="197" t="s">
        <v>1152</v>
      </c>
      <c r="L212" s="216">
        <v>166818</v>
      </c>
      <c r="M212" s="198" t="s">
        <v>1133</v>
      </c>
      <c r="N212" s="197" t="s">
        <v>1134</v>
      </c>
      <c r="O212" s="206">
        <v>96.637</v>
      </c>
      <c r="P212" s="206">
        <v>25.806999999999999</v>
      </c>
      <c r="Q212" s="217"/>
      <c r="R212" s="205"/>
      <c r="S212" s="217"/>
      <c r="T212" s="207" t="str">
        <f>IF(CampList[[#This Row],[HH]]&gt;0,CampList[[#This Row],[Total]]/CampList[[#This Row],[HH]],"NA")</f>
        <v>NA</v>
      </c>
      <c r="U212" s="199" t="s">
        <v>464</v>
      </c>
      <c r="V212" s="199" t="s">
        <v>995</v>
      </c>
      <c r="W212" s="199" t="s">
        <v>507</v>
      </c>
      <c r="X212" s="199" t="s">
        <v>784</v>
      </c>
      <c r="Y212" s="313">
        <v>42370</v>
      </c>
      <c r="Z212" s="676"/>
      <c r="AA212" s="197" t="s">
        <v>774</v>
      </c>
      <c r="AB212" s="210">
        <v>42927</v>
      </c>
      <c r="AC212" s="203" t="s">
        <v>1289</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3">
      <c r="B213" s="203" t="s">
        <v>775</v>
      </c>
      <c r="C213" s="197" t="s">
        <v>378</v>
      </c>
      <c r="D213" s="197" t="s">
        <v>478</v>
      </c>
      <c r="E213" s="197" t="s">
        <v>180</v>
      </c>
      <c r="F213" s="197" t="s">
        <v>479</v>
      </c>
      <c r="G213" s="197" t="s">
        <v>480</v>
      </c>
      <c r="H213" s="197" t="s">
        <v>481</v>
      </c>
      <c r="I213" s="198" t="s">
        <v>1152</v>
      </c>
      <c r="J213" s="216" t="s">
        <v>1153</v>
      </c>
      <c r="K213" s="198" t="s">
        <v>1159</v>
      </c>
      <c r="L213" s="198">
        <v>166819</v>
      </c>
      <c r="M213" s="173" t="s">
        <v>1154</v>
      </c>
      <c r="N213" s="198" t="s">
        <v>1160</v>
      </c>
      <c r="O213" s="241">
        <v>96.662092000000001</v>
      </c>
      <c r="P213" s="241">
        <v>25.920006000000001</v>
      </c>
      <c r="Q213" s="217"/>
      <c r="R213" s="183"/>
      <c r="S213" s="225"/>
      <c r="T213" s="207" t="str">
        <f>IF(CampList[[#This Row],[HH]]&gt;0,CampList[[#This Row],[Total]]/CampList[[#This Row],[HH]],"NA")</f>
        <v>NA</v>
      </c>
      <c r="U213" s="183" t="s">
        <v>464</v>
      </c>
      <c r="V213" s="199" t="s">
        <v>995</v>
      </c>
      <c r="W213" s="183" t="s">
        <v>507</v>
      </c>
      <c r="X213" s="183" t="s">
        <v>784</v>
      </c>
      <c r="Y213" s="218">
        <v>42584</v>
      </c>
      <c r="Z213" s="217"/>
      <c r="AA213" s="198" t="s">
        <v>774</v>
      </c>
      <c r="AB213" s="210">
        <v>42849</v>
      </c>
      <c r="AC213" s="219" t="s">
        <v>1233</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3">
      <c r="B214" s="203" t="s">
        <v>1745</v>
      </c>
      <c r="C214" s="197" t="s">
        <v>378</v>
      </c>
      <c r="D214" s="197" t="s">
        <v>478</v>
      </c>
      <c r="E214" s="197" t="s">
        <v>1536</v>
      </c>
      <c r="F214" s="198" t="s">
        <v>484</v>
      </c>
      <c r="G214" s="197" t="s">
        <v>309</v>
      </c>
      <c r="H214" s="197" t="s">
        <v>485</v>
      </c>
      <c r="I214" s="197" t="s">
        <v>1013</v>
      </c>
      <c r="J214" s="216" t="s">
        <v>1677</v>
      </c>
      <c r="K214" s="197" t="s">
        <v>1678</v>
      </c>
      <c r="L214" s="694" t="s">
        <v>1679</v>
      </c>
      <c r="M214" s="197" t="s">
        <v>1260</v>
      </c>
      <c r="N214" s="197" t="s">
        <v>1548</v>
      </c>
      <c r="O214" s="204"/>
      <c r="P214" s="204"/>
      <c r="Q214" s="217"/>
      <c r="R214" s="284">
        <v>80</v>
      </c>
      <c r="S214" s="285">
        <v>449</v>
      </c>
      <c r="T214" s="207">
        <f>IF(CampList[[#This Row],[HH]]&gt;0,CampList[[#This Row],[Total]]/CampList[[#This Row],[HH]],"NA")</f>
        <v>5.6124999999999998</v>
      </c>
      <c r="U214" s="199" t="s">
        <v>464</v>
      </c>
      <c r="V214" s="199" t="s">
        <v>995</v>
      </c>
      <c r="W214" s="199" t="s">
        <v>1384</v>
      </c>
      <c r="X214" s="199" t="s">
        <v>784</v>
      </c>
      <c r="Y214" s="676">
        <v>42751</v>
      </c>
      <c r="Z214" s="209" t="s">
        <v>1317</v>
      </c>
      <c r="AA214" s="223" t="s">
        <v>774</v>
      </c>
      <c r="AB214" s="210">
        <v>43039</v>
      </c>
      <c r="AC214" s="203" t="s">
        <v>1539</v>
      </c>
      <c r="AD214" s="220" t="str">
        <f ca="1">IFERROR(OFFSET(DistanceToCamp[Nearest Town],MATCH(CampList[[#This Row],[CP_Pcode]],DistanceToCamp[CP_Pcode],0)-1,0,1,1),"")</f>
        <v>Sadung Town</v>
      </c>
      <c r="AE214" s="212">
        <f ca="1">IFERROR(OFFSET(DistanceToCamp[distance],MATCH(CampList[[#This Row],[CP_Pcode]],DistanceToCamp[CP_Pcode],0)-1,0,1,1),"")</f>
        <v>0</v>
      </c>
      <c r="AF214" s="221">
        <f ca="1">IFERROR(INT(CampList[[#This Row],[Distance]]/5)+1,"")</f>
        <v>1</v>
      </c>
    </row>
    <row r="215" spans="2:35" s="185" customFormat="1" ht="15.75" hidden="1" customHeight="1" x14ac:dyDescent="0.3">
      <c r="B215" s="203" t="s">
        <v>775</v>
      </c>
      <c r="C215" s="197" t="s">
        <v>378</v>
      </c>
      <c r="D215" s="197" t="s">
        <v>478</v>
      </c>
      <c r="E215" s="197" t="s">
        <v>180</v>
      </c>
      <c r="F215" s="197" t="s">
        <v>479</v>
      </c>
      <c r="G215" s="197" t="s">
        <v>480</v>
      </c>
      <c r="H215" s="197" t="s">
        <v>481</v>
      </c>
      <c r="I215" s="198" t="s">
        <v>1152</v>
      </c>
      <c r="J215" s="216" t="s">
        <v>1153</v>
      </c>
      <c r="K215" s="198" t="s">
        <v>1159</v>
      </c>
      <c r="L215" s="198">
        <v>166819</v>
      </c>
      <c r="M215" s="173" t="s">
        <v>1155</v>
      </c>
      <c r="N215" s="198" t="s">
        <v>1162</v>
      </c>
      <c r="O215" s="241">
        <v>96.662092000000001</v>
      </c>
      <c r="P215" s="241">
        <v>25.920006000000001</v>
      </c>
      <c r="Q215" s="217"/>
      <c r="R215" s="183"/>
      <c r="S215" s="225"/>
      <c r="T215" s="207" t="str">
        <f>IF(CampList[[#This Row],[HH]]&gt;0,CampList[[#This Row],[Total]]/CampList[[#This Row],[HH]],"NA")</f>
        <v>NA</v>
      </c>
      <c r="U215" s="183" t="s">
        <v>464</v>
      </c>
      <c r="V215" s="199" t="s">
        <v>995</v>
      </c>
      <c r="W215" s="183" t="s">
        <v>507</v>
      </c>
      <c r="X215" s="183" t="s">
        <v>784</v>
      </c>
      <c r="Y215" s="218">
        <v>42584</v>
      </c>
      <c r="Z215" s="217"/>
      <c r="AA215" s="198" t="s">
        <v>774</v>
      </c>
      <c r="AB215" s="210">
        <v>42849</v>
      </c>
      <c r="AC215" s="219" t="s">
        <v>1233</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605"/>
      <c r="AI215" s="605"/>
    </row>
    <row r="216" spans="2:35" s="185" customFormat="1" ht="15.75" customHeight="1" x14ac:dyDescent="0.3">
      <c r="B216" s="203" t="s">
        <v>1745</v>
      </c>
      <c r="C216" s="197" t="s">
        <v>378</v>
      </c>
      <c r="D216" s="197" t="s">
        <v>478</v>
      </c>
      <c r="E216" s="197" t="s">
        <v>180</v>
      </c>
      <c r="F216" s="197" t="s">
        <v>479</v>
      </c>
      <c r="G216" s="197" t="s">
        <v>173</v>
      </c>
      <c r="H216" s="197" t="s">
        <v>498</v>
      </c>
      <c r="I216" s="197" t="s">
        <v>1659</v>
      </c>
      <c r="J216" s="216" t="s">
        <v>1658</v>
      </c>
      <c r="K216" s="197" t="s">
        <v>1662</v>
      </c>
      <c r="L216" s="197" t="s">
        <v>1663</v>
      </c>
      <c r="M216" s="197" t="s">
        <v>1664</v>
      </c>
      <c r="N216" s="197" t="s">
        <v>1652</v>
      </c>
      <c r="O216" s="204">
        <v>97.010629910000006</v>
      </c>
      <c r="P216" s="204">
        <v>25.370330525559201</v>
      </c>
      <c r="Q216" s="217"/>
      <c r="R216" s="182">
        <v>45</v>
      </c>
      <c r="S216" s="292">
        <v>238</v>
      </c>
      <c r="T216" s="207">
        <f>IF(CampList[[#This Row],[HH]]&gt;0,CampList[[#This Row],[Total]]/CampList[[#This Row],[HH]],"NA")</f>
        <v>5.2888888888888888</v>
      </c>
      <c r="U216" s="199" t="s">
        <v>464</v>
      </c>
      <c r="V216" s="199" t="s">
        <v>995</v>
      </c>
      <c r="W216" s="199" t="s">
        <v>507</v>
      </c>
      <c r="X216" s="199" t="s">
        <v>742</v>
      </c>
      <c r="Y216" s="312">
        <v>43212</v>
      </c>
      <c r="Z216" s="676" t="s">
        <v>936</v>
      </c>
      <c r="AA216" s="197" t="s">
        <v>774</v>
      </c>
      <c r="AB216" s="210">
        <v>43343</v>
      </c>
      <c r="AC216" s="211" t="s">
        <v>1907</v>
      </c>
      <c r="AD216" s="220" t="str">
        <f ca="1">IFERROR(OFFSET(DistanceToCamp[Nearest Town],MATCH(CampList[[#This Row],[CP_Pcode]],DistanceToCamp[CP_Pcode],0)-1,0,1,1),"")</f>
        <v>Panmatee Town</v>
      </c>
      <c r="AE216" s="212">
        <f ca="1">IFERROR(OFFSET(DistanceToCamp[distance],MATCH(CampList[[#This Row],[CP_Pcode]],DistanceToCamp[CP_Pcode],0)-1,0,1,1),"")</f>
        <v>0.4</v>
      </c>
      <c r="AF216" s="221">
        <f ca="1">IFERROR(INT(CampList[[#This Row],[Distance]]/5)+1,"")</f>
        <v>1</v>
      </c>
      <c r="AH216" s="605"/>
      <c r="AI216" s="605"/>
    </row>
    <row r="217" spans="2:35" s="185" customFormat="1" ht="15.75" customHeight="1" x14ac:dyDescent="0.3">
      <c r="B217" s="203" t="s">
        <v>1745</v>
      </c>
      <c r="C217" s="197" t="s">
        <v>378</v>
      </c>
      <c r="D217" s="197" t="s">
        <v>478</v>
      </c>
      <c r="E217" s="197" t="s">
        <v>180</v>
      </c>
      <c r="F217" s="197" t="s">
        <v>479</v>
      </c>
      <c r="G217" s="197" t="s">
        <v>173</v>
      </c>
      <c r="H217" s="197" t="s">
        <v>498</v>
      </c>
      <c r="I217" s="197" t="s">
        <v>1660</v>
      </c>
      <c r="J217" s="216" t="s">
        <v>1661</v>
      </c>
      <c r="K217" s="197" t="s">
        <v>1660</v>
      </c>
      <c r="L217" s="216">
        <v>166765</v>
      </c>
      <c r="M217" s="197" t="s">
        <v>1733</v>
      </c>
      <c r="N217" s="197" t="s">
        <v>1654</v>
      </c>
      <c r="O217" s="204">
        <v>97.104997409999996</v>
      </c>
      <c r="P217" s="204">
        <v>25.379014999999999</v>
      </c>
      <c r="Q217" s="217"/>
      <c r="R217" s="182">
        <v>111</v>
      </c>
      <c r="S217" s="292">
        <v>484</v>
      </c>
      <c r="T217" s="207">
        <f>IF(CampList[[#This Row],[HH]]&gt;0,CampList[[#This Row],[Total]]/CampList[[#This Row],[HH]],"NA")</f>
        <v>4.3603603603603602</v>
      </c>
      <c r="U217" s="199" t="s">
        <v>464</v>
      </c>
      <c r="V217" s="199" t="s">
        <v>995</v>
      </c>
      <c r="W217" s="199" t="s">
        <v>507</v>
      </c>
      <c r="X217" s="199" t="s">
        <v>742</v>
      </c>
      <c r="Y217" s="312">
        <v>43212</v>
      </c>
      <c r="Z217" s="676" t="s">
        <v>424</v>
      </c>
      <c r="AA217" s="197" t="s">
        <v>774</v>
      </c>
      <c r="AB217" s="210">
        <v>43343</v>
      </c>
      <c r="AC217" s="211" t="s">
        <v>1885</v>
      </c>
      <c r="AD217" s="220" t="str">
        <f ca="1">IFERROR(OFFSET(DistanceToCamp[Nearest Town],MATCH(CampList[[#This Row],[CP_Pcode]],DistanceToCamp[CP_Pcode],0)-1,0,1,1),"")</f>
        <v>Panmatee Town</v>
      </c>
      <c r="AE217" s="212">
        <f ca="1">IFERROR(OFFSET(DistanceToCamp[distance],MATCH(CampList[[#This Row],[CP_Pcode]],DistanceToCamp[CP_Pcode],0)-1,0,1,1),"")</f>
        <v>0.4</v>
      </c>
      <c r="AF217" s="221">
        <f ca="1">IFERROR(INT(CampList[[#This Row],[Distance]]/5)+1,"")</f>
        <v>1</v>
      </c>
      <c r="AH217" s="605"/>
      <c r="AI217" s="605"/>
    </row>
    <row r="218" spans="2:35" s="185" customFormat="1" ht="15.75" customHeight="1" x14ac:dyDescent="0.3">
      <c r="B218" s="203" t="s">
        <v>1745</v>
      </c>
      <c r="C218" s="197" t="s">
        <v>378</v>
      </c>
      <c r="D218" s="197" t="s">
        <v>478</v>
      </c>
      <c r="E218" s="197" t="s">
        <v>237</v>
      </c>
      <c r="F218" s="198" t="s">
        <v>484</v>
      </c>
      <c r="G218" s="197" t="s">
        <v>237</v>
      </c>
      <c r="H218" s="197" t="s">
        <v>488</v>
      </c>
      <c r="I218" s="197" t="s">
        <v>1675</v>
      </c>
      <c r="J218" s="216" t="s">
        <v>1676</v>
      </c>
      <c r="K218" s="197" t="s">
        <v>1675</v>
      </c>
      <c r="L218" s="216">
        <v>165704</v>
      </c>
      <c r="M218" s="197" t="s">
        <v>1674</v>
      </c>
      <c r="N218" s="197" t="s">
        <v>1657</v>
      </c>
      <c r="O218" s="204">
        <v>97.49136</v>
      </c>
      <c r="P218" s="204">
        <v>25.717300000000002</v>
      </c>
      <c r="Q218" s="217"/>
      <c r="R218" s="182">
        <v>229</v>
      </c>
      <c r="S218" s="292">
        <v>1247</v>
      </c>
      <c r="T218" s="207">
        <f>IF(CampList[[#This Row],[HH]]&gt;0,CampList[[#This Row],[Total]]/CampList[[#This Row],[HH]],"NA")</f>
        <v>5.4454148471615724</v>
      </c>
      <c r="U218" s="199" t="s">
        <v>464</v>
      </c>
      <c r="V218" s="199" t="s">
        <v>995</v>
      </c>
      <c r="W218" s="199" t="s">
        <v>1574</v>
      </c>
      <c r="X218" s="199" t="s">
        <v>784</v>
      </c>
      <c r="Y218" s="312">
        <v>43212</v>
      </c>
      <c r="Z218" s="676" t="s">
        <v>1317</v>
      </c>
      <c r="AA218" s="197" t="s">
        <v>774</v>
      </c>
      <c r="AB218" s="210">
        <v>43343</v>
      </c>
      <c r="AC218" s="211" t="s">
        <v>1815</v>
      </c>
      <c r="AD218" s="220" t="str">
        <f ca="1">IFERROR(OFFSET(DistanceToCamp[Nearest Town],MATCH(CampList[[#This Row],[CP_Pcode]],DistanceToCamp[CP_Pcode],0)-1,0,1,1),"")</f>
        <v>Myitkyina Town</v>
      </c>
      <c r="AE218" s="212">
        <f ca="1">IFERROR(OFFSET(DistanceToCamp[distance],MATCH(CampList[[#This Row],[CP_Pcode]],DistanceToCamp[CP_Pcode],0)-1,0,1,1),"")</f>
        <v>27</v>
      </c>
      <c r="AF218" s="221">
        <f ca="1">IFERROR(INT(CampList[[#This Row],[Distance]]/5)+1,"")</f>
        <v>6</v>
      </c>
      <c r="AH218" s="605"/>
      <c r="AI218" s="605"/>
    </row>
    <row r="219" spans="2:35" s="185" customFormat="1" ht="18.600000000000001" customHeight="1" x14ac:dyDescent="0.3">
      <c r="B219" s="203" t="s">
        <v>1745</v>
      </c>
      <c r="C219" s="197" t="s">
        <v>378</v>
      </c>
      <c r="D219" s="197" t="s">
        <v>478</v>
      </c>
      <c r="E219" s="197" t="s">
        <v>237</v>
      </c>
      <c r="F219" s="198" t="s">
        <v>484</v>
      </c>
      <c r="G219" s="197" t="s">
        <v>237</v>
      </c>
      <c r="H219" s="197" t="s">
        <v>488</v>
      </c>
      <c r="I219" s="197" t="s">
        <v>1670</v>
      </c>
      <c r="J219" s="216" t="s">
        <v>1671</v>
      </c>
      <c r="K219" s="197" t="s">
        <v>1670</v>
      </c>
      <c r="L219" s="216">
        <v>165676</v>
      </c>
      <c r="M219" s="197" t="s">
        <v>1770</v>
      </c>
      <c r="N219" s="197" t="s">
        <v>1694</v>
      </c>
      <c r="O219" s="204"/>
      <c r="P219" s="204"/>
      <c r="Q219" s="217"/>
      <c r="R219" s="182">
        <v>141</v>
      </c>
      <c r="S219" s="292">
        <v>597</v>
      </c>
      <c r="T219" s="207">
        <f>IF(CampList[[#This Row],[HH]]&gt;0,CampList[[#This Row],[Total]]/CampList[[#This Row],[HH]],"NA")</f>
        <v>4.2340425531914896</v>
      </c>
      <c r="U219" s="199" t="s">
        <v>464</v>
      </c>
      <c r="V219" s="199" t="s">
        <v>995</v>
      </c>
      <c r="W219" s="199" t="s">
        <v>507</v>
      </c>
      <c r="X219" s="199" t="s">
        <v>784</v>
      </c>
      <c r="Y219" s="312">
        <v>43312</v>
      </c>
      <c r="Z219" s="676" t="s">
        <v>424</v>
      </c>
      <c r="AA219" s="197" t="s">
        <v>774</v>
      </c>
      <c r="AB219" s="210">
        <v>43343</v>
      </c>
      <c r="AC219" s="211" t="s">
        <v>1887</v>
      </c>
      <c r="AD219" s="220" t="str">
        <f ca="1">IFERROR(OFFSET(DistanceToCamp[Nearest Town],MATCH(CampList[[#This Row],[CP_Pcode]],DistanceToCamp[CP_Pcode],0)-1,0,1,1),"")</f>
        <v>Myitkyina Town</v>
      </c>
      <c r="AE219" s="212">
        <f ca="1">IFERROR(OFFSET(DistanceToCamp[distance],MATCH(CampList[[#This Row],[CP_Pcode]],DistanceToCamp[CP_Pcode],0)-1,0,1,1),"")</f>
        <v>10</v>
      </c>
      <c r="AF219" s="221">
        <f ca="1">IFERROR(INT(CampList[[#This Row],[Distance]]/5)+1,"")</f>
        <v>3</v>
      </c>
      <c r="AH219" s="605"/>
      <c r="AI219" s="605"/>
    </row>
    <row r="220" spans="2:35" s="185" customFormat="1" ht="15.75" customHeight="1" x14ac:dyDescent="0.3">
      <c r="B220" s="203" t="s">
        <v>1745</v>
      </c>
      <c r="C220" s="197" t="s">
        <v>378</v>
      </c>
      <c r="D220" s="197" t="s">
        <v>478</v>
      </c>
      <c r="E220" s="197" t="s">
        <v>237</v>
      </c>
      <c r="F220" s="198" t="s">
        <v>484</v>
      </c>
      <c r="G220" s="197" t="s">
        <v>237</v>
      </c>
      <c r="H220" s="197" t="s">
        <v>488</v>
      </c>
      <c r="I220" s="197" t="s">
        <v>1702</v>
      </c>
      <c r="J220" s="216" t="s">
        <v>1703</v>
      </c>
      <c r="K220" s="197" t="s">
        <v>1702</v>
      </c>
      <c r="L220" s="216">
        <v>165707</v>
      </c>
      <c r="M220" s="197" t="s">
        <v>1701</v>
      </c>
      <c r="N220" s="197" t="s">
        <v>1696</v>
      </c>
      <c r="O220" s="204"/>
      <c r="P220" s="204"/>
      <c r="Q220" s="217"/>
      <c r="R220" s="182">
        <v>8</v>
      </c>
      <c r="S220" s="292">
        <v>32</v>
      </c>
      <c r="T220" s="207">
        <f>IF(CampList[[#This Row],[HH]]&gt;0,CampList[[#This Row],[Total]]/CampList[[#This Row],[HH]],"NA")</f>
        <v>4</v>
      </c>
      <c r="U220" s="199" t="s">
        <v>464</v>
      </c>
      <c r="V220" s="199" t="s">
        <v>995</v>
      </c>
      <c r="W220" s="199" t="s">
        <v>1384</v>
      </c>
      <c r="X220" s="199" t="s">
        <v>784</v>
      </c>
      <c r="Y220" s="312">
        <v>43250</v>
      </c>
      <c r="Z220" s="676" t="s">
        <v>1317</v>
      </c>
      <c r="AA220" s="197"/>
      <c r="AB220" s="210">
        <v>43312</v>
      </c>
      <c r="AC220" s="211" t="s">
        <v>1726</v>
      </c>
      <c r="AD220" s="220" t="str">
        <f ca="1">IFERROR(OFFSET(DistanceToCamp[Nearest Town],MATCH(CampList[[#This Row],[CP_Pcode]],DistanceToCamp[CP_Pcode],0)-1,0,1,1),"")</f>
        <v>Myitkyina Town</v>
      </c>
      <c r="AE220" s="212">
        <f ca="1">IFERROR(OFFSET(DistanceToCamp[distance],MATCH(CampList[[#This Row],[CP_Pcode]],DistanceToCamp[CP_Pcode],0)-1,0,1,1),"")</f>
        <v>51</v>
      </c>
      <c r="AF220" s="221">
        <f ca="1">IFERROR(INT(CampList[[#This Row],[Distance]]/5)+1,"")</f>
        <v>11</v>
      </c>
      <c r="AH220" s="605"/>
      <c r="AI220" s="605"/>
    </row>
    <row r="221" spans="2:35" s="185" customFormat="1" ht="15.75" customHeight="1" x14ac:dyDescent="0.3">
      <c r="B221" s="203" t="s">
        <v>1745</v>
      </c>
      <c r="C221" s="197" t="s">
        <v>378</v>
      </c>
      <c r="D221" s="197" t="s">
        <v>478</v>
      </c>
      <c r="E221" s="197" t="s">
        <v>180</v>
      </c>
      <c r="F221" s="197" t="s">
        <v>479</v>
      </c>
      <c r="G221" s="197" t="s">
        <v>480</v>
      </c>
      <c r="H221" s="197" t="s">
        <v>481</v>
      </c>
      <c r="I221" s="197" t="s">
        <v>1001</v>
      </c>
      <c r="J221" s="216" t="s">
        <v>1708</v>
      </c>
      <c r="K221" s="197" t="s">
        <v>1709</v>
      </c>
      <c r="L221" s="216" t="s">
        <v>1710</v>
      </c>
      <c r="M221" s="197" t="s">
        <v>1707</v>
      </c>
      <c r="N221" s="197" t="s">
        <v>1699</v>
      </c>
      <c r="O221" s="204"/>
      <c r="P221" s="204"/>
      <c r="Q221" s="217"/>
      <c r="R221" s="182">
        <v>15</v>
      </c>
      <c r="S221" s="182">
        <v>59</v>
      </c>
      <c r="T221" s="207">
        <f>IF(CampList[[#This Row],[HH]]&gt;0,CampList[[#This Row],[Total]]/CampList[[#This Row],[HH]],"NA")</f>
        <v>3.9333333333333331</v>
      </c>
      <c r="U221" s="199" t="s">
        <v>464</v>
      </c>
      <c r="V221" s="199" t="s">
        <v>995</v>
      </c>
      <c r="W221" s="199" t="s">
        <v>507</v>
      </c>
      <c r="X221" s="199" t="s">
        <v>742</v>
      </c>
      <c r="Y221" s="676"/>
      <c r="Z221" s="676" t="s">
        <v>936</v>
      </c>
      <c r="AA221" s="197"/>
      <c r="AB221" s="210">
        <v>43343</v>
      </c>
      <c r="AC221" s="211" t="s">
        <v>1909</v>
      </c>
      <c r="AD221" s="220" t="str">
        <f ca="1">IFERROR(OFFSET(DistanceToCamp[Nearest Town],MATCH(CampList[[#This Row],[CP_Pcode]],DistanceToCamp[CP_Pcode],0)-1,0,1,1),"")</f>
        <v>Kamaing Town</v>
      </c>
      <c r="AE221" s="212">
        <f ca="1">IFERROR(OFFSET(DistanceToCamp[distance],MATCH(CampList[[#This Row],[CP_Pcode]],DistanceToCamp[CP_Pcode],0)-1,0,1,1),"")</f>
        <v>0</v>
      </c>
      <c r="AF221" s="221">
        <f ca="1">IFERROR(INT(CampList[[#This Row],[Distance]]/5)+1,"")</f>
        <v>1</v>
      </c>
      <c r="AH221" s="605"/>
      <c r="AI221" s="605"/>
    </row>
    <row r="222" spans="2:35" s="185" customFormat="1" ht="24.6" hidden="1" customHeight="1" x14ac:dyDescent="0.3">
      <c r="B222" s="203" t="s">
        <v>775</v>
      </c>
      <c r="C222" s="197" t="s">
        <v>378</v>
      </c>
      <c r="D222" s="197" t="s">
        <v>478</v>
      </c>
      <c r="E222" s="197" t="s">
        <v>237</v>
      </c>
      <c r="F222" s="198" t="s">
        <v>484</v>
      </c>
      <c r="G222" s="197" t="s">
        <v>1136</v>
      </c>
      <c r="H222" s="197" t="s">
        <v>1135</v>
      </c>
      <c r="I222" s="694" t="s">
        <v>1684</v>
      </c>
      <c r="J222" s="694" t="s">
        <v>1685</v>
      </c>
      <c r="K222" s="197"/>
      <c r="L222" s="197"/>
      <c r="M222" s="198" t="s">
        <v>1394</v>
      </c>
      <c r="N222" s="197" t="s">
        <v>1407</v>
      </c>
      <c r="O222" s="204"/>
      <c r="P222" s="204"/>
      <c r="Q222" s="217"/>
      <c r="R222" s="284">
        <v>42</v>
      </c>
      <c r="S222" s="285">
        <v>190</v>
      </c>
      <c r="T222" s="207">
        <f>IF(CampList[[#This Row],[HH]]&gt;0,CampList[[#This Row],[Total]]/CampList[[#This Row],[HH]],"NA")</f>
        <v>4.5238095238095237</v>
      </c>
      <c r="U222" s="183" t="s">
        <v>464</v>
      </c>
      <c r="V222" s="199" t="s">
        <v>995</v>
      </c>
      <c r="W222" s="199" t="s">
        <v>1384</v>
      </c>
      <c r="X222" s="199" t="s">
        <v>742</v>
      </c>
      <c r="Y222" s="676">
        <v>42741</v>
      </c>
      <c r="Z222" s="209" t="s">
        <v>1317</v>
      </c>
      <c r="AA222" s="223" t="s">
        <v>774</v>
      </c>
      <c r="AB222" s="210">
        <v>43343</v>
      </c>
      <c r="AC222" s="203" t="s">
        <v>1920</v>
      </c>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605"/>
      <c r="AI222" s="605"/>
    </row>
    <row r="223" spans="2:35" s="185" customFormat="1" ht="15.75" customHeight="1" x14ac:dyDescent="0.3">
      <c r="B223" s="203" t="s">
        <v>1745</v>
      </c>
      <c r="C223" s="198" t="s">
        <v>378</v>
      </c>
      <c r="D223" s="198" t="s">
        <v>478</v>
      </c>
      <c r="E223" s="198" t="s">
        <v>237</v>
      </c>
      <c r="F223" s="198" t="s">
        <v>484</v>
      </c>
      <c r="G223" s="198" t="s">
        <v>237</v>
      </c>
      <c r="H223" s="198" t="s">
        <v>488</v>
      </c>
      <c r="I223" s="198" t="s">
        <v>649</v>
      </c>
      <c r="J223" s="216" t="s">
        <v>650</v>
      </c>
      <c r="K223" s="198" t="s">
        <v>651</v>
      </c>
      <c r="L223" s="198">
        <v>165685</v>
      </c>
      <c r="M223" s="198" t="s">
        <v>1728</v>
      </c>
      <c r="N223" s="198" t="s">
        <v>1727</v>
      </c>
      <c r="O223" s="206">
        <v>97.4345</v>
      </c>
      <c r="P223" s="206">
        <v>25.493819999999999</v>
      </c>
      <c r="Q223" s="217"/>
      <c r="R223" s="274">
        <v>32</v>
      </c>
      <c r="S223" s="274">
        <v>161</v>
      </c>
      <c r="T223" s="207">
        <f>IF(CampList[[#This Row],[HH]]&gt;0,CampList[[#This Row],[Total]]/CampList[[#This Row],[HH]],"NA")</f>
        <v>5.03125</v>
      </c>
      <c r="U223" s="183" t="s">
        <v>464</v>
      </c>
      <c r="V223" s="199" t="s">
        <v>995</v>
      </c>
      <c r="W223" s="199" t="s">
        <v>507</v>
      </c>
      <c r="X223" s="183" t="s">
        <v>742</v>
      </c>
      <c r="Y223" s="312">
        <v>43252</v>
      </c>
      <c r="Z223" s="217" t="s">
        <v>936</v>
      </c>
      <c r="AA223" s="198"/>
      <c r="AB223" s="210">
        <v>43343</v>
      </c>
      <c r="AC223" s="219" t="s">
        <v>1910</v>
      </c>
      <c r="AD223" s="220" t="str">
        <f ca="1">IFERROR(OFFSET(DistanceToCamp[Nearest Town],MATCH(CampList[[#This Row],[CP_Pcode]],DistanceToCamp[CP_Pcode],0)-1,0,1,1),"")</f>
        <v/>
      </c>
      <c r="AE223" s="212" t="str">
        <f ca="1">IFERROR(OFFSET(DistanceToCamp[distance],MATCH(CampList[[#This Row],[CP_Pcode]],DistanceToCamp[CP_Pcode],0)-1,0,1,1),"")</f>
        <v/>
      </c>
      <c r="AF223" s="221" t="str">
        <f ca="1">IFERROR(INT(CampList[[#This Row],[Distance]]/5)+1,"")</f>
        <v/>
      </c>
      <c r="AH223" s="605"/>
      <c r="AI223" s="605"/>
    </row>
    <row r="224" spans="2:35" s="185" customFormat="1" ht="15.75" customHeight="1" x14ac:dyDescent="0.3">
      <c r="B224" s="203" t="s">
        <v>1745</v>
      </c>
      <c r="C224" s="197" t="s">
        <v>506</v>
      </c>
      <c r="D224" s="197" t="s">
        <v>489</v>
      </c>
      <c r="E224" s="197" t="s">
        <v>230</v>
      </c>
      <c r="F224" s="197" t="s">
        <v>490</v>
      </c>
      <c r="G224" s="197" t="s">
        <v>288</v>
      </c>
      <c r="H224" s="197" t="s">
        <v>502</v>
      </c>
      <c r="I224" s="197" t="s">
        <v>691</v>
      </c>
      <c r="J224" s="197" t="s">
        <v>692</v>
      </c>
      <c r="K224" s="197" t="s">
        <v>691</v>
      </c>
      <c r="L224" s="197">
        <v>208353</v>
      </c>
      <c r="M224" s="197" t="s">
        <v>289</v>
      </c>
      <c r="N224" s="197" t="s">
        <v>287</v>
      </c>
      <c r="O224" s="204">
        <v>97.669557999999995</v>
      </c>
      <c r="P224" s="204">
        <v>23.828520000000001</v>
      </c>
      <c r="Q224" s="205">
        <v>740</v>
      </c>
      <c r="R224" s="204">
        <v>67</v>
      </c>
      <c r="S224" s="204">
        <v>343</v>
      </c>
      <c r="T224" s="207">
        <f>IF(CampList[[#This Row],[HH]]&gt;0,CampList[[#This Row],[Total]]/CampList[[#This Row],[HH]],"NA")</f>
        <v>5.1194029850746272</v>
      </c>
      <c r="U224" s="199" t="s">
        <v>464</v>
      </c>
      <c r="V224" s="199" t="s">
        <v>995</v>
      </c>
      <c r="W224" s="199" t="s">
        <v>507</v>
      </c>
      <c r="X224" s="199" t="s">
        <v>742</v>
      </c>
      <c r="Y224" s="676">
        <v>40878</v>
      </c>
      <c r="Z224" s="676" t="s">
        <v>424</v>
      </c>
      <c r="AA224" s="223" t="s">
        <v>774</v>
      </c>
      <c r="AB224" s="210">
        <v>43343</v>
      </c>
      <c r="AC224" s="211" t="s">
        <v>1889</v>
      </c>
      <c r="AD224" s="199" t="str">
        <f ca="1">IFERROR(OFFSET(DistanceToCamp[Nearest Town],MATCH(CampList[[#This Row],[CP_Pcode]],DistanceToCamp[CP_Pcode],0)-1,0,1,1),"")</f>
        <v>Namhkan Town</v>
      </c>
      <c r="AE224" s="212">
        <f ca="1">IFERROR(OFFSET(DistanceToCamp[distance],MATCH(CampList[[#This Row],[CP_Pcode]],DistanceToCamp[CP_Pcode],0)-1,0,1,1),"")</f>
        <v>1.5619149693996526</v>
      </c>
      <c r="AF224" s="213">
        <f ca="1">IFERROR(INT(CampList[[#This Row],[Distance]]/5)+1,"")</f>
        <v>1</v>
      </c>
      <c r="AH224" s="605"/>
      <c r="AI224" s="605"/>
    </row>
    <row r="225" spans="2:35" s="185" customFormat="1" ht="15.75" hidden="1" customHeight="1" x14ac:dyDescent="0.3">
      <c r="B225" s="203" t="s">
        <v>775</v>
      </c>
      <c r="C225" s="197" t="s">
        <v>378</v>
      </c>
      <c r="D225" s="197" t="s">
        <v>478</v>
      </c>
      <c r="E225" s="197" t="s">
        <v>180</v>
      </c>
      <c r="F225" s="197" t="s">
        <v>479</v>
      </c>
      <c r="G225" s="197" t="s">
        <v>173</v>
      </c>
      <c r="H225" s="198" t="s">
        <v>498</v>
      </c>
      <c r="I225" s="696" t="s">
        <v>1659</v>
      </c>
      <c r="J225" s="696" t="s">
        <v>1658</v>
      </c>
      <c r="K225" s="694" t="s">
        <v>1682</v>
      </c>
      <c r="L225" s="694" t="s">
        <v>1683</v>
      </c>
      <c r="M225" s="197" t="s">
        <v>1520</v>
      </c>
      <c r="N225" s="197" t="s">
        <v>1545</v>
      </c>
      <c r="O225" s="204"/>
      <c r="P225" s="204"/>
      <c r="Q225" s="217"/>
      <c r="R225" s="182">
        <v>245</v>
      </c>
      <c r="S225" s="292">
        <v>1084</v>
      </c>
      <c r="T225" s="207">
        <f>IF(CampList[[#This Row],[HH]]&gt;0,CampList[[#This Row],[Total]]/CampList[[#This Row],[HH]],"NA")</f>
        <v>4.4244897959183671</v>
      </c>
      <c r="U225" s="199" t="s">
        <v>464</v>
      </c>
      <c r="V225" s="199" t="s">
        <v>995</v>
      </c>
      <c r="W225" s="199" t="s">
        <v>1384</v>
      </c>
      <c r="X225" s="199" t="s">
        <v>742</v>
      </c>
      <c r="Y225" s="312">
        <v>42962</v>
      </c>
      <c r="Z225" s="676"/>
      <c r="AA225" s="197" t="s">
        <v>774</v>
      </c>
      <c r="AB225" s="210" t="s">
        <v>1521</v>
      </c>
      <c r="AC225" s="211" t="s">
        <v>1533</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605"/>
      <c r="AI225" s="605"/>
    </row>
    <row r="226" spans="2:35" s="185" customFormat="1" ht="15.75" customHeight="1" x14ac:dyDescent="0.3">
      <c r="B226" s="203" t="s">
        <v>1745</v>
      </c>
      <c r="C226" s="198" t="s">
        <v>506</v>
      </c>
      <c r="D226" s="198" t="s">
        <v>489</v>
      </c>
      <c r="E226" s="198" t="s">
        <v>230</v>
      </c>
      <c r="F226" s="198" t="s">
        <v>490</v>
      </c>
      <c r="G226" s="198" t="s">
        <v>288</v>
      </c>
      <c r="H226" s="198" t="s">
        <v>502</v>
      </c>
      <c r="I226" s="198" t="s">
        <v>691</v>
      </c>
      <c r="J226" s="216" t="s">
        <v>692</v>
      </c>
      <c r="K226" s="198" t="s">
        <v>691</v>
      </c>
      <c r="L226" s="198">
        <v>208353</v>
      </c>
      <c r="M226" s="198" t="s">
        <v>372</v>
      </c>
      <c r="N226" s="198" t="s">
        <v>294</v>
      </c>
      <c r="O226" s="206">
        <v>97.670360000000002</v>
      </c>
      <c r="P226" s="206">
        <v>23.828150000000001</v>
      </c>
      <c r="Q226" s="217">
        <v>751.8</v>
      </c>
      <c r="R226" s="206">
        <v>42</v>
      </c>
      <c r="S226" s="217">
        <v>215</v>
      </c>
      <c r="T226" s="207">
        <f>IF(CampList[[#This Row],[HH]]&gt;0,CampList[[#This Row],[Total]]/CampList[[#This Row],[HH]],"NA")</f>
        <v>5.1190476190476186</v>
      </c>
      <c r="U226" s="183" t="s">
        <v>464</v>
      </c>
      <c r="V226" s="199" t="s">
        <v>995</v>
      </c>
      <c r="W226" s="183" t="s">
        <v>507</v>
      </c>
      <c r="X226" s="183" t="s">
        <v>742</v>
      </c>
      <c r="Y226" s="218">
        <v>40878</v>
      </c>
      <c r="Z226" s="217" t="s">
        <v>1048</v>
      </c>
      <c r="AA226" s="198" t="s">
        <v>774</v>
      </c>
      <c r="AB226" s="522">
        <v>43343</v>
      </c>
      <c r="AC226" s="219" t="s">
        <v>1791</v>
      </c>
      <c r="AD226" s="220" t="str">
        <f ca="1">IFERROR(OFFSET(DistanceToCamp[Nearest Town],MATCH(CampList[[#This Row],[CP_Pcode]],DistanceToCamp[CP_Pcode],0)-1,0,1,1),"")</f>
        <v>Namhkan Town</v>
      </c>
      <c r="AE226" s="212">
        <f ca="1">IFERROR(OFFSET(DistanceToCamp[distance],MATCH(CampList[[#This Row],[CP_Pcode]],DistanceToCamp[CP_Pcode],0)-1,0,1,1),"")</f>
        <v>1.5239325151406049</v>
      </c>
      <c r="AF226" s="221">
        <f ca="1">IFERROR(INT(CampList[[#This Row],[Distance]]/5)+1,"")</f>
        <v>1</v>
      </c>
      <c r="AH226" s="605"/>
      <c r="AI226" s="605"/>
    </row>
    <row r="227" spans="2:35" s="185" customFormat="1" ht="15.75" hidden="1" customHeight="1" x14ac:dyDescent="0.3">
      <c r="B227" s="203" t="s">
        <v>775</v>
      </c>
      <c r="C227" s="197" t="s">
        <v>378</v>
      </c>
      <c r="D227" s="197" t="s">
        <v>478</v>
      </c>
      <c r="E227" s="197" t="s">
        <v>237</v>
      </c>
      <c r="F227" s="198" t="s">
        <v>484</v>
      </c>
      <c r="G227" s="197" t="s">
        <v>237</v>
      </c>
      <c r="H227" s="197" t="s">
        <v>488</v>
      </c>
      <c r="I227" s="197" t="s">
        <v>611</v>
      </c>
      <c r="J227" s="216"/>
      <c r="K227" s="694" t="s">
        <v>1680</v>
      </c>
      <c r="L227" s="694" t="s">
        <v>1681</v>
      </c>
      <c r="M227" s="197" t="s">
        <v>1529</v>
      </c>
      <c r="N227" s="197" t="s">
        <v>1547</v>
      </c>
      <c r="O227" s="204"/>
      <c r="P227" s="204"/>
      <c r="Q227" s="217"/>
      <c r="R227" s="182">
        <v>25</v>
      </c>
      <c r="S227" s="292">
        <v>69</v>
      </c>
      <c r="T227" s="207">
        <f>IF(CampList[[#This Row],[HH]]&gt;0,CampList[[#This Row],[Total]]/CampList[[#This Row],[HH]],"NA")</f>
        <v>2.76</v>
      </c>
      <c r="U227" s="199" t="s">
        <v>464</v>
      </c>
      <c r="V227" s="199" t="s">
        <v>995</v>
      </c>
      <c r="W227" s="199" t="s">
        <v>1384</v>
      </c>
      <c r="X227" s="199" t="s">
        <v>742</v>
      </c>
      <c r="Y227" s="312">
        <v>42963</v>
      </c>
      <c r="Z227" s="208" t="s">
        <v>1317</v>
      </c>
      <c r="AA227" s="197" t="s">
        <v>774</v>
      </c>
      <c r="AB227" s="210" t="s">
        <v>1521</v>
      </c>
      <c r="AC227" s="211" t="s">
        <v>1530</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605"/>
      <c r="AI227" s="605"/>
    </row>
    <row r="228" spans="2:35" s="185" customFormat="1" ht="15.75" customHeight="1" x14ac:dyDescent="0.3">
      <c r="B228" s="203" t="s">
        <v>1745</v>
      </c>
      <c r="C228" s="197" t="s">
        <v>506</v>
      </c>
      <c r="D228" s="197" t="s">
        <v>489</v>
      </c>
      <c r="E228" s="197" t="s">
        <v>230</v>
      </c>
      <c r="F228" s="197" t="s">
        <v>490</v>
      </c>
      <c r="G228" s="197" t="s">
        <v>288</v>
      </c>
      <c r="H228" s="197" t="s">
        <v>502</v>
      </c>
      <c r="I228" s="197" t="s">
        <v>691</v>
      </c>
      <c r="J228" s="197" t="s">
        <v>692</v>
      </c>
      <c r="K228" s="197" t="s">
        <v>691</v>
      </c>
      <c r="L228" s="197">
        <v>208353</v>
      </c>
      <c r="M228" s="197" t="s">
        <v>291</v>
      </c>
      <c r="N228" s="197" t="s">
        <v>290</v>
      </c>
      <c r="O228" s="204">
        <v>97.681970000000007</v>
      </c>
      <c r="P228" s="204">
        <v>23.821380000000001</v>
      </c>
      <c r="Q228" s="205">
        <v>811.6</v>
      </c>
      <c r="R228" s="204">
        <v>76</v>
      </c>
      <c r="S228" s="274">
        <v>373</v>
      </c>
      <c r="T228" s="207">
        <f>IF(CampList[[#This Row],[HH]]&gt;0,CampList[[#This Row],[Total]]/CampList[[#This Row],[HH]],"NA")</f>
        <v>4.9078947368421053</v>
      </c>
      <c r="U228" s="199" t="s">
        <v>464</v>
      </c>
      <c r="V228" s="199" t="s">
        <v>995</v>
      </c>
      <c r="W228" s="199" t="s">
        <v>507</v>
      </c>
      <c r="X228" s="199" t="s">
        <v>742</v>
      </c>
      <c r="Y228" s="676">
        <v>41609</v>
      </c>
      <c r="Z228" s="676" t="s">
        <v>424</v>
      </c>
      <c r="AA228" s="223" t="s">
        <v>774</v>
      </c>
      <c r="AB228" s="210">
        <v>43343</v>
      </c>
      <c r="AC228" s="211" t="s">
        <v>1890</v>
      </c>
      <c r="AD228" s="199" t="str">
        <f ca="1">IFERROR(OFFSET(DistanceToCamp[Nearest Town],MATCH(CampList[[#This Row],[CP_Pcode]],DistanceToCamp[CP_Pcode],0)-1,0,1,1),"")</f>
        <v>Namhkan Town</v>
      </c>
      <c r="AE228" s="212">
        <f ca="1">IFERROR(OFFSET(DistanceToCamp[distance],MATCH(CampList[[#This Row],[CP_Pcode]],DistanceToCamp[CP_Pcode],0)-1,0,1,1),"")</f>
        <v>1.7369508287203668</v>
      </c>
      <c r="AF228" s="213">
        <f ca="1">IFERROR(INT(CampList[[#This Row],[Distance]]/5)+1,"")</f>
        <v>1</v>
      </c>
      <c r="AH228" s="605"/>
      <c r="AI228" s="605"/>
    </row>
    <row r="229" spans="2:35" s="185" customFormat="1" ht="15.75" customHeight="1" x14ac:dyDescent="0.3">
      <c r="B229" s="203" t="s">
        <v>1745</v>
      </c>
      <c r="C229" s="197" t="s">
        <v>506</v>
      </c>
      <c r="D229" s="197" t="s">
        <v>489</v>
      </c>
      <c r="E229" s="197" t="s">
        <v>230</v>
      </c>
      <c r="F229" s="197" t="s">
        <v>490</v>
      </c>
      <c r="G229" s="197" t="s">
        <v>146</v>
      </c>
      <c r="H229" s="197" t="s">
        <v>497</v>
      </c>
      <c r="I229" s="197" t="s">
        <v>725</v>
      </c>
      <c r="J229" s="197" t="s">
        <v>726</v>
      </c>
      <c r="K229" s="215" t="s">
        <v>727</v>
      </c>
      <c r="L229" s="198">
        <v>219842</v>
      </c>
      <c r="M229" s="197" t="s">
        <v>369</v>
      </c>
      <c r="N229" s="197" t="s">
        <v>147</v>
      </c>
      <c r="O229" s="204">
        <v>98.220614999999995</v>
      </c>
      <c r="P229" s="204">
        <v>23.400155999999999</v>
      </c>
      <c r="Q229" s="205">
        <v>3109</v>
      </c>
      <c r="R229" s="274">
        <v>41</v>
      </c>
      <c r="S229" s="274">
        <v>231</v>
      </c>
      <c r="T229" s="207">
        <f>IF(CampList[[#This Row],[HH]]&gt;0,CampList[[#This Row],[Total]]/CampList[[#This Row],[HH]],"NA")</f>
        <v>5.6341463414634143</v>
      </c>
      <c r="U229" s="199" t="s">
        <v>464</v>
      </c>
      <c r="V229" s="199" t="s">
        <v>995</v>
      </c>
      <c r="W229" s="199" t="s">
        <v>507</v>
      </c>
      <c r="X229" s="199" t="s">
        <v>784</v>
      </c>
      <c r="Y229" s="676">
        <v>40787</v>
      </c>
      <c r="Z229" s="676" t="s">
        <v>424</v>
      </c>
      <c r="AA229" s="223" t="s">
        <v>774</v>
      </c>
      <c r="AB229" s="210">
        <v>43343</v>
      </c>
      <c r="AC229" s="203" t="s">
        <v>1891</v>
      </c>
      <c r="AD229" s="199" t="str">
        <f ca="1">IFERROR(OFFSET(DistanceToCamp[Nearest Town],MATCH(CampList[[#This Row],[CP_Pcode]],DistanceToCamp[CP_Pcode],0)-1,0,1,1),"")</f>
        <v>Tarmoenye Town</v>
      </c>
      <c r="AE229" s="212">
        <f ca="1">IFERROR(OFFSET(DistanceToCamp[distance],MATCH(CampList[[#This Row],[CP_Pcode]],DistanceToCamp[CP_Pcode],0)-1,0,1,1),"")</f>
        <v>23.172399462804503</v>
      </c>
      <c r="AF229" s="213">
        <f ca="1">IFERROR(INT(CampList[[#This Row],[Distance]]/5)+1,"")</f>
        <v>5</v>
      </c>
      <c r="AH229" s="605"/>
      <c r="AI229" s="605"/>
    </row>
    <row r="230" spans="2:35" s="185" customFormat="1" ht="15.75" customHeight="1" x14ac:dyDescent="0.3">
      <c r="B230" s="203" t="s">
        <v>1745</v>
      </c>
      <c r="C230" s="197" t="s">
        <v>506</v>
      </c>
      <c r="D230" s="197" t="s">
        <v>489</v>
      </c>
      <c r="E230" s="197" t="s">
        <v>230</v>
      </c>
      <c r="F230" s="197" t="s">
        <v>490</v>
      </c>
      <c r="G230" s="197" t="s">
        <v>146</v>
      </c>
      <c r="H230" s="197" t="s">
        <v>497</v>
      </c>
      <c r="I230" s="224" t="s">
        <v>663</v>
      </c>
      <c r="J230" s="197" t="s">
        <v>1041</v>
      </c>
      <c r="K230" s="224" t="s">
        <v>664</v>
      </c>
      <c r="L230" s="236">
        <v>208696</v>
      </c>
      <c r="M230" s="197" t="s">
        <v>149</v>
      </c>
      <c r="N230" s="197" t="s">
        <v>148</v>
      </c>
      <c r="O230" s="204">
        <v>97.818979999999996</v>
      </c>
      <c r="P230" s="204">
        <v>23.694130000000001</v>
      </c>
      <c r="Q230" s="205">
        <v>1135.7</v>
      </c>
      <c r="R230" s="274">
        <v>57</v>
      </c>
      <c r="S230" s="274">
        <v>267</v>
      </c>
      <c r="T230" s="207">
        <f>IF(CampList[[#This Row],[HH]]&gt;0,CampList[[#This Row],[Total]]/CampList[[#This Row],[HH]],"NA")</f>
        <v>4.6842105263157894</v>
      </c>
      <c r="U230" s="199" t="s">
        <v>464</v>
      </c>
      <c r="V230" s="199" t="s">
        <v>995</v>
      </c>
      <c r="W230" s="199" t="s">
        <v>507</v>
      </c>
      <c r="X230" s="199" t="s">
        <v>784</v>
      </c>
      <c r="Y230" s="676">
        <v>40878</v>
      </c>
      <c r="Z230" s="676" t="s">
        <v>424</v>
      </c>
      <c r="AA230" s="223" t="s">
        <v>774</v>
      </c>
      <c r="AB230" s="210">
        <v>43343</v>
      </c>
      <c r="AC230" s="203" t="s">
        <v>1892</v>
      </c>
      <c r="AD230" s="199" t="str">
        <f ca="1">IFERROR(OFFSET(DistanceToCamp[Nearest Town],MATCH(CampList[[#This Row],[CP_Pcode]],DistanceToCamp[CP_Pcode],0)-1,0,1,1),"")</f>
        <v>Namhkan Town</v>
      </c>
      <c r="AE230" s="212">
        <f ca="1">IFERROR(OFFSET(DistanceToCamp[distance],MATCH(CampList[[#This Row],[CP_Pcode]],DistanceToCamp[CP_Pcode],0)-1,0,1,1),"")</f>
        <v>21.148671772283631</v>
      </c>
      <c r="AF230" s="213">
        <f ca="1">IFERROR(INT(CampList[[#This Row],[Distance]]/5)+1,"")</f>
        <v>5</v>
      </c>
      <c r="AH230" s="605"/>
      <c r="AI230" s="605"/>
    </row>
    <row r="231" spans="2:35" s="185" customFormat="1" ht="15.75" customHeight="1" x14ac:dyDescent="0.3">
      <c r="B231" s="203" t="s">
        <v>1745</v>
      </c>
      <c r="C231" s="197" t="s">
        <v>506</v>
      </c>
      <c r="D231" s="197" t="s">
        <v>489</v>
      </c>
      <c r="E231" s="197" t="s">
        <v>494</v>
      </c>
      <c r="F231" s="197" t="s">
        <v>495</v>
      </c>
      <c r="G231" s="197" t="s">
        <v>166</v>
      </c>
      <c r="H231" s="197" t="s">
        <v>496</v>
      </c>
      <c r="I231" s="224" t="s">
        <v>742</v>
      </c>
      <c r="J231" s="237" t="s">
        <v>963</v>
      </c>
      <c r="K231" s="198" t="s">
        <v>656</v>
      </c>
      <c r="L231" s="198" t="s">
        <v>1103</v>
      </c>
      <c r="M231" s="197" t="s">
        <v>167</v>
      </c>
      <c r="N231" s="197" t="s">
        <v>165</v>
      </c>
      <c r="O231" s="204">
        <v>97.124403000000001</v>
      </c>
      <c r="P231" s="204">
        <v>23.250678000000001</v>
      </c>
      <c r="Q231" s="205">
        <v>1250</v>
      </c>
      <c r="R231" s="274">
        <v>33</v>
      </c>
      <c r="S231" s="274">
        <v>176</v>
      </c>
      <c r="T231" s="207">
        <f>IF(CampList[[#This Row],[HH]]&gt;0,CampList[[#This Row],[Total]]/CampList[[#This Row],[HH]],"NA")</f>
        <v>5.333333333333333</v>
      </c>
      <c r="U231" s="199" t="s">
        <v>464</v>
      </c>
      <c r="V231" s="199" t="s">
        <v>995</v>
      </c>
      <c r="W231" s="199" t="s">
        <v>507</v>
      </c>
      <c r="X231" s="199" t="s">
        <v>742</v>
      </c>
      <c r="Y231" s="676">
        <v>41000</v>
      </c>
      <c r="Z231" s="208" t="s">
        <v>424</v>
      </c>
      <c r="AA231" s="223" t="s">
        <v>774</v>
      </c>
      <c r="AB231" s="210">
        <v>43343</v>
      </c>
      <c r="AC231" s="203" t="s">
        <v>1893</v>
      </c>
      <c r="AD231" s="199" t="str">
        <f ca="1">IFERROR(OFFSET(DistanceToCamp[Nearest Town],MATCH(CampList[[#This Row],[CP_Pcode]],DistanceToCamp[CP_Pcode],0)-1,0,1,1),"")</f>
        <v>Manton Town</v>
      </c>
      <c r="AE231" s="212">
        <f ca="1">IFERROR(OFFSET(DistanceToCamp[distance],MATCH(CampList[[#This Row],[CP_Pcode]],DistanceToCamp[CP_Pcode],0)-1,0,1,1),"")</f>
        <v>0.43878855438285824</v>
      </c>
      <c r="AF231" s="213">
        <f ca="1">IFERROR(INT(CampList[[#This Row],[Distance]]/5)+1,"")</f>
        <v>1</v>
      </c>
      <c r="AH231" s="605"/>
      <c r="AI231" s="605"/>
    </row>
    <row r="232" spans="2:35" s="185" customFormat="1" ht="19.2" customHeight="1" x14ac:dyDescent="0.3">
      <c r="B232" s="203" t="s">
        <v>1745</v>
      </c>
      <c r="C232" s="197" t="s">
        <v>506</v>
      </c>
      <c r="D232" s="197" t="s">
        <v>489</v>
      </c>
      <c r="E232" s="197" t="s">
        <v>494</v>
      </c>
      <c r="F232" s="197" t="s">
        <v>495</v>
      </c>
      <c r="G232" s="197" t="s">
        <v>297</v>
      </c>
      <c r="H232" s="197" t="s">
        <v>503</v>
      </c>
      <c r="I232" s="224" t="s">
        <v>755</v>
      </c>
      <c r="J232" s="197" t="s">
        <v>756</v>
      </c>
      <c r="K232" s="224" t="s">
        <v>757</v>
      </c>
      <c r="L232" s="224" t="s">
        <v>758</v>
      </c>
      <c r="M232" s="197" t="s">
        <v>759</v>
      </c>
      <c r="N232" s="197" t="s">
        <v>296</v>
      </c>
      <c r="O232" s="204">
        <v>97.404089999999997</v>
      </c>
      <c r="P232" s="204">
        <v>23.094290000000001</v>
      </c>
      <c r="Q232" s="205">
        <v>534.29999999999995</v>
      </c>
      <c r="R232" s="274">
        <v>40</v>
      </c>
      <c r="S232" s="274">
        <v>170</v>
      </c>
      <c r="T232" s="207">
        <f>IF(CampList[[#This Row],[HH]]&gt;0,CampList[[#This Row],[Total]]/CampList[[#This Row],[HH]],"NA")</f>
        <v>4.25</v>
      </c>
      <c r="U232" s="199" t="s">
        <v>464</v>
      </c>
      <c r="V232" s="199" t="s">
        <v>995</v>
      </c>
      <c r="W232" s="199" t="s">
        <v>507</v>
      </c>
      <c r="X232" s="199" t="s">
        <v>742</v>
      </c>
      <c r="Y232" s="676">
        <v>41000</v>
      </c>
      <c r="Z232" s="208" t="s">
        <v>424</v>
      </c>
      <c r="AA232" s="223" t="s">
        <v>774</v>
      </c>
      <c r="AB232" s="210">
        <v>43343</v>
      </c>
      <c r="AC232" s="203" t="s">
        <v>1894</v>
      </c>
      <c r="AD232" s="199" t="str">
        <f ca="1">IFERROR(OFFSET(DistanceToCamp[Nearest Town],MATCH(CampList[[#This Row],[CP_Pcode]],DistanceToCamp[CP_Pcode],0)-1,0,1,1),"")</f>
        <v>Namtu Town</v>
      </c>
      <c r="AE232" s="212">
        <f ca="1">IFERROR(OFFSET(DistanceToCamp[distance],MATCH(CampList[[#This Row],[CP_Pcode]],DistanceToCamp[CP_Pcode],0)-1,0,1,1),"")</f>
        <v>0.37588352961435612</v>
      </c>
      <c r="AF232" s="213">
        <f ca="1">IFERROR(INT(CampList[[#This Row],[Distance]]/5)+1,"")</f>
        <v>1</v>
      </c>
      <c r="AH232" s="605"/>
      <c r="AI232" s="605"/>
    </row>
    <row r="233" spans="2:35" s="185" customFormat="1" ht="15.75" customHeight="1" x14ac:dyDescent="0.3">
      <c r="B233" s="203" t="s">
        <v>1745</v>
      </c>
      <c r="C233" s="197" t="s">
        <v>506</v>
      </c>
      <c r="D233" s="197" t="s">
        <v>489</v>
      </c>
      <c r="E233" s="197" t="s">
        <v>230</v>
      </c>
      <c r="F233" s="197" t="s">
        <v>490</v>
      </c>
      <c r="G233" s="197" t="s">
        <v>146</v>
      </c>
      <c r="H233" s="197" t="s">
        <v>497</v>
      </c>
      <c r="I233" s="197" t="s">
        <v>669</v>
      </c>
      <c r="J233" s="197" t="s">
        <v>670</v>
      </c>
      <c r="K233" s="197" t="s">
        <v>671</v>
      </c>
      <c r="L233" s="197" t="s">
        <v>672</v>
      </c>
      <c r="M233" s="197" t="s">
        <v>367</v>
      </c>
      <c r="N233" s="197" t="s">
        <v>381</v>
      </c>
      <c r="O233" s="204">
        <v>97.926813999999993</v>
      </c>
      <c r="P233" s="204">
        <v>23.450914000000001</v>
      </c>
      <c r="Q233" s="205">
        <v>4336</v>
      </c>
      <c r="R233" s="274">
        <v>53</v>
      </c>
      <c r="S233" s="274">
        <v>256</v>
      </c>
      <c r="T233" s="207">
        <f>IF(CampList[[#This Row],[HH]]&gt;0,CampList[[#This Row],[Total]]/CampList[[#This Row],[HH]],"NA")</f>
        <v>4.8301886792452828</v>
      </c>
      <c r="U233" s="199" t="s">
        <v>464</v>
      </c>
      <c r="V233" s="199" t="s">
        <v>995</v>
      </c>
      <c r="W233" s="199" t="s">
        <v>507</v>
      </c>
      <c r="X233" s="199" t="s">
        <v>742</v>
      </c>
      <c r="Y233" s="676">
        <v>41244</v>
      </c>
      <c r="Z233" s="676" t="s">
        <v>424</v>
      </c>
      <c r="AA233" s="223" t="s">
        <v>774</v>
      </c>
      <c r="AB233" s="210">
        <v>43343</v>
      </c>
      <c r="AC233" s="203" t="s">
        <v>1895</v>
      </c>
      <c r="AD233" s="199" t="str">
        <f ca="1">IFERROR(OFFSET(DistanceToCamp[Nearest Town],MATCH(CampList[[#This Row],[CP_Pcode]],DistanceToCamp[CP_Pcode],0)-1,0,1,1),"")</f>
        <v>Kutkai Town</v>
      </c>
      <c r="AE233" s="212">
        <f ca="1">IFERROR(OFFSET(DistanceToCamp[distance],MATCH(CampList[[#This Row],[CP_Pcode]],DistanceToCamp[CP_Pcode],0)-1,0,1,1),"")</f>
        <v>1.9281430163271129</v>
      </c>
      <c r="AF233" s="213">
        <f ca="1">IFERROR(INT(CampList[[#This Row],[Distance]]/5)+1,"")</f>
        <v>1</v>
      </c>
      <c r="AH233" s="605"/>
      <c r="AI233" s="605"/>
    </row>
    <row r="234" spans="2:35" s="185" customFormat="1" ht="16.2" customHeight="1" x14ac:dyDescent="0.3">
      <c r="B234" s="203" t="s">
        <v>1745</v>
      </c>
      <c r="C234" s="198" t="s">
        <v>506</v>
      </c>
      <c r="D234" s="198" t="s">
        <v>489</v>
      </c>
      <c r="E234" s="198" t="s">
        <v>230</v>
      </c>
      <c r="F234" s="198" t="s">
        <v>490</v>
      </c>
      <c r="G234" s="198" t="s">
        <v>146</v>
      </c>
      <c r="H234" s="198" t="s">
        <v>497</v>
      </c>
      <c r="I234" s="198" t="s">
        <v>669</v>
      </c>
      <c r="J234" s="216" t="s">
        <v>670</v>
      </c>
      <c r="K234" s="198" t="s">
        <v>654</v>
      </c>
      <c r="L234" s="198" t="s">
        <v>673</v>
      </c>
      <c r="M234" s="198" t="s">
        <v>368</v>
      </c>
      <c r="N234" s="198" t="s">
        <v>382</v>
      </c>
      <c r="O234" s="206">
        <v>97.947360000000003</v>
      </c>
      <c r="P234" s="206">
        <v>23.460349999999998</v>
      </c>
      <c r="Q234" s="217">
        <v>4430</v>
      </c>
      <c r="R234" s="206">
        <v>28</v>
      </c>
      <c r="S234" s="217">
        <v>132</v>
      </c>
      <c r="T234" s="207">
        <f>IF(CampList[[#This Row],[HH]]&gt;0,CampList[[#This Row],[Total]]/CampList[[#This Row],[HH]],"NA")</f>
        <v>4.7142857142857144</v>
      </c>
      <c r="U234" s="183" t="s">
        <v>464</v>
      </c>
      <c r="V234" s="199" t="s">
        <v>995</v>
      </c>
      <c r="W234" s="183" t="s">
        <v>507</v>
      </c>
      <c r="X234" s="183" t="s">
        <v>742</v>
      </c>
      <c r="Y234" s="218">
        <v>41244</v>
      </c>
      <c r="Z234" s="217" t="s">
        <v>1048</v>
      </c>
      <c r="AA234" s="198" t="s">
        <v>774</v>
      </c>
      <c r="AB234" s="522">
        <v>43343</v>
      </c>
      <c r="AC234" s="219" t="s">
        <v>1792</v>
      </c>
      <c r="AD234" s="220" t="str">
        <f ca="1">IFERROR(OFFSET(DistanceToCamp[Nearest Town],MATCH(CampList[[#This Row],[CP_Pcode]],DistanceToCamp[CP_Pcode],0)-1,0,1,1),"")</f>
        <v>Kutkai Town</v>
      </c>
      <c r="AE234" s="212">
        <f ca="1">IFERROR(OFFSET(DistanceToCamp[distance],MATCH(CampList[[#This Row],[CP_Pcode]],DistanceToCamp[CP_Pcode],0)-1,0,1,1),"")</f>
        <v>0.42212558305526549</v>
      </c>
      <c r="AF234" s="221">
        <f ca="1">IFERROR(INT(CampList[[#This Row],[Distance]]/5)+1,"")</f>
        <v>1</v>
      </c>
      <c r="AH234" s="605"/>
      <c r="AI234" s="605"/>
    </row>
    <row r="235" spans="2:35" s="185" customFormat="1" ht="23.4" customHeight="1" x14ac:dyDescent="0.3">
      <c r="B235" s="203" t="s">
        <v>1745</v>
      </c>
      <c r="C235" s="197" t="s">
        <v>506</v>
      </c>
      <c r="D235" s="197" t="s">
        <v>489</v>
      </c>
      <c r="E235" s="197" t="s">
        <v>230</v>
      </c>
      <c r="F235" s="197" t="s">
        <v>490</v>
      </c>
      <c r="G235" s="197" t="s">
        <v>146</v>
      </c>
      <c r="H235" s="197" t="s">
        <v>497</v>
      </c>
      <c r="I235" s="224" t="s">
        <v>662</v>
      </c>
      <c r="J235" s="197" t="s">
        <v>1040</v>
      </c>
      <c r="K235" s="224" t="s">
        <v>662</v>
      </c>
      <c r="L235" s="238">
        <v>208747</v>
      </c>
      <c r="M235" s="197" t="s">
        <v>1617</v>
      </c>
      <c r="N235" s="197" t="s">
        <v>383</v>
      </c>
      <c r="O235" s="204">
        <v>97.793019999999999</v>
      </c>
      <c r="P235" s="204">
        <v>23.588920000000002</v>
      </c>
      <c r="Q235" s="205">
        <v>1012.5</v>
      </c>
      <c r="R235" s="274">
        <v>76</v>
      </c>
      <c r="S235" s="274">
        <v>338</v>
      </c>
      <c r="T235" s="207">
        <f>IF(CampList[[#This Row],[HH]]&gt;0,CampList[[#This Row],[Total]]/CampList[[#This Row],[HH]],"NA")</f>
        <v>4.4473684210526319</v>
      </c>
      <c r="U235" s="199" t="s">
        <v>464</v>
      </c>
      <c r="V235" s="199" t="s">
        <v>995</v>
      </c>
      <c r="W235" s="199" t="s">
        <v>507</v>
      </c>
      <c r="X235" s="199" t="s">
        <v>784</v>
      </c>
      <c r="Y235" s="676">
        <v>41275</v>
      </c>
      <c r="Z235" s="208" t="s">
        <v>424</v>
      </c>
      <c r="AA235" s="223" t="s">
        <v>774</v>
      </c>
      <c r="AB235" s="210">
        <v>43343</v>
      </c>
      <c r="AC235" s="203" t="s">
        <v>1896</v>
      </c>
      <c r="AD235" s="199" t="str">
        <f ca="1">IFERROR(OFFSET(DistanceToCamp[Nearest Town],MATCH(CampList[[#This Row],[CP_Pcode]],DistanceToCamp[CP_Pcode],0)-1,0,1,1),"")</f>
        <v>Kutkai Town</v>
      </c>
      <c r="AE235" s="212">
        <f ca="1">IFERROR(OFFSET(DistanceToCamp[distance],MATCH(CampList[[#This Row],[CP_Pcode]],DistanceToCamp[CP_Pcode],0)-1,0,1,1),"")</f>
        <v>21.050742639251741</v>
      </c>
      <c r="AF235" s="213">
        <f ca="1">IFERROR(INT(CampList[[#This Row],[Distance]]/5)+1,"")</f>
        <v>5</v>
      </c>
      <c r="AH235" s="605"/>
      <c r="AI235" s="605"/>
    </row>
    <row r="236" spans="2:35" s="185" customFormat="1" ht="15.75" customHeight="1" x14ac:dyDescent="0.3">
      <c r="B236" s="203" t="s">
        <v>1745</v>
      </c>
      <c r="C236" s="197" t="s">
        <v>506</v>
      </c>
      <c r="D236" s="197" t="s">
        <v>489</v>
      </c>
      <c r="E236" s="197" t="s">
        <v>230</v>
      </c>
      <c r="F236" s="197" t="s">
        <v>490</v>
      </c>
      <c r="G236" s="197" t="s">
        <v>146</v>
      </c>
      <c r="H236" s="197" t="s">
        <v>497</v>
      </c>
      <c r="I236" s="197" t="s">
        <v>706</v>
      </c>
      <c r="J236" s="197" t="s">
        <v>707</v>
      </c>
      <c r="K236" s="197" t="s">
        <v>708</v>
      </c>
      <c r="L236" s="197">
        <v>208557</v>
      </c>
      <c r="M236" s="197" t="s">
        <v>371</v>
      </c>
      <c r="N236" s="197" t="s">
        <v>385</v>
      </c>
      <c r="O236" s="204">
        <v>97.837040000000002</v>
      </c>
      <c r="P236" s="204">
        <v>23.38503</v>
      </c>
      <c r="Q236" s="205">
        <v>0</v>
      </c>
      <c r="R236" s="274">
        <v>204</v>
      </c>
      <c r="S236" s="274">
        <v>1023</v>
      </c>
      <c r="T236" s="207">
        <f>IF(CampList[[#This Row],[HH]]&gt;0,CampList[[#This Row],[Total]]/CampList[[#This Row],[HH]],"NA")</f>
        <v>5.0147058823529411</v>
      </c>
      <c r="U236" s="199" t="s">
        <v>464</v>
      </c>
      <c r="V236" s="199" t="s">
        <v>995</v>
      </c>
      <c r="W236" s="199" t="s">
        <v>507</v>
      </c>
      <c r="X236" s="199" t="s">
        <v>784</v>
      </c>
      <c r="Y236" s="676">
        <v>41244</v>
      </c>
      <c r="Z236" s="676" t="s">
        <v>424</v>
      </c>
      <c r="AA236" s="197" t="s">
        <v>774</v>
      </c>
      <c r="AB236" s="210">
        <v>43343</v>
      </c>
      <c r="AC236" s="211" t="s">
        <v>1897</v>
      </c>
      <c r="AD236" s="199" t="str">
        <f ca="1">IFERROR(OFFSET(DistanceToCamp[Nearest Town],MATCH(CampList[[#This Row],[CP_Pcode]],DistanceToCamp[CP_Pcode],0)-1,0,1,1),"")</f>
        <v>Kutkai Town</v>
      </c>
      <c r="AE236" s="212">
        <f ca="1">IFERROR(OFFSET(DistanceToCamp[distance],MATCH(CampList[[#This Row],[CP_Pcode]],DistanceToCamp[CP_Pcode],0)-1,0,1,1),"")</f>
        <v>13.632081902964599</v>
      </c>
      <c r="AF236" s="213">
        <f ca="1">IFERROR(INT(CampList[[#This Row],[Distance]]/5)+1,"")</f>
        <v>3</v>
      </c>
      <c r="AH236" s="605"/>
      <c r="AI236" s="605"/>
    </row>
    <row r="237" spans="2:35" s="185" customFormat="1" ht="15.75" customHeight="1" x14ac:dyDescent="0.3">
      <c r="B237" s="203" t="s">
        <v>1745</v>
      </c>
      <c r="C237" s="198" t="s">
        <v>506</v>
      </c>
      <c r="D237" s="198" t="s">
        <v>489</v>
      </c>
      <c r="E237" s="198" t="s">
        <v>494</v>
      </c>
      <c r="F237" s="198" t="s">
        <v>495</v>
      </c>
      <c r="G237" s="198" t="s">
        <v>166</v>
      </c>
      <c r="H237" s="198" t="s">
        <v>496</v>
      </c>
      <c r="I237" s="198" t="s">
        <v>742</v>
      </c>
      <c r="J237" s="216" t="s">
        <v>963</v>
      </c>
      <c r="K237" s="198" t="s">
        <v>656</v>
      </c>
      <c r="L237" s="198" t="s">
        <v>1103</v>
      </c>
      <c r="M237" s="198" t="s">
        <v>760</v>
      </c>
      <c r="N237" s="198" t="s">
        <v>761</v>
      </c>
      <c r="O237" s="206">
        <v>97.116680000000002</v>
      </c>
      <c r="P237" s="206">
        <v>23.24661</v>
      </c>
      <c r="Q237" s="217">
        <v>87.3</v>
      </c>
      <c r="R237" s="206">
        <v>29</v>
      </c>
      <c r="S237" s="217">
        <v>174</v>
      </c>
      <c r="T237" s="207">
        <f>IF(CampList[[#This Row],[HH]]&gt;0,CampList[[#This Row],[Total]]/CampList[[#This Row],[HH]],"NA")</f>
        <v>6</v>
      </c>
      <c r="U237" s="183" t="s">
        <v>464</v>
      </c>
      <c r="V237" s="199" t="s">
        <v>995</v>
      </c>
      <c r="W237" s="183" t="s">
        <v>507</v>
      </c>
      <c r="X237" s="183" t="s">
        <v>742</v>
      </c>
      <c r="Y237" s="218">
        <v>41030</v>
      </c>
      <c r="Z237" s="217" t="s">
        <v>1048</v>
      </c>
      <c r="AA237" s="198" t="s">
        <v>774</v>
      </c>
      <c r="AB237" s="522">
        <v>43343</v>
      </c>
      <c r="AC237" s="219" t="s">
        <v>1793</v>
      </c>
      <c r="AD237" s="220" t="str">
        <f ca="1">IFERROR(OFFSET(DistanceToCamp[Nearest Town],MATCH(CampList[[#This Row],[CP_Pcode]],DistanceToCamp[CP_Pcode],0)-1,0,1,1),"")</f>
        <v>Manton Town</v>
      </c>
      <c r="AE237" s="212">
        <f ca="1">IFERROR(OFFSET(DistanceToCamp[distance],MATCH(CampList[[#This Row],[CP_Pcode]],DistanceToCamp[CP_Pcode],0)-1,0,1,1),"")</f>
        <v>0.71762888500316424</v>
      </c>
      <c r="AF237" s="221">
        <f ca="1">IFERROR(INT(CampList[[#This Row],[Distance]]/5)+1,"")</f>
        <v>1</v>
      </c>
      <c r="AH237" s="605"/>
      <c r="AI237" s="605"/>
    </row>
    <row r="238" spans="2:35" s="185" customFormat="1" ht="15.75" customHeight="1" x14ac:dyDescent="0.3">
      <c r="B238" s="203" t="s">
        <v>1745</v>
      </c>
      <c r="C238" s="197" t="s">
        <v>506</v>
      </c>
      <c r="D238" s="197" t="s">
        <v>489</v>
      </c>
      <c r="E238" s="197" t="s">
        <v>230</v>
      </c>
      <c r="F238" s="197" t="s">
        <v>490</v>
      </c>
      <c r="G238" s="197" t="s">
        <v>230</v>
      </c>
      <c r="H238" s="197" t="s">
        <v>491</v>
      </c>
      <c r="I238" s="197" t="s">
        <v>899</v>
      </c>
      <c r="J238" s="197" t="s">
        <v>900</v>
      </c>
      <c r="K238" s="197" t="s">
        <v>901</v>
      </c>
      <c r="L238" s="224" t="s">
        <v>902</v>
      </c>
      <c r="M238" s="197" t="s">
        <v>903</v>
      </c>
      <c r="N238" s="197" t="s">
        <v>904</v>
      </c>
      <c r="O238" s="204">
        <v>97.909400000000005</v>
      </c>
      <c r="P238" s="204">
        <v>24.006319999999999</v>
      </c>
      <c r="Q238" s="217">
        <v>812.7</v>
      </c>
      <c r="R238" s="274">
        <v>41</v>
      </c>
      <c r="S238" s="274">
        <v>190</v>
      </c>
      <c r="T238" s="207">
        <f>IF(CampList[[#This Row],[HH]]&gt;0,CampList[[#This Row],[Total]]/CampList[[#This Row],[HH]],"NA")</f>
        <v>4.6341463414634143</v>
      </c>
      <c r="U238" s="199" t="s">
        <v>464</v>
      </c>
      <c r="V238" s="199" t="s">
        <v>995</v>
      </c>
      <c r="W238" s="199" t="s">
        <v>507</v>
      </c>
      <c r="X238" s="199" t="s">
        <v>742</v>
      </c>
      <c r="Y238" s="218">
        <v>41703</v>
      </c>
      <c r="Z238" s="209" t="s">
        <v>424</v>
      </c>
      <c r="AA238" s="197" t="s">
        <v>774</v>
      </c>
      <c r="AB238" s="210">
        <v>43343</v>
      </c>
      <c r="AC238" s="211" t="s">
        <v>1898</v>
      </c>
      <c r="AD238" s="199" t="str">
        <f ca="1">IFERROR(OFFSET(DistanceToCamp[Nearest Town],MATCH(CampList[[#This Row],[CP_Pcode]],DistanceToCamp[CP_Pcode],0)-1,0,1,1),"")</f>
        <v>Muse Town</v>
      </c>
      <c r="AE238" s="212">
        <f ca="1">IFERROR(OFFSET(DistanceToCamp[distance],MATCH(CampList[[#This Row],[CP_Pcode]],DistanceToCamp[CP_Pcode],0)-1,0,1,1),"")</f>
        <v>1.989668595899414</v>
      </c>
      <c r="AF238" s="213">
        <f ca="1">IFERROR(INT(CampList[[#This Row],[Distance]]/5)+1,"")</f>
        <v>1</v>
      </c>
      <c r="AH238" s="605"/>
      <c r="AI238" s="605"/>
    </row>
    <row r="239" spans="2:35" s="185" customFormat="1" ht="15.75" customHeight="1" x14ac:dyDescent="0.3">
      <c r="B239" s="203" t="s">
        <v>1745</v>
      </c>
      <c r="C239" s="197" t="s">
        <v>506</v>
      </c>
      <c r="D239" s="197" t="s">
        <v>489</v>
      </c>
      <c r="E239" s="197" t="s">
        <v>230</v>
      </c>
      <c r="F239" s="197" t="s">
        <v>490</v>
      </c>
      <c r="G239" s="197" t="s">
        <v>288</v>
      </c>
      <c r="H239" s="197" t="s">
        <v>502</v>
      </c>
      <c r="I239" s="197" t="s">
        <v>691</v>
      </c>
      <c r="J239" s="197" t="s">
        <v>692</v>
      </c>
      <c r="K239" s="197" t="s">
        <v>691</v>
      </c>
      <c r="L239" s="197">
        <v>208353</v>
      </c>
      <c r="M239" s="197" t="s">
        <v>905</v>
      </c>
      <c r="N239" s="197" t="s">
        <v>906</v>
      </c>
      <c r="O239" s="204">
        <v>97.700940000000003</v>
      </c>
      <c r="P239" s="204">
        <v>23.841646999999998</v>
      </c>
      <c r="Q239" s="217">
        <v>798</v>
      </c>
      <c r="R239" s="274">
        <v>38</v>
      </c>
      <c r="S239" s="274">
        <v>195</v>
      </c>
      <c r="T239" s="207">
        <f>IF(CampList[[#This Row],[HH]]&gt;0,CampList[[#This Row],[Total]]/CampList[[#This Row],[HH]],"NA")</f>
        <v>5.1315789473684212</v>
      </c>
      <c r="U239" s="199" t="s">
        <v>464</v>
      </c>
      <c r="V239" s="199" t="s">
        <v>995</v>
      </c>
      <c r="W239" s="199" t="s">
        <v>507</v>
      </c>
      <c r="X239" s="199" t="s">
        <v>742</v>
      </c>
      <c r="Y239" s="218">
        <v>41947</v>
      </c>
      <c r="Z239" s="209" t="s">
        <v>424</v>
      </c>
      <c r="AA239" s="197" t="s">
        <v>774</v>
      </c>
      <c r="AB239" s="210">
        <v>43343</v>
      </c>
      <c r="AC239" s="211" t="s">
        <v>1899</v>
      </c>
      <c r="AD239" s="199" t="str">
        <f ca="1">IFERROR(OFFSET(DistanceToCamp[Nearest Town],MATCH(CampList[[#This Row],[CP_Pcode]],DistanceToCamp[CP_Pcode],0)-1,0,1,1),"")</f>
        <v>Namhkan Town</v>
      </c>
      <c r="AE239" s="212">
        <f ca="1">IFERROR(OFFSET(DistanceToCamp[distance],MATCH(CampList[[#This Row],[CP_Pcode]],DistanceToCamp[CP_Pcode],0)-1,0,1,1),"")</f>
        <v>2.0141034419413328</v>
      </c>
      <c r="AF239" s="213">
        <f ca="1">IFERROR(INT(CampList[[#This Row],[Distance]]/5)+1,"")</f>
        <v>1</v>
      </c>
      <c r="AH239" s="605"/>
      <c r="AI239" s="605"/>
    </row>
    <row r="240" spans="2:35" s="185" customFormat="1" ht="15.75" customHeight="1" x14ac:dyDescent="0.3">
      <c r="B240" s="203" t="s">
        <v>1745</v>
      </c>
      <c r="C240" s="197" t="s">
        <v>506</v>
      </c>
      <c r="D240" s="197" t="s">
        <v>489</v>
      </c>
      <c r="E240" s="197" t="s">
        <v>230</v>
      </c>
      <c r="F240" s="197" t="s">
        <v>490</v>
      </c>
      <c r="G240" s="197" t="s">
        <v>288</v>
      </c>
      <c r="H240" s="197" t="s">
        <v>502</v>
      </c>
      <c r="I240" s="197" t="s">
        <v>908</v>
      </c>
      <c r="J240" s="197" t="s">
        <v>907</v>
      </c>
      <c r="K240" s="197" t="s">
        <v>909</v>
      </c>
      <c r="L240" s="224">
        <v>208338</v>
      </c>
      <c r="M240" s="197" t="s">
        <v>917</v>
      </c>
      <c r="N240" s="197" t="s">
        <v>910</v>
      </c>
      <c r="O240" s="204">
        <v>97.709879999999998</v>
      </c>
      <c r="P240" s="204">
        <v>23.838190000000001</v>
      </c>
      <c r="Q240" s="217">
        <v>829.8</v>
      </c>
      <c r="R240" s="274">
        <v>115</v>
      </c>
      <c r="S240" s="274">
        <v>547</v>
      </c>
      <c r="T240" s="207">
        <f>IF(CampList[[#This Row],[HH]]&gt;0,CampList[[#This Row],[Total]]/CampList[[#This Row],[HH]],"NA")</f>
        <v>4.7565217391304344</v>
      </c>
      <c r="U240" s="199" t="s">
        <v>464</v>
      </c>
      <c r="V240" s="199" t="s">
        <v>995</v>
      </c>
      <c r="W240" s="199" t="s">
        <v>507</v>
      </c>
      <c r="X240" s="199" t="s">
        <v>742</v>
      </c>
      <c r="Y240" s="218">
        <v>41747</v>
      </c>
      <c r="Z240" s="209" t="s">
        <v>424</v>
      </c>
      <c r="AA240" s="197" t="s">
        <v>774</v>
      </c>
      <c r="AB240" s="210">
        <v>43343</v>
      </c>
      <c r="AC240" s="211" t="s">
        <v>1900</v>
      </c>
      <c r="AD240" s="199" t="str">
        <f ca="1">IFERROR(OFFSET(DistanceToCamp[Nearest Town],MATCH(CampList[[#This Row],[CP_Pcode]],DistanceToCamp[CP_Pcode],0)-1,0,1,1),"")</f>
        <v>Namhkan Town</v>
      </c>
      <c r="AE240" s="212">
        <f ca="1">IFERROR(OFFSET(DistanceToCamp[distance],MATCH(CampList[[#This Row],[CP_Pcode]],DistanceToCamp[CP_Pcode],0)-1,0,1,1),"")</f>
        <v>2.8590638493982405</v>
      </c>
      <c r="AF240" s="213">
        <f ca="1">IFERROR(INT(CampList[[#This Row],[Distance]]/5)+1,"")</f>
        <v>1</v>
      </c>
      <c r="AH240" s="605"/>
      <c r="AI240" s="605"/>
    </row>
    <row r="241" spans="2:35" s="185" customFormat="1" ht="15.75" customHeight="1" x14ac:dyDescent="0.3">
      <c r="B241" s="203" t="s">
        <v>1745</v>
      </c>
      <c r="C241" s="198" t="s">
        <v>506</v>
      </c>
      <c r="D241" s="198" t="s">
        <v>489</v>
      </c>
      <c r="E241" s="198" t="s">
        <v>230</v>
      </c>
      <c r="F241" s="198" t="s">
        <v>490</v>
      </c>
      <c r="G241" s="198" t="s">
        <v>230</v>
      </c>
      <c r="H241" s="198" t="s">
        <v>491</v>
      </c>
      <c r="I241" s="198" t="s">
        <v>899</v>
      </c>
      <c r="J241" s="216" t="s">
        <v>900</v>
      </c>
      <c r="K241" s="198" t="s">
        <v>901</v>
      </c>
      <c r="L241" s="198" t="s">
        <v>902</v>
      </c>
      <c r="M241" s="198" t="s">
        <v>913</v>
      </c>
      <c r="N241" s="198" t="s">
        <v>914</v>
      </c>
      <c r="O241" s="206">
        <v>97.911647000000002</v>
      </c>
      <c r="P241" s="206">
        <v>24.006789000000001</v>
      </c>
      <c r="Q241" s="217">
        <v>814</v>
      </c>
      <c r="R241" s="206">
        <v>18</v>
      </c>
      <c r="S241" s="217">
        <v>86</v>
      </c>
      <c r="T241" s="207">
        <f>IF(CampList[[#This Row],[HH]]&gt;0,CampList[[#This Row],[Total]]/CampList[[#This Row],[HH]],"NA")</f>
        <v>4.7777777777777777</v>
      </c>
      <c r="U241" s="183" t="s">
        <v>464</v>
      </c>
      <c r="V241" s="199" t="s">
        <v>995</v>
      </c>
      <c r="W241" s="183" t="s">
        <v>507</v>
      </c>
      <c r="X241" s="183" t="s">
        <v>742</v>
      </c>
      <c r="Y241" s="218">
        <v>41734</v>
      </c>
      <c r="Z241" s="217" t="s">
        <v>1048</v>
      </c>
      <c r="AA241" s="198" t="s">
        <v>774</v>
      </c>
      <c r="AB241" s="522">
        <v>43343</v>
      </c>
      <c r="AC241" s="219" t="s">
        <v>1794</v>
      </c>
      <c r="AD241" s="220" t="str">
        <f ca="1">IFERROR(OFFSET(DistanceToCamp[Nearest Town],MATCH(CampList[[#This Row],[CP_Pcode]],DistanceToCamp[CP_Pcode],0)-1,0,1,1),"")</f>
        <v>Muse Town</v>
      </c>
      <c r="AE241" s="212">
        <f ca="1">IFERROR(OFFSET(DistanceToCamp[distance],MATCH(CampList[[#This Row],[CP_Pcode]],DistanceToCamp[CP_Pcode],0)-1,0,1,1),"")</f>
        <v>2.1362355825722199</v>
      </c>
      <c r="AF241" s="221">
        <f ca="1">IFERROR(INT(CampList[[#This Row],[Distance]]/5)+1,"")</f>
        <v>1</v>
      </c>
      <c r="AH241" s="605"/>
      <c r="AI241" s="605"/>
    </row>
    <row r="242" spans="2:35" s="185" customFormat="1" ht="15.75" hidden="1" customHeight="1" x14ac:dyDescent="0.3">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4"/>
      <c r="S242" s="285"/>
      <c r="T242" s="207" t="str">
        <f>IF(CampList[[#This Row],[HH]]&gt;0,CampList[[#This Row],[Total]]/CampList[[#This Row],[HH]],"NA")</f>
        <v>NA</v>
      </c>
      <c r="U242" s="199" t="s">
        <v>466</v>
      </c>
      <c r="V242" s="199" t="s">
        <v>995</v>
      </c>
      <c r="W242" s="199" t="s">
        <v>507</v>
      </c>
      <c r="X242" s="199"/>
      <c r="Y242" s="218"/>
      <c r="Z242" s="209"/>
      <c r="AA242" s="223" t="s">
        <v>774</v>
      </c>
      <c r="AB242" s="210">
        <v>41701</v>
      </c>
      <c r="AC242" s="203" t="s">
        <v>870</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605"/>
      <c r="AI242" s="605"/>
    </row>
    <row r="243" spans="2:35" s="185" customFormat="1" ht="15.75" customHeight="1" x14ac:dyDescent="0.3">
      <c r="B243" s="203" t="s">
        <v>1745</v>
      </c>
      <c r="C243" s="198" t="s">
        <v>506</v>
      </c>
      <c r="D243" s="198" t="s">
        <v>489</v>
      </c>
      <c r="E243" s="198" t="s">
        <v>230</v>
      </c>
      <c r="F243" s="198" t="s">
        <v>490</v>
      </c>
      <c r="G243" s="198" t="s">
        <v>146</v>
      </c>
      <c r="H243" s="198" t="s">
        <v>497</v>
      </c>
      <c r="I243" s="198" t="s">
        <v>725</v>
      </c>
      <c r="J243" s="216" t="s">
        <v>726</v>
      </c>
      <c r="K243" s="198" t="s">
        <v>727</v>
      </c>
      <c r="L243" s="198">
        <v>219842</v>
      </c>
      <c r="M243" s="198" t="s">
        <v>943</v>
      </c>
      <c r="N243" s="198" t="s">
        <v>942</v>
      </c>
      <c r="O243" s="206">
        <v>98.248999999999995</v>
      </c>
      <c r="P243" s="206">
        <v>23.463000000000001</v>
      </c>
      <c r="Q243" s="217"/>
      <c r="R243" s="206">
        <v>22</v>
      </c>
      <c r="S243" s="217">
        <v>95</v>
      </c>
      <c r="T243" s="207">
        <f>IF(CampList[[#This Row],[HH]]&gt;0,CampList[[#This Row],[Total]]/CampList[[#This Row],[HH]],"NA")</f>
        <v>4.3181818181818183</v>
      </c>
      <c r="U243" s="183" t="s">
        <v>464</v>
      </c>
      <c r="V243" s="199" t="s">
        <v>995</v>
      </c>
      <c r="W243" s="183" t="s">
        <v>507</v>
      </c>
      <c r="X243" s="183" t="s">
        <v>784</v>
      </c>
      <c r="Y243" s="218">
        <v>40787</v>
      </c>
      <c r="Z243" s="217" t="s">
        <v>1048</v>
      </c>
      <c r="AA243" s="198" t="s">
        <v>774</v>
      </c>
      <c r="AB243" s="522">
        <v>43343</v>
      </c>
      <c r="AC243" s="219" t="s">
        <v>1795</v>
      </c>
      <c r="AD243" s="199"/>
      <c r="AE243" s="212" t="str">
        <f ca="1">IFERROR(OFFSET(DistanceToCamp[distance],MATCH(CampList[[#This Row],[CP_Pcode]],DistanceToCamp[CP_Pcode],0)-1,0,1,1),"")</f>
        <v/>
      </c>
      <c r="AF243" s="221" t="str">
        <f ca="1">IFERROR(INT(CampList[[#This Row],[Distance]]/5)+1,"")</f>
        <v/>
      </c>
      <c r="AH243" s="605"/>
      <c r="AI243" s="605"/>
    </row>
    <row r="244" spans="2:35" s="185" customFormat="1" ht="15.75" customHeight="1" x14ac:dyDescent="0.3">
      <c r="B244" s="203" t="s">
        <v>1745</v>
      </c>
      <c r="C244" s="197" t="s">
        <v>506</v>
      </c>
      <c r="D244" s="197" t="s">
        <v>489</v>
      </c>
      <c r="E244" s="197" t="s">
        <v>717</v>
      </c>
      <c r="F244" s="197" t="s">
        <v>718</v>
      </c>
      <c r="G244" s="197" t="s">
        <v>719</v>
      </c>
      <c r="H244" s="197" t="s">
        <v>720</v>
      </c>
      <c r="I244" s="197" t="s">
        <v>1060</v>
      </c>
      <c r="J244" s="197" t="s">
        <v>1061</v>
      </c>
      <c r="K244" s="197" t="s">
        <v>1060</v>
      </c>
      <c r="L244" s="197">
        <v>206352</v>
      </c>
      <c r="M244" s="197" t="s">
        <v>1060</v>
      </c>
      <c r="N244" s="197" t="s">
        <v>1044</v>
      </c>
      <c r="O244" s="234">
        <v>98.218626999999998</v>
      </c>
      <c r="P244" s="234">
        <v>23.354268999999999</v>
      </c>
      <c r="Q244" s="217"/>
      <c r="R244" s="274">
        <v>32</v>
      </c>
      <c r="S244" s="274">
        <v>170</v>
      </c>
      <c r="T244" s="207">
        <f>IF(CampList[[#This Row],[HH]]&gt;0,CampList[[#This Row],[Total]]/CampList[[#This Row],[HH]],"NA")</f>
        <v>5.3125</v>
      </c>
      <c r="U244" s="199" t="s">
        <v>464</v>
      </c>
      <c r="V244" s="199" t="s">
        <v>995</v>
      </c>
      <c r="W244" s="199" t="s">
        <v>507</v>
      </c>
      <c r="X244" s="199" t="s">
        <v>784</v>
      </c>
      <c r="Y244" s="218">
        <v>42036</v>
      </c>
      <c r="Z244" s="209" t="s">
        <v>424</v>
      </c>
      <c r="AA244" s="197" t="s">
        <v>774</v>
      </c>
      <c r="AB244" s="210">
        <v>43343</v>
      </c>
      <c r="AC244" s="211" t="s">
        <v>1901</v>
      </c>
      <c r="AD244" s="199"/>
      <c r="AE244" s="212" t="str">
        <f ca="1">IFERROR(OFFSET(DistanceToCamp[distance],MATCH(CampList[[#This Row],[CP_Pcode]],DistanceToCamp[CP_Pcode],0)-1,0,1,1),"")</f>
        <v/>
      </c>
      <c r="AF244" s="213" t="str">
        <f ca="1">IFERROR(INT(CampList[[#This Row],[Distance]]/5)+1,"")</f>
        <v/>
      </c>
      <c r="AH244" s="605"/>
      <c r="AI244" s="605"/>
    </row>
    <row r="245" spans="2:35" s="185" customFormat="1" ht="15.75" hidden="1" customHeight="1" x14ac:dyDescent="0.3">
      <c r="B245" s="203" t="s">
        <v>775</v>
      </c>
      <c r="C245" s="197" t="s">
        <v>506</v>
      </c>
      <c r="D245" s="197" t="s">
        <v>489</v>
      </c>
      <c r="E245" s="197" t="s">
        <v>230</v>
      </c>
      <c r="F245" s="197" t="s">
        <v>490</v>
      </c>
      <c r="G245" s="197" t="s">
        <v>230</v>
      </c>
      <c r="H245" s="197" t="s">
        <v>491</v>
      </c>
      <c r="I245" s="197" t="s">
        <v>235</v>
      </c>
      <c r="J245" s="197" t="s">
        <v>962</v>
      </c>
      <c r="K245" s="197" t="s">
        <v>235</v>
      </c>
      <c r="L245" s="197"/>
      <c r="M245" s="197" t="s">
        <v>235</v>
      </c>
      <c r="N245" s="197" t="s">
        <v>234</v>
      </c>
      <c r="O245" s="204">
        <v>98.054946000000001</v>
      </c>
      <c r="P245" s="204">
        <v>24.008452999999999</v>
      </c>
      <c r="Q245" s="217">
        <v>3396</v>
      </c>
      <c r="R245" s="182"/>
      <c r="S245" s="292"/>
      <c r="T245" s="207" t="str">
        <f>IF(CampList[[#This Row],[HH]]&gt;0,CampList[[#This Row],[Total]]/CampList[[#This Row],[HH]],"NA")</f>
        <v>NA</v>
      </c>
      <c r="U245" s="199" t="s">
        <v>466</v>
      </c>
      <c r="V245" s="199" t="s">
        <v>995</v>
      </c>
      <c r="W245" s="199" t="s">
        <v>12</v>
      </c>
      <c r="X245" s="199" t="s">
        <v>784</v>
      </c>
      <c r="Y245" s="218"/>
      <c r="Z245" s="209"/>
      <c r="AA245" s="197" t="s">
        <v>522</v>
      </c>
      <c r="AB245" s="210">
        <v>42831</v>
      </c>
      <c r="AC245" s="203" t="s">
        <v>1228</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605"/>
      <c r="AI245" s="605"/>
    </row>
    <row r="246" spans="2:35" s="185" customFormat="1" ht="15.75" customHeight="1" x14ac:dyDescent="0.3">
      <c r="B246" s="203" t="s">
        <v>1745</v>
      </c>
      <c r="C246" s="197" t="s">
        <v>506</v>
      </c>
      <c r="D246" s="197" t="s">
        <v>489</v>
      </c>
      <c r="E246" s="197" t="s">
        <v>494</v>
      </c>
      <c r="F246" s="197" t="s">
        <v>495</v>
      </c>
      <c r="G246" s="197" t="s">
        <v>297</v>
      </c>
      <c r="H246" s="197" t="s">
        <v>503</v>
      </c>
      <c r="I246" s="197" t="s">
        <v>909</v>
      </c>
      <c r="J246" s="216" t="s">
        <v>1138</v>
      </c>
      <c r="K246" s="197" t="s">
        <v>1139</v>
      </c>
      <c r="L246" s="216">
        <v>210455</v>
      </c>
      <c r="M246" s="197" t="s">
        <v>1137</v>
      </c>
      <c r="N246" s="198" t="s">
        <v>1122</v>
      </c>
      <c r="O246" s="204">
        <v>97.358999999999995</v>
      </c>
      <c r="P246" s="204">
        <v>22.765999999999998</v>
      </c>
      <c r="Q246" s="217"/>
      <c r="R246" s="310">
        <v>17</v>
      </c>
      <c r="S246" s="311">
        <v>83</v>
      </c>
      <c r="T246" s="207">
        <f>IF(CampList[[#This Row],[HH]]&gt;0,CampList[[#This Row],[Total]]/CampList[[#This Row],[HH]],"NA")</f>
        <v>4.882352941176471</v>
      </c>
      <c r="U246" s="183" t="s">
        <v>464</v>
      </c>
      <c r="V246" s="199" t="s">
        <v>995</v>
      </c>
      <c r="W246" s="199" t="s">
        <v>1384</v>
      </c>
      <c r="X246" s="199" t="s">
        <v>784</v>
      </c>
      <c r="Y246" s="218">
        <v>42370</v>
      </c>
      <c r="Z246" s="676" t="s">
        <v>1317</v>
      </c>
      <c r="AA246" s="198" t="s">
        <v>774</v>
      </c>
      <c r="AB246" s="210">
        <v>43312</v>
      </c>
      <c r="AC246" s="203" t="s">
        <v>1764</v>
      </c>
      <c r="AD246" s="199" t="str">
        <f ca="1">IFERROR(OFFSET(DistanceToCamp[Nearest Town],MATCH(CampList[[#This Row],[CP_Pcode]],DistanceToCamp[CP_Pcode],0)-1,0,1,1),"")</f>
        <v/>
      </c>
      <c r="AE246" s="212" t="str">
        <f ca="1">IFERROR(OFFSET(DistanceToCamp[distance],MATCH(CampList[[#This Row],[CP_Pcode]],DistanceToCamp[CP_Pcode],0)-1,0,1,1),"")</f>
        <v/>
      </c>
      <c r="AF246" s="221" t="str">
        <f ca="1">IFERROR(INT(CampList[[#This Row],[Distance]]/5)+1,"")</f>
        <v/>
      </c>
      <c r="AH246" s="605"/>
      <c r="AI246" s="605"/>
    </row>
    <row r="247" spans="2:35" s="185" customFormat="1" ht="15.75" customHeight="1" x14ac:dyDescent="0.3">
      <c r="B247" s="203" t="s">
        <v>1745</v>
      </c>
      <c r="C247" s="197" t="s">
        <v>506</v>
      </c>
      <c r="D247" s="197" t="s">
        <v>489</v>
      </c>
      <c r="E247" s="197" t="s">
        <v>230</v>
      </c>
      <c r="F247" s="197" t="s">
        <v>490</v>
      </c>
      <c r="G247" s="197" t="s">
        <v>288</v>
      </c>
      <c r="H247" s="197" t="s">
        <v>502</v>
      </c>
      <c r="I247" s="197" t="s">
        <v>1141</v>
      </c>
      <c r="J247" s="216" t="s">
        <v>1142</v>
      </c>
      <c r="K247" s="197" t="s">
        <v>1141</v>
      </c>
      <c r="L247" s="216">
        <v>208469</v>
      </c>
      <c r="M247" s="197" t="s">
        <v>1130</v>
      </c>
      <c r="N247" s="198" t="s">
        <v>1125</v>
      </c>
      <c r="O247" s="204">
        <v>97.506</v>
      </c>
      <c r="P247" s="204">
        <v>23.611999999999998</v>
      </c>
      <c r="Q247" s="217"/>
      <c r="R247" s="310">
        <v>62</v>
      </c>
      <c r="S247" s="311">
        <v>328</v>
      </c>
      <c r="T247" s="207">
        <f>IF(CampList[[#This Row],[HH]]&gt;0,CampList[[#This Row],[Total]]/CampList[[#This Row],[HH]],"NA")</f>
        <v>5.290322580645161</v>
      </c>
      <c r="U247" s="183" t="s">
        <v>464</v>
      </c>
      <c r="V247" s="199" t="s">
        <v>995</v>
      </c>
      <c r="W247" s="199" t="s">
        <v>1384</v>
      </c>
      <c r="X247" s="199" t="s">
        <v>784</v>
      </c>
      <c r="Y247" s="218">
        <v>42430</v>
      </c>
      <c r="Z247" s="676" t="s">
        <v>1317</v>
      </c>
      <c r="AA247" s="198" t="s">
        <v>774</v>
      </c>
      <c r="AB247" s="210">
        <v>43312</v>
      </c>
      <c r="AC247" s="203" t="s">
        <v>1765</v>
      </c>
      <c r="AD247" s="199" t="str">
        <f ca="1">IFERROR(OFFSET(DistanceToCamp[Nearest Town],MATCH(CampList[[#This Row],[CP_Pcode]],DistanceToCamp[CP_Pcode],0)-1,0,1,1),"")</f>
        <v/>
      </c>
      <c r="AE247" s="212" t="str">
        <f ca="1">IFERROR(OFFSET(DistanceToCamp[distance],MATCH(CampList[[#This Row],[CP_Pcode]],DistanceToCamp[CP_Pcode],0)-1,0,1,1),"")</f>
        <v/>
      </c>
      <c r="AF247" s="221" t="str">
        <f ca="1">IFERROR(INT(CampList[[#This Row],[Distance]]/5)+1,"")</f>
        <v/>
      </c>
      <c r="AH247" s="605"/>
      <c r="AI247" s="605"/>
    </row>
    <row r="248" spans="2:35" s="185" customFormat="1" ht="15.75" customHeight="1" x14ac:dyDescent="0.3">
      <c r="B248" s="203" t="s">
        <v>1745</v>
      </c>
      <c r="C248" s="197" t="s">
        <v>506</v>
      </c>
      <c r="D248" s="197" t="s">
        <v>489</v>
      </c>
      <c r="E248" s="197" t="s">
        <v>230</v>
      </c>
      <c r="F248" s="197" t="s">
        <v>490</v>
      </c>
      <c r="G248" s="197" t="s">
        <v>146</v>
      </c>
      <c r="H248" s="197" t="s">
        <v>497</v>
      </c>
      <c r="I248" s="224" t="s">
        <v>663</v>
      </c>
      <c r="J248" s="197" t="s">
        <v>1041</v>
      </c>
      <c r="K248" s="224" t="s">
        <v>1117</v>
      </c>
      <c r="L248" s="236"/>
      <c r="M248" s="197" t="s">
        <v>1573</v>
      </c>
      <c r="N248" s="198" t="s">
        <v>1126</v>
      </c>
      <c r="O248" s="204">
        <v>97.810101000000003</v>
      </c>
      <c r="P248" s="204">
        <v>23.682887999999998</v>
      </c>
      <c r="Q248" s="217"/>
      <c r="R248" s="310">
        <v>41</v>
      </c>
      <c r="S248" s="311">
        <v>137</v>
      </c>
      <c r="T248" s="207">
        <f>IF(CampList[[#This Row],[HH]]&gt;0,CampList[[#This Row],[Total]]/CampList[[#This Row],[HH]],"NA")</f>
        <v>3.3414634146341462</v>
      </c>
      <c r="U248" s="183" t="s">
        <v>464</v>
      </c>
      <c r="V248" s="199" t="s">
        <v>995</v>
      </c>
      <c r="W248" s="199" t="s">
        <v>507</v>
      </c>
      <c r="X248" s="199" t="s">
        <v>742</v>
      </c>
      <c r="Y248" s="218">
        <v>42401</v>
      </c>
      <c r="Z248" s="209" t="s">
        <v>1048</v>
      </c>
      <c r="AA248" s="198" t="s">
        <v>774</v>
      </c>
      <c r="AB248" s="522">
        <v>43343</v>
      </c>
      <c r="AC248" s="203" t="s">
        <v>1796</v>
      </c>
      <c r="AD248" s="199" t="str">
        <f ca="1">IFERROR(OFFSET(DistanceToCamp[Nearest Town],MATCH(CampList[[#This Row],[CP_Pcode]],DistanceToCamp[CP_Pcode],0)-1,0,1,1),"")</f>
        <v/>
      </c>
      <c r="AE248" s="212" t="str">
        <f ca="1">IFERROR(OFFSET(DistanceToCamp[distance],MATCH(CampList[[#This Row],[CP_Pcode]],DistanceToCamp[CP_Pcode],0)-1,0,1,1),"")</f>
        <v/>
      </c>
      <c r="AF248" s="221" t="str">
        <f ca="1">IFERROR(INT(CampList[[#This Row],[Distance]]/5)+1,"")</f>
        <v/>
      </c>
      <c r="AH248" s="605"/>
      <c r="AI248" s="605"/>
    </row>
    <row r="249" spans="2:35" s="185" customFormat="1" ht="15.75" hidden="1" customHeight="1" x14ac:dyDescent="0.3">
      <c r="B249" s="203" t="s">
        <v>775</v>
      </c>
      <c r="C249" s="197" t="s">
        <v>506</v>
      </c>
      <c r="D249" s="197" t="s">
        <v>489</v>
      </c>
      <c r="E249" s="197" t="s">
        <v>230</v>
      </c>
      <c r="F249" s="197" t="s">
        <v>495</v>
      </c>
      <c r="G249" s="197" t="s">
        <v>230</v>
      </c>
      <c r="H249" s="197" t="s">
        <v>496</v>
      </c>
      <c r="I249" s="197" t="s">
        <v>921</v>
      </c>
      <c r="J249" s="197" t="s">
        <v>922</v>
      </c>
      <c r="K249" s="197" t="s">
        <v>923</v>
      </c>
      <c r="L249" s="197"/>
      <c r="M249" s="197" t="s">
        <v>169</v>
      </c>
      <c r="N249" s="197" t="s">
        <v>168</v>
      </c>
      <c r="O249" s="204">
        <v>98.116817999999995</v>
      </c>
      <c r="P249" s="204">
        <v>23.917631</v>
      </c>
      <c r="Q249" s="217"/>
      <c r="R249" s="284"/>
      <c r="S249" s="285"/>
      <c r="T249" s="207" t="str">
        <f>IF(CampList[[#This Row],[HH]]&gt;0,CampList[[#This Row],[Total]]/CampList[[#This Row],[HH]],"NA")</f>
        <v>NA</v>
      </c>
      <c r="U249" s="199" t="s">
        <v>464</v>
      </c>
      <c r="V249" s="199" t="s">
        <v>995</v>
      </c>
      <c r="W249" s="199" t="s">
        <v>12</v>
      </c>
      <c r="X249" s="199" t="s">
        <v>784</v>
      </c>
      <c r="Y249" s="218"/>
      <c r="Z249" s="209"/>
      <c r="AA249" s="223" t="s">
        <v>774</v>
      </c>
      <c r="AB249" s="210">
        <v>42831</v>
      </c>
      <c r="AC249" s="203" t="s">
        <v>1227</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605"/>
      <c r="AI249" s="605"/>
    </row>
    <row r="250" spans="2:35" s="185" customFormat="1" ht="15.75" hidden="1" customHeight="1" x14ac:dyDescent="0.3">
      <c r="B250" s="203" t="s">
        <v>775</v>
      </c>
      <c r="C250" s="197" t="s">
        <v>506</v>
      </c>
      <c r="D250" s="197" t="s">
        <v>489</v>
      </c>
      <c r="E250" s="197" t="s">
        <v>230</v>
      </c>
      <c r="F250" s="197" t="s">
        <v>495</v>
      </c>
      <c r="G250" s="197" t="s">
        <v>230</v>
      </c>
      <c r="H250" s="197" t="s">
        <v>496</v>
      </c>
      <c r="I250" s="197" t="s">
        <v>918</v>
      </c>
      <c r="J250" s="197" t="s">
        <v>919</v>
      </c>
      <c r="K250" s="197" t="s">
        <v>920</v>
      </c>
      <c r="L250" s="197">
        <v>208167</v>
      </c>
      <c r="M250" s="197" t="s">
        <v>171</v>
      </c>
      <c r="N250" s="197" t="s">
        <v>170</v>
      </c>
      <c r="O250" s="204">
        <v>98.129380999999995</v>
      </c>
      <c r="P250" s="204">
        <v>23.978088</v>
      </c>
      <c r="Q250" s="217"/>
      <c r="R250" s="284"/>
      <c r="S250" s="285"/>
      <c r="T250" s="207" t="str">
        <f>IF(CampList[[#This Row],[HH]]&gt;0,CampList[[#This Row],[Total]]/CampList[[#This Row],[HH]],"NA")</f>
        <v>NA</v>
      </c>
      <c r="U250" s="199" t="s">
        <v>464</v>
      </c>
      <c r="V250" s="199" t="s">
        <v>995</v>
      </c>
      <c r="W250" s="199" t="s">
        <v>12</v>
      </c>
      <c r="X250" s="199" t="s">
        <v>784</v>
      </c>
      <c r="Y250" s="218"/>
      <c r="Z250" s="209"/>
      <c r="AA250" s="223" t="s">
        <v>774</v>
      </c>
      <c r="AB250" s="210">
        <v>42831</v>
      </c>
      <c r="AC250" s="203" t="s">
        <v>1227</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605"/>
      <c r="AI250" s="605"/>
    </row>
    <row r="251" spans="2:35" s="185" customFormat="1" ht="15.75" hidden="1" customHeight="1" x14ac:dyDescent="0.3">
      <c r="B251" s="203" t="s">
        <v>775</v>
      </c>
      <c r="C251" s="197" t="s">
        <v>506</v>
      </c>
      <c r="D251" s="197" t="s">
        <v>489</v>
      </c>
      <c r="E251" s="197" t="s">
        <v>230</v>
      </c>
      <c r="F251" s="197" t="s">
        <v>490</v>
      </c>
      <c r="G251" s="197" t="s">
        <v>230</v>
      </c>
      <c r="H251" s="197" t="s">
        <v>491</v>
      </c>
      <c r="I251" s="224" t="s">
        <v>753</v>
      </c>
      <c r="J251" s="197" t="s">
        <v>1042</v>
      </c>
      <c r="K251" s="224" t="s">
        <v>754</v>
      </c>
      <c r="L251" s="224"/>
      <c r="M251" s="197" t="s">
        <v>233</v>
      </c>
      <c r="N251" s="197" t="s">
        <v>232</v>
      </c>
      <c r="O251" s="204">
        <v>98.320651999999995</v>
      </c>
      <c r="P251" s="204">
        <v>24.101320999999999</v>
      </c>
      <c r="Q251" s="205">
        <v>2979</v>
      </c>
      <c r="R251" s="284"/>
      <c r="S251" s="285"/>
      <c r="T251" s="207" t="str">
        <f>IF(CampList[[#This Row],[HH]]&gt;0,CampList[[#This Row],[Total]]/CampList[[#This Row],[HH]],"NA")</f>
        <v>NA</v>
      </c>
      <c r="U251" s="199" t="s">
        <v>466</v>
      </c>
      <c r="V251" s="199" t="s">
        <v>995</v>
      </c>
      <c r="W251" s="199" t="s">
        <v>507</v>
      </c>
      <c r="X251" s="199" t="s">
        <v>742</v>
      </c>
      <c r="Y251" s="676">
        <v>41091</v>
      </c>
      <c r="Z251" s="676" t="s">
        <v>424</v>
      </c>
      <c r="AA251" s="223" t="s">
        <v>774</v>
      </c>
      <c r="AB251" s="210">
        <v>42536</v>
      </c>
      <c r="AC251" s="203" t="s">
        <v>1115</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605"/>
      <c r="AI251" s="605"/>
    </row>
    <row r="252" spans="2:35" s="185" customFormat="1" ht="13.95" customHeight="1" x14ac:dyDescent="0.3">
      <c r="B252" s="203" t="s">
        <v>1745</v>
      </c>
      <c r="C252" s="197" t="s">
        <v>506</v>
      </c>
      <c r="D252" s="197" t="s">
        <v>489</v>
      </c>
      <c r="E252" s="197" t="s">
        <v>230</v>
      </c>
      <c r="F252" s="197" t="s">
        <v>490</v>
      </c>
      <c r="G252" s="197" t="s">
        <v>146</v>
      </c>
      <c r="H252" s="197" t="s">
        <v>497</v>
      </c>
      <c r="I252" s="197" t="s">
        <v>1147</v>
      </c>
      <c r="J252" s="216"/>
      <c r="K252" s="197" t="s">
        <v>1148</v>
      </c>
      <c r="L252" s="197"/>
      <c r="M252" s="197" t="s">
        <v>1146</v>
      </c>
      <c r="N252" s="198" t="s">
        <v>1128</v>
      </c>
      <c r="O252" s="204">
        <v>98.337999999999994</v>
      </c>
      <c r="P252" s="204">
        <v>23.850999999999999</v>
      </c>
      <c r="Q252" s="217"/>
      <c r="R252" s="310">
        <v>30</v>
      </c>
      <c r="S252" s="311">
        <v>170</v>
      </c>
      <c r="T252" s="207">
        <f>IF(CampList[[#This Row],[HH]]&gt;0,CampList[[#This Row],[Total]]/CampList[[#This Row],[HH]],"NA")</f>
        <v>5.666666666666667</v>
      </c>
      <c r="U252" s="183" t="s">
        <v>464</v>
      </c>
      <c r="V252" s="199" t="s">
        <v>995</v>
      </c>
      <c r="W252" s="199" t="s">
        <v>1384</v>
      </c>
      <c r="X252" s="199" t="s">
        <v>784</v>
      </c>
      <c r="Y252" s="218">
        <v>42401</v>
      </c>
      <c r="Z252" s="208" t="s">
        <v>1317</v>
      </c>
      <c r="AA252" s="198" t="s">
        <v>774</v>
      </c>
      <c r="AB252" s="210">
        <v>43256</v>
      </c>
      <c r="AC252" s="203" t="s">
        <v>1713</v>
      </c>
      <c r="AD252" s="199" t="str">
        <f ca="1">IFERROR(OFFSET(DistanceToCamp[Nearest Town],MATCH(CampList[[#This Row],[CP_Pcode]],DistanceToCamp[CP_Pcode],0)-1,0,1,1),"")</f>
        <v/>
      </c>
      <c r="AE252" s="212" t="str">
        <f ca="1">IFERROR(OFFSET(DistanceToCamp[distance],MATCH(CampList[[#This Row],[CP_Pcode]],DistanceToCamp[CP_Pcode],0)-1,0,1,1),"")</f>
        <v/>
      </c>
      <c r="AF252" s="221" t="str">
        <f ca="1">IFERROR(INT(CampList[[#This Row],[Distance]]/5)+1,"")</f>
        <v/>
      </c>
      <c r="AH252" s="605"/>
      <c r="AI252" s="605"/>
    </row>
    <row r="253" spans="2:35" s="185" customFormat="1" ht="13.95" hidden="1" customHeight="1" x14ac:dyDescent="0.3">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995</v>
      </c>
      <c r="W253" s="199" t="s">
        <v>507</v>
      </c>
      <c r="X253" s="199" t="s">
        <v>784</v>
      </c>
      <c r="Y253" s="676">
        <v>41275</v>
      </c>
      <c r="Z253" s="676" t="s">
        <v>424</v>
      </c>
      <c r="AA253" s="223" t="s">
        <v>774</v>
      </c>
      <c r="AB253" s="210">
        <v>42852</v>
      </c>
      <c r="AC253" s="203" t="s">
        <v>1238</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605"/>
      <c r="AI253" s="605"/>
    </row>
    <row r="254" spans="2:35" s="185" customFormat="1" ht="13.95" customHeight="1" x14ac:dyDescent="0.3">
      <c r="B254" s="203" t="s">
        <v>1745</v>
      </c>
      <c r="C254" s="197" t="s">
        <v>506</v>
      </c>
      <c r="D254" s="197" t="s">
        <v>489</v>
      </c>
      <c r="E254" s="197" t="s">
        <v>494</v>
      </c>
      <c r="F254" s="197" t="s">
        <v>495</v>
      </c>
      <c r="G254" s="197" t="s">
        <v>297</v>
      </c>
      <c r="H254" s="197" t="s">
        <v>503</v>
      </c>
      <c r="I254" s="272" t="s">
        <v>755</v>
      </c>
      <c r="J254" s="273" t="s">
        <v>756</v>
      </c>
      <c r="K254" s="272" t="s">
        <v>757</v>
      </c>
      <c r="L254" s="272" t="s">
        <v>758</v>
      </c>
      <c r="M254" s="197" t="s">
        <v>1191</v>
      </c>
      <c r="N254" s="198" t="s">
        <v>1173</v>
      </c>
      <c r="O254" s="274"/>
      <c r="P254" s="274"/>
      <c r="Q254" s="275"/>
      <c r="R254" s="234">
        <v>35</v>
      </c>
      <c r="S254" s="234">
        <v>192</v>
      </c>
      <c r="T254" s="276">
        <f>IF(CampList[[#This Row],[HH]]&gt;0,CampList[[#This Row],[Total]]/CampList[[#This Row],[HH]],"NA")</f>
        <v>5.4857142857142858</v>
      </c>
      <c r="U254" s="183" t="s">
        <v>464</v>
      </c>
      <c r="V254" s="277" t="s">
        <v>995</v>
      </c>
      <c r="W254" s="183" t="s">
        <v>507</v>
      </c>
      <c r="X254" s="182" t="s">
        <v>742</v>
      </c>
      <c r="Y254" s="278"/>
      <c r="Z254" s="217" t="s">
        <v>1048</v>
      </c>
      <c r="AA254" s="272" t="s">
        <v>774</v>
      </c>
      <c r="AB254" s="522">
        <v>43343</v>
      </c>
      <c r="AC254" s="280" t="s">
        <v>1797</v>
      </c>
      <c r="AD254" s="281" t="str">
        <f ca="1">IFERROR(OFFSET(DistanceToCamp[Nearest Town],MATCH(CampList[[#This Row],[CP_Pcode]],DistanceToCamp[CP_Pcode],0)-1,0,1,1),"")</f>
        <v/>
      </c>
      <c r="AE254" s="282" t="str">
        <f ca="1">IFERROR(OFFSET(DistanceToCamp[distance],MATCH(CampList[[#This Row],[CP_Pcode]],DistanceToCamp[CP_Pcode],0)-1,0,1,1),"")</f>
        <v/>
      </c>
      <c r="AF254" s="283" t="str">
        <f ca="1">IFERROR(INT(CampList[[#This Row],[Distance]]/5)+1,"")</f>
        <v/>
      </c>
      <c r="AH254" s="605"/>
      <c r="AI254" s="605"/>
    </row>
    <row r="255" spans="2:35" ht="13.95" customHeight="1" x14ac:dyDescent="0.3">
      <c r="B255" s="203" t="s">
        <v>1745</v>
      </c>
      <c r="C255" s="197" t="s">
        <v>506</v>
      </c>
      <c r="D255" s="197" t="s">
        <v>489</v>
      </c>
      <c r="E255" s="197" t="s">
        <v>494</v>
      </c>
      <c r="F255" s="197" t="s">
        <v>495</v>
      </c>
      <c r="G255" s="197" t="s">
        <v>1200</v>
      </c>
      <c r="H255" s="197" t="s">
        <v>1201</v>
      </c>
      <c r="I255" s="272" t="s">
        <v>1216</v>
      </c>
      <c r="J255" s="273" t="s">
        <v>1217</v>
      </c>
      <c r="K255" s="272" t="s">
        <v>1215</v>
      </c>
      <c r="L255" s="272">
        <v>209986</v>
      </c>
      <c r="M255" s="174" t="s">
        <v>1197</v>
      </c>
      <c r="N255" s="198" t="s">
        <v>1185</v>
      </c>
      <c r="O255" s="274">
        <v>97.314762999999999</v>
      </c>
      <c r="P255" s="274">
        <v>22.677008000000001</v>
      </c>
      <c r="Q255" s="275"/>
      <c r="R255" s="274">
        <v>37</v>
      </c>
      <c r="S255" s="607">
        <v>120</v>
      </c>
      <c r="T255" s="276">
        <f>IF(CampList[[#This Row],[HH]]&gt;0,CampList[[#This Row],[Total]]/CampList[[#This Row],[HH]],"NA")</f>
        <v>3.2432432432432434</v>
      </c>
      <c r="U255" s="183" t="s">
        <v>464</v>
      </c>
      <c r="V255" s="277" t="s">
        <v>995</v>
      </c>
      <c r="W255" s="199" t="s">
        <v>1384</v>
      </c>
      <c r="X255" s="182" t="s">
        <v>784</v>
      </c>
      <c r="Y255" s="278"/>
      <c r="Z255" s="676" t="s">
        <v>1317</v>
      </c>
      <c r="AA255" s="272" t="s">
        <v>774</v>
      </c>
      <c r="AB255" s="279">
        <v>43256</v>
      </c>
      <c r="AC255" s="280" t="s">
        <v>1714</v>
      </c>
      <c r="AD255" s="281" t="str">
        <f ca="1">IFERROR(OFFSET(DistanceToCamp[Nearest Town],MATCH(CampList[[#This Row],[CP_Pcode]],DistanceToCamp[CP_Pcode],0)-1,0,1,1),"")</f>
        <v/>
      </c>
      <c r="AE255" s="282" t="str">
        <f ca="1">IFERROR(OFFSET(DistanceToCamp[distance],MATCH(CampList[[#This Row],[CP_Pcode]],DistanceToCamp[CP_Pcode],0)-1,0,1,1),"")</f>
        <v/>
      </c>
      <c r="AF255" s="283" t="str">
        <f ca="1">IFERROR(INT(CampList[[#This Row],[Distance]]/5)+1,"")</f>
        <v/>
      </c>
    </row>
    <row r="256" spans="2:35" ht="13.95" customHeight="1" x14ac:dyDescent="0.3">
      <c r="B256" s="203" t="s">
        <v>1745</v>
      </c>
      <c r="C256" s="197" t="s">
        <v>506</v>
      </c>
      <c r="D256" s="197" t="s">
        <v>489</v>
      </c>
      <c r="E256" s="197" t="s">
        <v>230</v>
      </c>
      <c r="F256" s="197" t="s">
        <v>490</v>
      </c>
      <c r="G256" s="197" t="s">
        <v>146</v>
      </c>
      <c r="H256" s="197" t="s">
        <v>497</v>
      </c>
      <c r="I256" s="198" t="s">
        <v>669</v>
      </c>
      <c r="J256" s="216" t="s">
        <v>670</v>
      </c>
      <c r="K256" s="198" t="s">
        <v>1230</v>
      </c>
      <c r="L256" s="198" t="s">
        <v>1229</v>
      </c>
      <c r="M256" s="174" t="s">
        <v>1232</v>
      </c>
      <c r="N256" s="198" t="s">
        <v>1231</v>
      </c>
      <c r="O256" s="206">
        <v>97.947360000000003</v>
      </c>
      <c r="P256" s="206">
        <v>23.460349999999998</v>
      </c>
      <c r="Q256" s="217"/>
      <c r="R256" s="206">
        <v>37</v>
      </c>
      <c r="S256" s="206">
        <v>161</v>
      </c>
      <c r="T256" s="207">
        <f>IF(CampList[[#This Row],[HH]]&gt;0,CampList[[#This Row],[Total]]/CampList[[#This Row],[HH]],"NA")</f>
        <v>4.3513513513513518</v>
      </c>
      <c r="U256" s="199" t="s">
        <v>464</v>
      </c>
      <c r="V256" s="199" t="s">
        <v>995</v>
      </c>
      <c r="W256" s="199" t="s">
        <v>507</v>
      </c>
      <c r="X256" s="199" t="s">
        <v>742</v>
      </c>
      <c r="Y256" s="218">
        <v>42724</v>
      </c>
      <c r="Z256" s="217" t="s">
        <v>424</v>
      </c>
      <c r="AA256" s="198" t="s">
        <v>774</v>
      </c>
      <c r="AB256" s="210">
        <v>43343</v>
      </c>
      <c r="AC256" s="219" t="s">
        <v>1903</v>
      </c>
      <c r="AD256" s="220" t="str">
        <f ca="1">IFERROR(OFFSET(DistanceToCamp[Nearest Town],MATCH(CampList[[#This Row],[CP_Pcode]],DistanceToCamp[CP_Pcode],0)-1,0,1,1),"")</f>
        <v/>
      </c>
      <c r="AE256" s="212" t="str">
        <f ca="1">IFERROR(OFFSET(DistanceToCamp[distance],MATCH(CampList[[#This Row],[CP_Pcode]],DistanceToCamp[CP_Pcode],0)-1,0,1,1),"")</f>
        <v/>
      </c>
      <c r="AF256" s="221" t="str">
        <f ca="1">IFERROR(INT(CampList[[#This Row],[Distance]]/5)+1,"")</f>
        <v/>
      </c>
    </row>
    <row r="257" spans="2:32" ht="13.95" hidden="1" customHeight="1" x14ac:dyDescent="0.3">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4">
        <v>0</v>
      </c>
      <c r="S257" s="285">
        <v>0</v>
      </c>
      <c r="T257" s="207" t="str">
        <f>IF(CampList[[#This Row],[HH]]&gt;0,CampList[[#This Row],[Total]]/CampList[[#This Row],[HH]],"NA")</f>
        <v>NA</v>
      </c>
      <c r="U257" s="199" t="s">
        <v>464</v>
      </c>
      <c r="V257" s="199" t="s">
        <v>995</v>
      </c>
      <c r="W257" s="199" t="s">
        <v>507</v>
      </c>
      <c r="X257" s="199" t="s">
        <v>784</v>
      </c>
      <c r="Y257" s="676">
        <v>40787</v>
      </c>
      <c r="Z257" s="676"/>
      <c r="AA257" s="223" t="s">
        <v>774</v>
      </c>
      <c r="AB257" s="210">
        <v>41701</v>
      </c>
      <c r="AC257" s="203" t="s">
        <v>871</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customHeight="1" x14ac:dyDescent="0.3">
      <c r="B258" s="203" t="s">
        <v>1745</v>
      </c>
      <c r="C258" s="197" t="s">
        <v>506</v>
      </c>
      <c r="D258" s="197" t="s">
        <v>489</v>
      </c>
      <c r="E258" s="197" t="s">
        <v>230</v>
      </c>
      <c r="F258" s="197" t="s">
        <v>490</v>
      </c>
      <c r="G258" s="197" t="s">
        <v>146</v>
      </c>
      <c r="H258" s="197" t="s">
        <v>497</v>
      </c>
      <c r="I258" s="272" t="s">
        <v>1243</v>
      </c>
      <c r="J258" s="273" t="s">
        <v>1244</v>
      </c>
      <c r="K258" s="272" t="s">
        <v>1241</v>
      </c>
      <c r="L258" s="272">
        <v>208530</v>
      </c>
      <c r="M258" s="272" t="s">
        <v>1241</v>
      </c>
      <c r="N258" s="198" t="s">
        <v>1242</v>
      </c>
      <c r="O258" s="274"/>
      <c r="P258" s="274"/>
      <c r="Q258" s="275"/>
      <c r="R258" s="274">
        <v>24</v>
      </c>
      <c r="S258" s="275">
        <v>84</v>
      </c>
      <c r="T258" s="207">
        <f>IF(CampList[[#This Row],[HH]]&gt;0,CampList[[#This Row],[Total]]/CampList[[#This Row],[HH]],"NA")</f>
        <v>3.5</v>
      </c>
      <c r="U258" s="199" t="s">
        <v>464</v>
      </c>
      <c r="V258" s="199" t="s">
        <v>995</v>
      </c>
      <c r="W258" s="199" t="s">
        <v>1384</v>
      </c>
      <c r="X258" s="182" t="s">
        <v>784</v>
      </c>
      <c r="Y258" s="278"/>
      <c r="Z258" s="676" t="s">
        <v>1317</v>
      </c>
      <c r="AA258" s="272" t="s">
        <v>774</v>
      </c>
      <c r="AB258" s="279">
        <v>43256</v>
      </c>
      <c r="AC258" s="294" t="s">
        <v>1715</v>
      </c>
      <c r="AD258" s="281" t="str">
        <f ca="1">IFERROR(OFFSET(DistanceToCamp[Nearest Town],MATCH(CampList[[#This Row],[CP_Pcode]],DistanceToCamp[CP_Pcode],0)-1,0,1,1),"")</f>
        <v/>
      </c>
      <c r="AE258" s="282" t="str">
        <f ca="1">IFERROR(OFFSET(DistanceToCamp[distance],MATCH(CampList[[#This Row],[CP_Pcode]],DistanceToCamp[CP_Pcode],0)-1,0,1,1),"")</f>
        <v/>
      </c>
      <c r="AF258" s="283" t="str">
        <f ca="1">IFERROR(INT(CampList[[#This Row],[Distance]]/5)+1,"")</f>
        <v/>
      </c>
    </row>
    <row r="259" spans="2:32" ht="15.75" hidden="1" customHeight="1" x14ac:dyDescent="0.3">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10">
        <v>32</v>
      </c>
      <c r="S259" s="311">
        <v>187</v>
      </c>
      <c r="T259" s="207">
        <f>IF(CampList[[#This Row],[HH]]&gt;0,CampList[[#This Row],[Total]]/CampList[[#This Row],[HH]],"NA")</f>
        <v>5.84375</v>
      </c>
      <c r="U259" s="199" t="s">
        <v>464</v>
      </c>
      <c r="V259" s="199" t="s">
        <v>995</v>
      </c>
      <c r="W259" s="199" t="s">
        <v>12</v>
      </c>
      <c r="X259" s="199" t="s">
        <v>784</v>
      </c>
      <c r="Y259" s="218"/>
      <c r="Z259" s="209"/>
      <c r="AA259" s="223" t="s">
        <v>522</v>
      </c>
      <c r="AB259" s="210">
        <v>42888</v>
      </c>
      <c r="AC259" s="203" t="s">
        <v>1692</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3">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4">
        <v>0</v>
      </c>
      <c r="S260" s="285">
        <v>0</v>
      </c>
      <c r="T260" s="207" t="str">
        <f>IF(CampList[[#This Row],[HH]]&gt;0,CampList[[#This Row],[Total]]/CampList[[#This Row],[HH]],"NA")</f>
        <v>NA</v>
      </c>
      <c r="U260" s="199" t="s">
        <v>466</v>
      </c>
      <c r="V260" s="199" t="s">
        <v>995</v>
      </c>
      <c r="W260" s="199" t="s">
        <v>507</v>
      </c>
      <c r="X260" s="199"/>
      <c r="Y260" s="218"/>
      <c r="Z260" s="676" t="s">
        <v>935</v>
      </c>
      <c r="AA260" s="223" t="s">
        <v>774</v>
      </c>
      <c r="AB260" s="210">
        <v>41712</v>
      </c>
      <c r="AC260" s="203" t="s">
        <v>878</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3">
      <c r="B261" s="203" t="s">
        <v>775</v>
      </c>
      <c r="C261" s="197" t="s">
        <v>506</v>
      </c>
      <c r="D261" s="197" t="s">
        <v>489</v>
      </c>
      <c r="E261" s="197" t="s">
        <v>230</v>
      </c>
      <c r="F261" s="197" t="s">
        <v>490</v>
      </c>
      <c r="G261" s="197" t="s">
        <v>230</v>
      </c>
      <c r="H261" s="197" t="s">
        <v>491</v>
      </c>
      <c r="I261" s="197" t="s">
        <v>881</v>
      </c>
      <c r="J261" s="197" t="s">
        <v>880</v>
      </c>
      <c r="K261" s="197" t="s">
        <v>882</v>
      </c>
      <c r="L261" s="216">
        <v>208182</v>
      </c>
      <c r="M261" s="197" t="s">
        <v>359</v>
      </c>
      <c r="N261" s="197" t="s">
        <v>771</v>
      </c>
      <c r="O261" s="204">
        <v>98.139397000000002</v>
      </c>
      <c r="P261" s="204">
        <v>23.933098999999999</v>
      </c>
      <c r="Q261" s="205">
        <v>0</v>
      </c>
      <c r="R261" s="310">
        <v>9</v>
      </c>
      <c r="S261" s="311">
        <v>44</v>
      </c>
      <c r="T261" s="207">
        <f>IF(CampList[[#This Row],[HH]]&gt;0,CampList[[#This Row],[Total]]/CampList[[#This Row],[HH]],"NA")</f>
        <v>4.8888888888888893</v>
      </c>
      <c r="U261" s="199" t="s">
        <v>466</v>
      </c>
      <c r="V261" s="199" t="s">
        <v>995</v>
      </c>
      <c r="W261" s="199" t="s">
        <v>1384</v>
      </c>
      <c r="X261" s="199" t="s">
        <v>784</v>
      </c>
      <c r="Y261" s="676">
        <v>40787</v>
      </c>
      <c r="Z261" s="676"/>
      <c r="AA261" s="223" t="s">
        <v>774</v>
      </c>
      <c r="AB261" s="210">
        <v>42888</v>
      </c>
      <c r="AC261" s="203" t="s">
        <v>1531</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3">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995</v>
      </c>
      <c r="W262" s="199" t="s">
        <v>12</v>
      </c>
      <c r="X262" s="199" t="s">
        <v>784</v>
      </c>
      <c r="Y262" s="676">
        <v>41365</v>
      </c>
      <c r="Z262" s="676" t="s">
        <v>1317</v>
      </c>
      <c r="AA262" s="197" t="s">
        <v>774</v>
      </c>
      <c r="AB262" s="522">
        <v>43226</v>
      </c>
      <c r="AC262" s="211" t="s">
        <v>1761</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customHeight="1" x14ac:dyDescent="0.3">
      <c r="B263" s="203" t="s">
        <v>1745</v>
      </c>
      <c r="C263" s="197" t="s">
        <v>506</v>
      </c>
      <c r="D263" s="197" t="s">
        <v>489</v>
      </c>
      <c r="E263" s="197" t="s">
        <v>230</v>
      </c>
      <c r="F263" s="197" t="s">
        <v>490</v>
      </c>
      <c r="G263" s="197" t="s">
        <v>230</v>
      </c>
      <c r="H263" s="197" t="s">
        <v>491</v>
      </c>
      <c r="I263" s="197" t="s">
        <v>714</v>
      </c>
      <c r="J263" s="273" t="s">
        <v>715</v>
      </c>
      <c r="K263" s="272" t="s">
        <v>716</v>
      </c>
      <c r="L263" s="272">
        <v>208156</v>
      </c>
      <c r="M263" s="272" t="s">
        <v>716</v>
      </c>
      <c r="N263" s="198" t="s">
        <v>1245</v>
      </c>
      <c r="O263" s="204">
        <v>98.115809999999996</v>
      </c>
      <c r="P263" s="204">
        <v>24.08738</v>
      </c>
      <c r="Q263" s="275"/>
      <c r="R263" s="274">
        <v>153</v>
      </c>
      <c r="S263" s="275">
        <v>782</v>
      </c>
      <c r="T263" s="207">
        <f>IF(CampList[[#This Row],[HH]]&gt;0,CampList[[#This Row],[Total]]/CampList[[#This Row],[HH]],"NA")</f>
        <v>5.1111111111111107</v>
      </c>
      <c r="U263" s="199" t="s">
        <v>464</v>
      </c>
      <c r="V263" s="199" t="s">
        <v>995</v>
      </c>
      <c r="W263" s="199" t="s">
        <v>507</v>
      </c>
      <c r="X263" s="182" t="s">
        <v>784</v>
      </c>
      <c r="Y263" s="278"/>
      <c r="Z263" s="275" t="s">
        <v>424</v>
      </c>
      <c r="AA263" s="272" t="s">
        <v>774</v>
      </c>
      <c r="AB263" s="210">
        <v>43343</v>
      </c>
      <c r="AC263" s="294" t="s">
        <v>1903</v>
      </c>
      <c r="AD263" s="281" t="str">
        <f ca="1">IFERROR(OFFSET(DistanceToCamp[Nearest Town],MATCH(CampList[[#This Row],[CP_Pcode]],DistanceToCamp[CP_Pcode],0)-1,0,1,1),"")</f>
        <v/>
      </c>
      <c r="AE263" s="282" t="str">
        <f ca="1">IFERROR(OFFSET(DistanceToCamp[distance],MATCH(CampList[[#This Row],[CP_Pcode]],DistanceToCamp[CP_Pcode],0)-1,0,1,1),"")</f>
        <v/>
      </c>
      <c r="AF263" s="283" t="str">
        <f ca="1">IFERROR(INT(CampList[[#This Row],[Distance]]/5)+1,"")</f>
        <v/>
      </c>
    </row>
    <row r="264" spans="2:32" ht="15.75" hidden="1" customHeight="1" x14ac:dyDescent="0.3">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10">
        <v>118</v>
      </c>
      <c r="S264" s="311">
        <v>520</v>
      </c>
      <c r="T264" s="207">
        <f>IF(CampList[[#This Row],[HH]]&gt;0,CampList[[#This Row],[Total]]/CampList[[#This Row],[HH]],"NA")</f>
        <v>4.406779661016949</v>
      </c>
      <c r="U264" s="199" t="s">
        <v>464</v>
      </c>
      <c r="V264" s="199" t="s">
        <v>995</v>
      </c>
      <c r="W264" s="199" t="s">
        <v>12</v>
      </c>
      <c r="X264" s="199" t="s">
        <v>742</v>
      </c>
      <c r="Y264" s="676"/>
      <c r="Z264" s="676"/>
      <c r="AA264" s="223" t="s">
        <v>774</v>
      </c>
      <c r="AB264" s="210">
        <v>41883</v>
      </c>
      <c r="AC264" s="203" t="s">
        <v>1388</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3">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4">
        <v>0</v>
      </c>
      <c r="S265" s="285">
        <v>0</v>
      </c>
      <c r="T265" s="207" t="str">
        <f>IF(CampList[[#This Row],[HH]]&gt;0,CampList[[#This Row],[Total]]/CampList[[#This Row],[HH]],"NA")</f>
        <v>NA</v>
      </c>
      <c r="U265" s="199" t="s">
        <v>466</v>
      </c>
      <c r="V265" s="199" t="s">
        <v>995</v>
      </c>
      <c r="W265" s="199" t="s">
        <v>507</v>
      </c>
      <c r="X265" s="199" t="s">
        <v>784</v>
      </c>
      <c r="Y265" s="218"/>
      <c r="Z265" s="209"/>
      <c r="AA265" s="197" t="s">
        <v>774</v>
      </c>
      <c r="AB265" s="210">
        <v>41289</v>
      </c>
      <c r="AC265" s="211" t="s">
        <v>841</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hidden="1" customHeight="1" x14ac:dyDescent="0.3">
      <c r="B266" s="203" t="s">
        <v>775</v>
      </c>
      <c r="C266" s="197" t="s">
        <v>506</v>
      </c>
      <c r="D266" s="197" t="s">
        <v>489</v>
      </c>
      <c r="E266" s="197" t="s">
        <v>230</v>
      </c>
      <c r="F266" s="197" t="s">
        <v>490</v>
      </c>
      <c r="G266" s="197" t="s">
        <v>146</v>
      </c>
      <c r="H266" s="197" t="s">
        <v>497</v>
      </c>
      <c r="I266" s="197" t="s">
        <v>836</v>
      </c>
      <c r="J266" s="197"/>
      <c r="K266" s="197" t="s">
        <v>836</v>
      </c>
      <c r="L266" s="197"/>
      <c r="M266" s="197" t="s">
        <v>839</v>
      </c>
      <c r="N266" s="197" t="s">
        <v>840</v>
      </c>
      <c r="O266" s="206"/>
      <c r="P266" s="206"/>
      <c r="Q266" s="217"/>
      <c r="R266" s="284">
        <v>0</v>
      </c>
      <c r="S266" s="285">
        <v>0</v>
      </c>
      <c r="T266" s="207" t="str">
        <f>IF(CampList[[#This Row],[HH]]&gt;0,CampList[[#This Row],[Total]]/CampList[[#This Row],[HH]],"NA")</f>
        <v>NA</v>
      </c>
      <c r="U266" s="199" t="s">
        <v>466</v>
      </c>
      <c r="V266" s="199" t="s">
        <v>995</v>
      </c>
      <c r="W266" s="199" t="s">
        <v>507</v>
      </c>
      <c r="X266" s="199" t="s">
        <v>784</v>
      </c>
      <c r="Y266" s="218"/>
      <c r="Z266" s="209"/>
      <c r="AA266" s="197" t="s">
        <v>774</v>
      </c>
      <c r="AB266" s="210">
        <v>41289</v>
      </c>
      <c r="AC266" s="211" t="s">
        <v>842</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customHeight="1" x14ac:dyDescent="0.3">
      <c r="B267" s="203" t="s">
        <v>1745</v>
      </c>
      <c r="C267" s="197" t="s">
        <v>506</v>
      </c>
      <c r="D267" s="197" t="s">
        <v>489</v>
      </c>
      <c r="E267" s="197" t="s">
        <v>494</v>
      </c>
      <c r="F267" s="197" t="s">
        <v>495</v>
      </c>
      <c r="G267" s="197" t="s">
        <v>297</v>
      </c>
      <c r="H267" s="197" t="s">
        <v>503</v>
      </c>
      <c r="I267" s="272" t="s">
        <v>755</v>
      </c>
      <c r="J267" s="273" t="s">
        <v>756</v>
      </c>
      <c r="K267" s="272" t="s">
        <v>757</v>
      </c>
      <c r="L267" s="272" t="s">
        <v>758</v>
      </c>
      <c r="M267" s="272" t="s">
        <v>1278</v>
      </c>
      <c r="N267" s="198" t="s">
        <v>1277</v>
      </c>
      <c r="O267" s="274">
        <v>97.400671000000003</v>
      </c>
      <c r="P267" s="274">
        <v>23.099304</v>
      </c>
      <c r="Q267" s="275"/>
      <c r="R267" s="605">
        <v>61</v>
      </c>
      <c r="S267" s="605">
        <v>286</v>
      </c>
      <c r="T267" s="276">
        <f>IF(CampList[[#This Row],[HH]]&gt;0,CampList[[#This Row],[Total]]/CampList[[#This Row],[HH]],"NA")</f>
        <v>4.6885245901639347</v>
      </c>
      <c r="U267" s="183" t="s">
        <v>464</v>
      </c>
      <c r="V267" s="277" t="s">
        <v>995</v>
      </c>
      <c r="W267" s="183" t="s">
        <v>507</v>
      </c>
      <c r="X267" s="182" t="s">
        <v>742</v>
      </c>
      <c r="Y267" s="278">
        <v>42781</v>
      </c>
      <c r="Z267" s="217" t="s">
        <v>1048</v>
      </c>
      <c r="AA267" s="272" t="s">
        <v>774</v>
      </c>
      <c r="AB267" s="522">
        <v>43343</v>
      </c>
      <c r="AC267" s="280" t="s">
        <v>1797</v>
      </c>
      <c r="AD267" s="281" t="str">
        <f ca="1">IFERROR(OFFSET(DistanceToCamp[Nearest Town],MATCH(CampList[[#This Row],[CP_Pcode]],DistanceToCamp[CP_Pcode],0)-1,0,1,1),"")</f>
        <v/>
      </c>
      <c r="AE267" s="282" t="str">
        <f ca="1">IFERROR(OFFSET(DistanceToCamp[distance],MATCH(CampList[[#This Row],[CP_Pcode]],DistanceToCamp[CP_Pcode],0)-1,0,1,1),"")</f>
        <v/>
      </c>
      <c r="AF267" s="283" t="str">
        <f ca="1">IFERROR(INT(CampList[[#This Row],[Distance]]/5)+1,"")</f>
        <v/>
      </c>
    </row>
    <row r="268" spans="2:32" ht="15.75" customHeight="1" x14ac:dyDescent="0.3">
      <c r="B268" s="203" t="s">
        <v>1745</v>
      </c>
      <c r="C268" s="197" t="s">
        <v>506</v>
      </c>
      <c r="D268" s="197"/>
      <c r="E268" s="197" t="s">
        <v>230</v>
      </c>
      <c r="F268" s="197"/>
      <c r="G268" s="197" t="s">
        <v>146</v>
      </c>
      <c r="H268" s="197"/>
      <c r="I268" s="197" t="s">
        <v>1532</v>
      </c>
      <c r="J268" s="273"/>
      <c r="K268" s="272" t="s">
        <v>1532</v>
      </c>
      <c r="L268" s="272"/>
      <c r="M268" s="272" t="s">
        <v>1532</v>
      </c>
      <c r="N268" s="198" t="s">
        <v>1549</v>
      </c>
      <c r="O268" s="204"/>
      <c r="P268" s="204"/>
      <c r="Q268" s="275"/>
      <c r="R268" s="182">
        <v>35</v>
      </c>
      <c r="S268" s="292">
        <v>189</v>
      </c>
      <c r="T268" s="207">
        <f>IF(CampList[[#This Row],[HH]]&gt;0,CampList[[#This Row],[Total]]/CampList[[#This Row],[HH]],"NA")</f>
        <v>5.4</v>
      </c>
      <c r="U268" s="199" t="s">
        <v>464</v>
      </c>
      <c r="V268" s="199" t="s">
        <v>995</v>
      </c>
      <c r="W268" s="199" t="s">
        <v>1384</v>
      </c>
      <c r="X268" s="182" t="s">
        <v>784</v>
      </c>
      <c r="Y268" s="278">
        <v>42370</v>
      </c>
      <c r="Z268" s="676" t="s">
        <v>1317</v>
      </c>
      <c r="AA268" s="272" t="s">
        <v>774</v>
      </c>
      <c r="AB268" s="210">
        <v>43343</v>
      </c>
      <c r="AC268" s="294" t="s">
        <v>1918</v>
      </c>
      <c r="AD268" s="281" t="str">
        <f ca="1">IFERROR(OFFSET(DistanceToCamp[Nearest Town],MATCH(CampList[[#This Row],[CP_Pcode]],DistanceToCamp[CP_Pcode],0)-1,0,1,1),"")</f>
        <v/>
      </c>
      <c r="AE268" s="282" t="str">
        <f ca="1">IFERROR(OFFSET(DistanceToCamp[distance],MATCH(CampList[[#This Row],[CP_Pcode]],DistanceToCamp[CP_Pcode],0)-1,0,1,1),"")</f>
        <v/>
      </c>
      <c r="AF268" s="283" t="str">
        <f ca="1">IFERROR(INT(CampList[[#This Row],[Distance]]/5)+1,"")</f>
        <v/>
      </c>
    </row>
    <row r="269" spans="2:32" ht="15.75" customHeight="1" x14ac:dyDescent="0.3">
      <c r="B269" s="855"/>
      <c r="C269" s="198"/>
      <c r="D269" s="198"/>
      <c r="E269" s="198"/>
      <c r="F269" s="198"/>
      <c r="G269" s="198"/>
      <c r="H269" s="198"/>
      <c r="I269" s="198"/>
      <c r="J269" s="216"/>
      <c r="K269" s="198"/>
      <c r="L269" s="198"/>
      <c r="M269" s="198"/>
      <c r="N269" s="198"/>
      <c r="O269" s="206"/>
      <c r="P269" s="206"/>
      <c r="Q269" s="217"/>
      <c r="R269" s="182"/>
      <c r="S269" s="292"/>
      <c r="T269" s="207" t="str">
        <f>IF(CampList[[#This Row],[HH]]&gt;0,CampList[[#This Row],[Total]]/CampList[[#This Row],[HH]],"NA")</f>
        <v>NA</v>
      </c>
      <c r="U269" s="183"/>
      <c r="V269" s="199"/>
      <c r="W269" s="183"/>
      <c r="X269" s="183"/>
      <c r="Y269" s="856"/>
      <c r="Z269" s="217"/>
      <c r="AA269" s="198"/>
      <c r="AB269" s="210"/>
      <c r="AC269" s="219"/>
      <c r="AD269" s="220" t="str">
        <f ca="1">IFERROR(OFFSET(DistanceToCamp[Nearest Town],MATCH(CampList[[#This Row],[CP_Pcode]],DistanceToCamp[CP_Pcode],0)-1,0,1,1),"")</f>
        <v/>
      </c>
      <c r="AE269" s="212" t="str">
        <f ca="1">IFERROR(OFFSET(DistanceToCamp[distance],MATCH(CampList[[#This Row],[CP_Pcode]],DistanceToCamp[CP_Pcode],0)-1,0,1,1),"")</f>
        <v/>
      </c>
      <c r="AF269" s="221" t="str">
        <f ca="1">IFERROR(INT(CampList[[#This Row],[Distance]]/5)+1,"")</f>
        <v/>
      </c>
    </row>
    <row r="270" spans="2:32" ht="15.75" customHeight="1" x14ac:dyDescent="0.3">
      <c r="B270" s="203" t="s">
        <v>1745</v>
      </c>
      <c r="C270" s="197" t="s">
        <v>378</v>
      </c>
      <c r="D270" s="197" t="s">
        <v>478</v>
      </c>
      <c r="E270" s="197" t="s">
        <v>237</v>
      </c>
      <c r="F270" s="197" t="s">
        <v>484</v>
      </c>
      <c r="G270" s="197" t="s">
        <v>237</v>
      </c>
      <c r="H270" s="197" t="s">
        <v>488</v>
      </c>
      <c r="I270" s="211" t="s">
        <v>611</v>
      </c>
      <c r="J270" s="211" t="s">
        <v>612</v>
      </c>
      <c r="K270" s="211" t="s">
        <v>627</v>
      </c>
      <c r="L270" s="211" t="s">
        <v>628</v>
      </c>
      <c r="M270" s="197" t="s">
        <v>240</v>
      </c>
      <c r="N270" s="197" t="s">
        <v>239</v>
      </c>
      <c r="O270" s="204">
        <v>97.409035000000003</v>
      </c>
      <c r="P270" s="204">
        <v>25.362420757575801</v>
      </c>
      <c r="Q270" s="205">
        <v>0</v>
      </c>
      <c r="R270" s="744">
        <v>108</v>
      </c>
      <c r="S270" s="744">
        <v>603</v>
      </c>
      <c r="T270" s="207">
        <f>IF(CampList[[#This Row],[HH]]&gt;0,CampList[[#This Row],[Total]]/CampList[[#This Row],[HH]],"NA")</f>
        <v>5.583333333333333</v>
      </c>
      <c r="U270" s="199" t="s">
        <v>464</v>
      </c>
      <c r="V270" s="199" t="s">
        <v>995</v>
      </c>
      <c r="W270" s="199" t="s">
        <v>507</v>
      </c>
      <c r="X270" s="199" t="s">
        <v>742</v>
      </c>
      <c r="Y270" s="312">
        <v>40603</v>
      </c>
      <c r="Z270" s="676" t="s">
        <v>424</v>
      </c>
      <c r="AA270" s="223" t="s">
        <v>774</v>
      </c>
      <c r="AB270" s="210">
        <v>43343</v>
      </c>
      <c r="AC270" s="203" t="s">
        <v>1845</v>
      </c>
      <c r="AD270" s="199" t="str">
        <f ca="1">IFERROR(OFFSET(DistanceToCamp[Nearest Town],MATCH(CampList[[#This Row],[CP_Pcode]],DistanceToCamp[CP_Pcode],0)-1,0,1,1),"")</f>
        <v>Myitkyina Town</v>
      </c>
      <c r="AE270" s="212">
        <f ca="1">IFERROR(OFFSET(DistanceToCamp[distance],MATCH(CampList[[#This Row],[CP_Pcode]],DistanceToCamp[CP_Pcode],0)-1,0,1,1),"")</f>
        <v>3.3602711423118103</v>
      </c>
      <c r="AF270" s="213">
        <f ca="1">IFERROR(INT(CampList[[#This Row],[Distance]]/5)+1,"")</f>
        <v>1</v>
      </c>
    </row>
    <row r="271" spans="2:32" ht="15.75" customHeight="1" x14ac:dyDescent="0.3">
      <c r="B271" s="203" t="s">
        <v>1745</v>
      </c>
      <c r="C271" s="197" t="s">
        <v>378</v>
      </c>
      <c r="D271" s="197" t="s">
        <v>478</v>
      </c>
      <c r="E271" s="197" t="s">
        <v>237</v>
      </c>
      <c r="F271" s="197" t="s">
        <v>484</v>
      </c>
      <c r="G271" s="197" t="s">
        <v>309</v>
      </c>
      <c r="H271" s="197" t="s">
        <v>485</v>
      </c>
      <c r="I271" s="197" t="s">
        <v>633</v>
      </c>
      <c r="J271" s="197" t="s">
        <v>634</v>
      </c>
      <c r="K271" s="197" t="s">
        <v>633</v>
      </c>
      <c r="L271" s="197">
        <v>165740</v>
      </c>
      <c r="M271" s="197" t="s">
        <v>325</v>
      </c>
      <c r="N271" s="197" t="s">
        <v>324</v>
      </c>
      <c r="O271" s="204">
        <v>97.426536944444507</v>
      </c>
      <c r="P271" s="204">
        <v>25.409612685185198</v>
      </c>
      <c r="Q271" s="205">
        <v>0</v>
      </c>
      <c r="R271" s="744">
        <v>52</v>
      </c>
      <c r="S271" s="744">
        <v>234</v>
      </c>
      <c r="T271" s="207">
        <f>IF(CampList[[#This Row],[HH]]&gt;0,CampList[[#This Row],[Total]]/CampList[[#This Row],[HH]],"NA")</f>
        <v>4.5</v>
      </c>
      <c r="U271" s="199" t="s">
        <v>464</v>
      </c>
      <c r="V271" s="199" t="s">
        <v>995</v>
      </c>
      <c r="W271" s="199" t="s">
        <v>507</v>
      </c>
      <c r="X271" s="199" t="s">
        <v>742</v>
      </c>
      <c r="Y271" s="312">
        <v>40878</v>
      </c>
      <c r="Z271" s="676" t="s">
        <v>424</v>
      </c>
      <c r="AA271" s="223" t="s">
        <v>774</v>
      </c>
      <c r="AB271" s="210">
        <v>43343</v>
      </c>
      <c r="AC271" s="203" t="s">
        <v>1850</v>
      </c>
      <c r="AD271" s="199" t="str">
        <f ca="1">IFERROR(OFFSET(DistanceToCamp[Nearest Town],MATCH(CampList[[#This Row],[CP_Pcode]],DistanceToCamp[CP_Pcode],0)-1,0,1,1),"")</f>
        <v>Myitkyina Town</v>
      </c>
      <c r="AE271" s="212">
        <f ca="1">IFERROR(OFFSET(DistanceToCamp[distance],MATCH(CampList[[#This Row],[CP_Pcode]],DistanceToCamp[CP_Pcode],0)-1,0,1,1),"")</f>
        <v>4.3887485673235673</v>
      </c>
      <c r="AF271" s="213">
        <f ca="1">IFERROR(INT(CampList[[#This Row],[Distance]]/5)+1,"")</f>
        <v>1</v>
      </c>
    </row>
    <row r="272" spans="2:32" ht="15.75" customHeight="1" x14ac:dyDescent="0.3">
      <c r="B272" s="203" t="s">
        <v>1745</v>
      </c>
      <c r="C272" s="197" t="s">
        <v>378</v>
      </c>
      <c r="D272" s="197" t="s">
        <v>478</v>
      </c>
      <c r="E272" s="197" t="s">
        <v>237</v>
      </c>
      <c r="F272" s="197" t="s">
        <v>484</v>
      </c>
      <c r="G272" s="197" t="s">
        <v>309</v>
      </c>
      <c r="H272" s="197" t="s">
        <v>485</v>
      </c>
      <c r="I272" s="197" t="s">
        <v>633</v>
      </c>
      <c r="J272" s="197" t="s">
        <v>634</v>
      </c>
      <c r="K272" s="197" t="s">
        <v>633</v>
      </c>
      <c r="L272" s="197">
        <v>165740</v>
      </c>
      <c r="M272" s="197" t="s">
        <v>323</v>
      </c>
      <c r="N272" s="197" t="s">
        <v>322</v>
      </c>
      <c r="O272" s="204">
        <v>97.434855869565197</v>
      </c>
      <c r="P272" s="204">
        <v>25.4118005797101</v>
      </c>
      <c r="Q272" s="205">
        <v>0</v>
      </c>
      <c r="R272" s="744">
        <v>523</v>
      </c>
      <c r="S272" s="744">
        <v>2768</v>
      </c>
      <c r="T272" s="207">
        <f>IF(CampList[[#This Row],[HH]]&gt;0,CampList[[#This Row],[Total]]/CampList[[#This Row],[HH]],"NA")</f>
        <v>5.2925430210325048</v>
      </c>
      <c r="U272" s="199" t="s">
        <v>464</v>
      </c>
      <c r="V272" s="199" t="s">
        <v>995</v>
      </c>
      <c r="W272" s="199" t="s">
        <v>507</v>
      </c>
      <c r="X272" s="199" t="s">
        <v>784</v>
      </c>
      <c r="Y272" s="312">
        <v>41061</v>
      </c>
      <c r="Z272" s="676" t="s">
        <v>424</v>
      </c>
      <c r="AA272" s="223" t="s">
        <v>774</v>
      </c>
      <c r="AB272" s="210">
        <v>43343</v>
      </c>
      <c r="AC272" s="203" t="s">
        <v>1851</v>
      </c>
      <c r="AD272" s="199" t="str">
        <f ca="1">IFERROR(OFFSET(DistanceToCamp[Nearest Town],MATCH(CampList[[#This Row],[CP_Pcode]],DistanceToCamp[CP_Pcode],0)-1,0,1,1),"")</f>
        <v>Myitkyina Town</v>
      </c>
      <c r="AE272" s="212">
        <f ca="1">IFERROR(OFFSET(DistanceToCamp[distance],MATCH(CampList[[#This Row],[CP_Pcode]],DistanceToCamp[CP_Pcode],0)-1,0,1,1),"")</f>
        <v>5.2238983299151851</v>
      </c>
      <c r="AF272" s="213">
        <f ca="1">IFERROR(INT(CampList[[#This Row],[Distance]]/5)+1,"")</f>
        <v>2</v>
      </c>
    </row>
    <row r="273" spans="1:35" ht="15.75" customHeight="1" x14ac:dyDescent="0.3">
      <c r="B273" s="203" t="s">
        <v>1745</v>
      </c>
      <c r="C273" s="197" t="s">
        <v>378</v>
      </c>
      <c r="D273" s="197" t="s">
        <v>478</v>
      </c>
      <c r="E273" s="197" t="s">
        <v>237</v>
      </c>
      <c r="F273" s="197" t="s">
        <v>484</v>
      </c>
      <c r="G273" s="197" t="s">
        <v>309</v>
      </c>
      <c r="H273" s="197" t="s">
        <v>485</v>
      </c>
      <c r="I273" s="197" t="s">
        <v>711</v>
      </c>
      <c r="J273" s="197" t="s">
        <v>712</v>
      </c>
      <c r="K273" s="197" t="s">
        <v>713</v>
      </c>
      <c r="L273" s="197">
        <v>165845</v>
      </c>
      <c r="M273" s="197" t="s">
        <v>345</v>
      </c>
      <c r="N273" s="197" t="s">
        <v>344</v>
      </c>
      <c r="O273" s="204">
        <v>98.025662999999994</v>
      </c>
      <c r="P273" s="204">
        <v>25.418084</v>
      </c>
      <c r="Q273" s="205"/>
      <c r="R273" s="744">
        <v>182</v>
      </c>
      <c r="S273" s="744">
        <v>1027</v>
      </c>
      <c r="T273" s="207">
        <f>IF(CampList[[#This Row],[HH]]&gt;0,CampList[[#This Row],[Total]]/CampList[[#This Row],[HH]],"NA")</f>
        <v>5.6428571428571432</v>
      </c>
      <c r="U273" s="199" t="s">
        <v>464</v>
      </c>
      <c r="V273" s="199" t="s">
        <v>995</v>
      </c>
      <c r="W273" s="199" t="s">
        <v>507</v>
      </c>
      <c r="X273" s="199" t="s">
        <v>784</v>
      </c>
      <c r="Y273" s="312">
        <v>40848</v>
      </c>
      <c r="Z273" s="676" t="s">
        <v>424</v>
      </c>
      <c r="AA273" s="197" t="s">
        <v>774</v>
      </c>
      <c r="AB273" s="210">
        <v>43343</v>
      </c>
      <c r="AC273" s="211" t="s">
        <v>1852</v>
      </c>
      <c r="AD273" s="199" t="str">
        <f ca="1">IFERROR(OFFSET(DistanceToCamp[Nearest Town],MATCH(CampList[[#This Row],[CP_Pcode]],DistanceToCamp[CP_Pcode],0)-1,0,1,1),"")</f>
        <v>Kan Paik Ti Town</v>
      </c>
      <c r="AE273" s="212">
        <f ca="1">IFERROR(OFFSET(DistanceToCamp[distance],MATCH(CampList[[#This Row],[CP_Pcode]],DistanceToCamp[CP_Pcode],0)-1,0,1,1),"")</f>
        <v>9.3609732231189877</v>
      </c>
      <c r="AF273" s="213">
        <f ca="1">IFERROR(INT(CampList[[#This Row],[Distance]]/5)+1,"")</f>
        <v>2</v>
      </c>
    </row>
    <row r="274" spans="1:35" ht="15.75" customHeight="1" x14ac:dyDescent="0.3">
      <c r="B274" s="203" t="s">
        <v>1745</v>
      </c>
      <c r="C274" s="197" t="s">
        <v>378</v>
      </c>
      <c r="D274" s="197" t="s">
        <v>478</v>
      </c>
      <c r="E274" s="197" t="s">
        <v>237</v>
      </c>
      <c r="F274" s="197" t="s">
        <v>484</v>
      </c>
      <c r="G274" s="197" t="s">
        <v>27</v>
      </c>
      <c r="H274" s="197" t="s">
        <v>487</v>
      </c>
      <c r="I274" s="211" t="s">
        <v>733</v>
      </c>
      <c r="J274" s="211" t="s">
        <v>734</v>
      </c>
      <c r="K274" s="211" t="s">
        <v>735</v>
      </c>
      <c r="L274" s="211">
        <v>166355</v>
      </c>
      <c r="M274" s="197" t="s">
        <v>362</v>
      </c>
      <c r="N274" s="197" t="s">
        <v>29</v>
      </c>
      <c r="O274" s="204">
        <v>98.475719999999995</v>
      </c>
      <c r="P274" s="204">
        <v>25.754110000000001</v>
      </c>
      <c r="Q274" s="205">
        <v>2785</v>
      </c>
      <c r="R274" s="744">
        <v>163</v>
      </c>
      <c r="S274" s="744">
        <v>936</v>
      </c>
      <c r="T274" s="207">
        <f>IF(CampList[[#This Row],[HH]]&gt;0,CampList[[#This Row],[Total]]/CampList[[#This Row],[HH]],"NA")</f>
        <v>5.742331288343558</v>
      </c>
      <c r="U274" s="199" t="s">
        <v>466</v>
      </c>
      <c r="V274" s="199" t="s">
        <v>995</v>
      </c>
      <c r="W274" s="199" t="s">
        <v>507</v>
      </c>
      <c r="X274" s="199" t="s">
        <v>785</v>
      </c>
      <c r="Y274" s="312">
        <v>41030</v>
      </c>
      <c r="Z274" s="676" t="s">
        <v>424</v>
      </c>
      <c r="AA274" s="223" t="s">
        <v>774</v>
      </c>
      <c r="AB274" s="210">
        <v>43343</v>
      </c>
      <c r="AC274" s="203" t="s">
        <v>1853</v>
      </c>
      <c r="AD274" s="199" t="str">
        <f ca="1">IFERROR(OFFSET(DistanceToCamp[Nearest Town],MATCH(CampList[[#This Row],[CP_Pcode]],DistanceToCamp[CP_Pcode],0)-1,0,1,1),"")</f>
        <v>Pang War Town</v>
      </c>
      <c r="AE274" s="212">
        <f ca="1">IFERROR(OFFSET(DistanceToCamp[distance],MATCH(CampList[[#This Row],[CP_Pcode]],DistanceToCamp[CP_Pcode],0)-1,0,1,1),"")</f>
        <v>19.834999342466848</v>
      </c>
      <c r="AF274" s="213">
        <f ca="1">IFERROR(INT(CampList[[#This Row],[Distance]]/5)+1,"")</f>
        <v>4</v>
      </c>
    </row>
    <row r="275" spans="1:35" ht="15.75" customHeight="1" x14ac:dyDescent="0.3">
      <c r="B275" s="203" t="s">
        <v>1745</v>
      </c>
      <c r="C275" s="197" t="s">
        <v>506</v>
      </c>
      <c r="D275" s="197" t="s">
        <v>489</v>
      </c>
      <c r="E275" s="197" t="s">
        <v>230</v>
      </c>
      <c r="F275" s="198" t="s">
        <v>490</v>
      </c>
      <c r="G275" s="198" t="s">
        <v>146</v>
      </c>
      <c r="H275" s="198" t="s">
        <v>497</v>
      </c>
      <c r="I275" s="239" t="s">
        <v>706</v>
      </c>
      <c r="J275" s="216" t="s">
        <v>707</v>
      </c>
      <c r="K275" s="197"/>
      <c r="L275" s="197"/>
      <c r="M275" s="239" t="s">
        <v>1082</v>
      </c>
      <c r="N275" s="197" t="s">
        <v>1083</v>
      </c>
      <c r="O275" s="234">
        <v>97.868876999999998</v>
      </c>
      <c r="P275" s="234">
        <v>23.447111</v>
      </c>
      <c r="Q275" s="217"/>
      <c r="R275" s="731">
        <v>103</v>
      </c>
      <c r="S275" s="732">
        <v>578</v>
      </c>
      <c r="T275" s="207">
        <f>IF(CampList[[#This Row],[HH]]&gt;0,CampList[[#This Row],[Total]]/CampList[[#This Row],[HH]],"NA")</f>
        <v>5.6116504854368934</v>
      </c>
      <c r="U275" s="199" t="s">
        <v>464</v>
      </c>
      <c r="V275" s="199" t="s">
        <v>995</v>
      </c>
      <c r="W275" s="199" t="s">
        <v>1384</v>
      </c>
      <c r="X275" s="199" t="s">
        <v>784</v>
      </c>
      <c r="Y275" s="676">
        <v>42036</v>
      </c>
      <c r="Z275" s="676" t="s">
        <v>1317</v>
      </c>
      <c r="AA275" s="197" t="s">
        <v>774</v>
      </c>
      <c r="AB275" s="210">
        <v>43312</v>
      </c>
      <c r="AC275" s="211" t="s">
        <v>1763</v>
      </c>
      <c r="AD275" s="199"/>
      <c r="AE275" s="212" t="str">
        <f ca="1">IFERROR(OFFSET(DistanceToCamp[distance],MATCH(CampList[[#This Row],[CP_Pcode]],DistanceToCamp[CP_Pcode],0)-1,0,1,1),"")</f>
        <v/>
      </c>
      <c r="AF275" s="221" t="str">
        <f ca="1">IFERROR(INT(CampList[[#This Row],[Distance]]/5)+1,"")</f>
        <v/>
      </c>
    </row>
    <row r="276" spans="1:35" ht="15.75" hidden="1" customHeight="1" x14ac:dyDescent="0.3">
      <c r="B276" s="203" t="s">
        <v>775</v>
      </c>
      <c r="C276" s="197" t="s">
        <v>506</v>
      </c>
      <c r="D276" s="197" t="s">
        <v>489</v>
      </c>
      <c r="E276" s="197" t="s">
        <v>494</v>
      </c>
      <c r="F276" s="197" t="s">
        <v>495</v>
      </c>
      <c r="G276" s="197" t="s">
        <v>166</v>
      </c>
      <c r="H276" s="197" t="s">
        <v>496</v>
      </c>
      <c r="I276" s="197"/>
      <c r="J276" s="216"/>
      <c r="K276" s="197"/>
      <c r="L276" s="197"/>
      <c r="M276" s="197" t="s">
        <v>1140</v>
      </c>
      <c r="N276" s="198" t="s">
        <v>1123</v>
      </c>
      <c r="O276" s="204"/>
      <c r="P276" s="204"/>
      <c r="Q276" s="217"/>
      <c r="R276" s="310">
        <v>36</v>
      </c>
      <c r="S276" s="311">
        <v>188</v>
      </c>
      <c r="T276" s="207">
        <f>IF(CampList[[#This Row],[HH]]&gt;0,CampList[[#This Row],[Total]]/CampList[[#This Row],[HH]],"NA")</f>
        <v>5.2222222222222223</v>
      </c>
      <c r="U276" s="183" t="s">
        <v>464</v>
      </c>
      <c r="V276" s="199" t="s">
        <v>995</v>
      </c>
      <c r="W276" s="199" t="s">
        <v>1384</v>
      </c>
      <c r="X276" s="199" t="s">
        <v>742</v>
      </c>
      <c r="Y276" s="218">
        <v>42370</v>
      </c>
      <c r="Z276" s="676" t="s">
        <v>1317</v>
      </c>
      <c r="AA276" s="198" t="s">
        <v>774</v>
      </c>
      <c r="AB276" s="210">
        <v>43343</v>
      </c>
      <c r="AC276" s="203" t="s">
        <v>1922</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692" customFormat="1" ht="15.75" hidden="1" customHeight="1" x14ac:dyDescent="0.3">
      <c r="A277" s="174"/>
      <c r="B277" s="203" t="s">
        <v>775</v>
      </c>
      <c r="C277" s="197" t="s">
        <v>506</v>
      </c>
      <c r="D277" s="197" t="s">
        <v>489</v>
      </c>
      <c r="E277" s="197" t="s">
        <v>230</v>
      </c>
      <c r="F277" s="197" t="s">
        <v>490</v>
      </c>
      <c r="G277" s="197" t="s">
        <v>288</v>
      </c>
      <c r="H277" s="197" t="s">
        <v>502</v>
      </c>
      <c r="I277" s="695" t="s">
        <v>1141</v>
      </c>
      <c r="J277" s="698" t="s">
        <v>1142</v>
      </c>
      <c r="K277" s="197" t="s">
        <v>1141</v>
      </c>
      <c r="L277" s="216">
        <v>208469</v>
      </c>
      <c r="M277" s="197" t="s">
        <v>1129</v>
      </c>
      <c r="N277" s="198" t="s">
        <v>1124</v>
      </c>
      <c r="O277" s="204">
        <v>97.504999999999995</v>
      </c>
      <c r="P277" s="204">
        <v>23.611999999999998</v>
      </c>
      <c r="Q277" s="217"/>
      <c r="R277" s="284"/>
      <c r="S277" s="285"/>
      <c r="T277" s="207" t="str">
        <f>IF(CampList[[#This Row],[HH]]&gt;0,CampList[[#This Row],[Total]]/CampList[[#This Row],[HH]],"NA")</f>
        <v>NA</v>
      </c>
      <c r="U277" s="183" t="s">
        <v>464</v>
      </c>
      <c r="V277" s="199" t="s">
        <v>995</v>
      </c>
      <c r="W277" s="183" t="s">
        <v>507</v>
      </c>
      <c r="X277" s="199" t="s">
        <v>784</v>
      </c>
      <c r="Y277" s="218">
        <v>42401</v>
      </c>
      <c r="Z277" s="209"/>
      <c r="AA277" s="198" t="s">
        <v>774</v>
      </c>
      <c r="AB277" s="210">
        <v>42888</v>
      </c>
      <c r="AC277" s="203" t="s">
        <v>1247</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693"/>
      <c r="AI277" s="693"/>
    </row>
    <row r="278" spans="1:35" ht="15.75" customHeight="1" x14ac:dyDescent="0.3">
      <c r="B278" s="203" t="s">
        <v>1745</v>
      </c>
      <c r="C278" s="197" t="s">
        <v>378</v>
      </c>
      <c r="D278" s="197" t="s">
        <v>478</v>
      </c>
      <c r="E278" s="197" t="s">
        <v>5</v>
      </c>
      <c r="F278" s="197" t="s">
        <v>482</v>
      </c>
      <c r="G278" s="197" t="s">
        <v>5</v>
      </c>
      <c r="H278" s="197" t="s">
        <v>483</v>
      </c>
      <c r="I278" s="695" t="s">
        <v>577</v>
      </c>
      <c r="J278" s="695" t="s">
        <v>578</v>
      </c>
      <c r="K278" s="197" t="s">
        <v>581</v>
      </c>
      <c r="L278" s="197" t="s">
        <v>582</v>
      </c>
      <c r="M278" s="197" t="s">
        <v>22</v>
      </c>
      <c r="N278" s="197" t="s">
        <v>21</v>
      </c>
      <c r="O278" s="204">
        <v>97.229116811594196</v>
      </c>
      <c r="P278" s="204">
        <v>24.268292826086999</v>
      </c>
      <c r="Q278" s="205"/>
      <c r="R278" s="274">
        <v>641</v>
      </c>
      <c r="S278" s="745">
        <v>3702</v>
      </c>
      <c r="T278" s="207">
        <f>IF(CampList[[#This Row],[HH]]&gt;0,CampList[[#This Row],[Total]]/CampList[[#This Row],[HH]],"NA")</f>
        <v>5.7753510140405613</v>
      </c>
      <c r="U278" s="199" t="s">
        <v>464</v>
      </c>
      <c r="V278" s="199" t="s">
        <v>995</v>
      </c>
      <c r="W278" s="199" t="s">
        <v>507</v>
      </c>
      <c r="X278" s="199" t="s">
        <v>742</v>
      </c>
      <c r="Y278" s="312">
        <v>40725</v>
      </c>
      <c r="Z278" s="676" t="s">
        <v>424</v>
      </c>
      <c r="AA278" s="197" t="s">
        <v>774</v>
      </c>
      <c r="AB278" s="210">
        <v>43343</v>
      </c>
      <c r="AC278" s="211" t="s">
        <v>1854</v>
      </c>
      <c r="AD278" s="199" t="str">
        <f ca="1">IFERROR(OFFSET(DistanceToCamp[Nearest Town],MATCH(CampList[[#This Row],[CP_Pcode]],DistanceToCamp[CP_Pcode],0)-1,0,1,1),"")</f>
        <v>Bhamo Town</v>
      </c>
      <c r="AE278" s="212">
        <f ca="1">IFERROR(OFFSET(DistanceToCamp[distance],MATCH(CampList[[#This Row],[CP_Pcode]],DistanceToCamp[CP_Pcode],0)-1,0,1,1),"")</f>
        <v>1.5797992800898704</v>
      </c>
      <c r="AF278" s="213">
        <f ca="1">IFERROR(INT(CampList[[#This Row],[Distance]]/5)+1,"")</f>
        <v>1</v>
      </c>
    </row>
    <row r="279" spans="1:35" ht="15.75" customHeight="1" x14ac:dyDescent="0.3">
      <c r="B279" s="203" t="s">
        <v>1745</v>
      </c>
      <c r="C279" s="198" t="s">
        <v>378</v>
      </c>
      <c r="D279" s="198" t="s">
        <v>478</v>
      </c>
      <c r="E279" s="198" t="s">
        <v>237</v>
      </c>
      <c r="F279" s="198" t="s">
        <v>484</v>
      </c>
      <c r="G279" s="198" t="s">
        <v>309</v>
      </c>
      <c r="H279" s="198" t="s">
        <v>485</v>
      </c>
      <c r="I279" s="699" t="s">
        <v>667</v>
      </c>
      <c r="J279" s="698" t="s">
        <v>668</v>
      </c>
      <c r="K279" s="198" t="s">
        <v>667</v>
      </c>
      <c r="L279" s="198">
        <v>165772</v>
      </c>
      <c r="M279" s="198" t="s">
        <v>351</v>
      </c>
      <c r="N279" s="198" t="s">
        <v>350</v>
      </c>
      <c r="O279" s="206">
        <v>97.546893999999995</v>
      </c>
      <c r="P279" s="206">
        <v>24.755253</v>
      </c>
      <c r="Q279" s="217">
        <v>316</v>
      </c>
      <c r="R279" s="738">
        <v>1426</v>
      </c>
      <c r="S279" s="738">
        <v>7119</v>
      </c>
      <c r="T279" s="207">
        <f>IF(CampList[[#This Row],[HH]]&gt;0,CampList[[#This Row],[Total]]/CampList[[#This Row],[HH]],"NA")</f>
        <v>4.9922861150070128</v>
      </c>
      <c r="U279" s="183" t="s">
        <v>466</v>
      </c>
      <c r="V279" s="199" t="s">
        <v>995</v>
      </c>
      <c r="W279" s="183" t="s">
        <v>507</v>
      </c>
      <c r="X279" s="183" t="s">
        <v>742</v>
      </c>
      <c r="Y279" s="313">
        <v>40695</v>
      </c>
      <c r="Z279" s="217" t="s">
        <v>936</v>
      </c>
      <c r="AA279" s="198" t="s">
        <v>774</v>
      </c>
      <c r="AB279" s="210">
        <v>43343</v>
      </c>
      <c r="AC279" s="219" t="s">
        <v>1919</v>
      </c>
      <c r="AD279" s="220" t="str">
        <f ca="1">IFERROR(OFFSET(DistanceToCamp[Nearest Town],MATCH(CampList[[#This Row],[CP_Pcode]],DistanceToCamp[CP_Pcode],0)-1,0,1,1),"")</f>
        <v>Laiza town</v>
      </c>
      <c r="AE279" s="212">
        <f ca="1">IFERROR(OFFSET(DistanceToCamp[distance],MATCH(CampList[[#This Row],[CP_Pcode]],DistanceToCamp[CP_Pcode],0)-1,0,1,1),"")</f>
        <v>1.7420415164460403</v>
      </c>
      <c r="AF279" s="221">
        <f ca="1">IFERROR(INT(CampList[[#This Row],[Distance]]/5)+1,"")</f>
        <v>1</v>
      </c>
    </row>
    <row r="280" spans="1:35" ht="15.75" hidden="1" customHeight="1" x14ac:dyDescent="0.3">
      <c r="B280" s="203" t="s">
        <v>775</v>
      </c>
      <c r="C280" s="197" t="s">
        <v>506</v>
      </c>
      <c r="D280" s="197" t="s">
        <v>489</v>
      </c>
      <c r="E280" s="197" t="s">
        <v>717</v>
      </c>
      <c r="F280" s="197" t="s">
        <v>718</v>
      </c>
      <c r="G280" s="197" t="s">
        <v>719</v>
      </c>
      <c r="H280" s="197" t="s">
        <v>720</v>
      </c>
      <c r="I280" s="695" t="s">
        <v>1144</v>
      </c>
      <c r="J280" s="698" t="s">
        <v>1145</v>
      </c>
      <c r="K280" s="197" t="s">
        <v>1144</v>
      </c>
      <c r="L280" s="216">
        <v>206395</v>
      </c>
      <c r="M280" s="197" t="s">
        <v>1143</v>
      </c>
      <c r="N280" s="198" t="s">
        <v>1127</v>
      </c>
      <c r="O280" s="204">
        <v>98.221000000000004</v>
      </c>
      <c r="P280" s="204">
        <v>23.353999999999999</v>
      </c>
      <c r="Q280" s="217"/>
      <c r="R280" s="310"/>
      <c r="S280" s="311"/>
      <c r="T280" s="207" t="str">
        <f>IF(CampList[[#This Row],[HH]]&gt;0,CampList[[#This Row],[Total]]/CampList[[#This Row],[HH]],"NA")</f>
        <v>NA</v>
      </c>
      <c r="U280" s="183" t="s">
        <v>464</v>
      </c>
      <c r="V280" s="199" t="s">
        <v>995</v>
      </c>
      <c r="W280" s="183" t="s">
        <v>507</v>
      </c>
      <c r="X280" s="199" t="s">
        <v>742</v>
      </c>
      <c r="Y280" s="218">
        <v>42430</v>
      </c>
      <c r="Z280" s="209"/>
      <c r="AA280" s="198" t="s">
        <v>774</v>
      </c>
      <c r="AB280" s="210">
        <v>42927</v>
      </c>
      <c r="AC280" s="203" t="s">
        <v>1286</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3">
      <c r="B281" s="203" t="s">
        <v>1745</v>
      </c>
      <c r="C281" s="197" t="s">
        <v>378</v>
      </c>
      <c r="D281" s="197" t="s">
        <v>478</v>
      </c>
      <c r="E281" s="197" t="s">
        <v>180</v>
      </c>
      <c r="F281" s="197" t="s">
        <v>479</v>
      </c>
      <c r="G281" s="197" t="s">
        <v>180</v>
      </c>
      <c r="H281" s="197" t="s">
        <v>504</v>
      </c>
      <c r="I281" s="197" t="s">
        <v>556</v>
      </c>
      <c r="J281" s="197" t="s">
        <v>557</v>
      </c>
      <c r="K281" s="197" t="s">
        <v>1688</v>
      </c>
      <c r="L281" s="700">
        <v>166592</v>
      </c>
      <c r="M281" s="197" t="s">
        <v>286</v>
      </c>
      <c r="N281" s="197" t="s">
        <v>285</v>
      </c>
      <c r="O281" s="204">
        <v>96.364949999999993</v>
      </c>
      <c r="P281" s="204">
        <v>24.998349999999999</v>
      </c>
      <c r="Q281" s="205"/>
      <c r="R281" s="274">
        <v>26</v>
      </c>
      <c r="S281" s="274">
        <v>117</v>
      </c>
      <c r="T281" s="207">
        <f>IF(CampList[[#This Row],[HH]]&gt;0,CampList[[#This Row],[Total]]/CampList[[#This Row],[HH]],"NA")</f>
        <v>4.5</v>
      </c>
      <c r="U281" s="199" t="s">
        <v>464</v>
      </c>
      <c r="V281" s="199" t="s">
        <v>995</v>
      </c>
      <c r="W281" s="199" t="s">
        <v>507</v>
      </c>
      <c r="X281" s="199" t="s">
        <v>784</v>
      </c>
      <c r="Y281" s="312">
        <v>40940</v>
      </c>
      <c r="Z281" s="676" t="s">
        <v>424</v>
      </c>
      <c r="AA281" s="197" t="s">
        <v>774</v>
      </c>
      <c r="AB281" s="210">
        <v>43343</v>
      </c>
      <c r="AC281" s="211" t="s">
        <v>1869</v>
      </c>
      <c r="AD281" s="199" t="str">
        <f ca="1">IFERROR(OFFSET(DistanceToCamp[Nearest Town],MATCH(CampList[[#This Row],[CP_Pcode]],DistanceToCamp[CP_Pcode],0)-1,0,1,1),"")</f>
        <v>Hopin Town</v>
      </c>
      <c r="AE281" s="212">
        <f ca="1">IFERROR(OFFSET(DistanceToCamp[distance],MATCH(CampList[[#This Row],[CP_Pcode]],DistanceToCamp[CP_Pcode],0)-1,0,1,1),"")</f>
        <v>16.668825701583572</v>
      </c>
      <c r="AF281" s="213">
        <f ca="1">IFERROR(INT(CampList[[#This Row],[Distance]]/5)+1,"")</f>
        <v>4</v>
      </c>
    </row>
    <row r="282" spans="1:35" ht="15.75" hidden="1" customHeight="1" x14ac:dyDescent="0.3">
      <c r="B282" s="203" t="s">
        <v>775</v>
      </c>
      <c r="C282" s="197" t="s">
        <v>506</v>
      </c>
      <c r="D282" s="197" t="s">
        <v>489</v>
      </c>
      <c r="E282" s="197" t="s">
        <v>494</v>
      </c>
      <c r="F282" s="197" t="s">
        <v>495</v>
      </c>
      <c r="G282" s="197" t="s">
        <v>297</v>
      </c>
      <c r="H282" s="197" t="s">
        <v>503</v>
      </c>
      <c r="I282" s="699" t="s">
        <v>755</v>
      </c>
      <c r="J282" s="698" t="s">
        <v>756</v>
      </c>
      <c r="K282" s="699" t="s">
        <v>757</v>
      </c>
      <c r="L282" s="699" t="s">
        <v>758</v>
      </c>
      <c r="M282" s="610" t="s">
        <v>1186</v>
      </c>
      <c r="N282" s="198" t="s">
        <v>1169</v>
      </c>
      <c r="O282" s="274">
        <v>97.400671000000003</v>
      </c>
      <c r="P282" s="274">
        <v>23.099304</v>
      </c>
      <c r="Q282" s="275"/>
      <c r="R282" s="605"/>
      <c r="S282" s="605"/>
      <c r="T282" s="276" t="str">
        <f>IF(CampList[[#This Row],[HH]]&gt;0,CampList[[#This Row],[Total]]/CampList[[#This Row],[HH]],"NA")</f>
        <v>NA</v>
      </c>
      <c r="U282" s="183" t="s">
        <v>464</v>
      </c>
      <c r="V282" s="277" t="s">
        <v>995</v>
      </c>
      <c r="W282" s="182" t="s">
        <v>507</v>
      </c>
      <c r="X282" s="182" t="s">
        <v>742</v>
      </c>
      <c r="Y282" s="278"/>
      <c r="Z282" s="275"/>
      <c r="AA282" s="272" t="s">
        <v>774</v>
      </c>
      <c r="AB282" s="279">
        <v>42888</v>
      </c>
      <c r="AC282" s="280" t="s">
        <v>1246</v>
      </c>
      <c r="AD282" s="281" t="str">
        <f ca="1">IFERROR(OFFSET(DistanceToCamp[Nearest Town],MATCH(CampList[[#This Row],[CP_Pcode]],DistanceToCamp[CP_Pcode],0)-1,0,1,1),"")</f>
        <v/>
      </c>
      <c r="AE282" s="282" t="str">
        <f ca="1">IFERROR(OFFSET(DistanceToCamp[distance],MATCH(CampList[[#This Row],[CP_Pcode]],DistanceToCamp[CP_Pcode],0)-1,0,1,1),"")</f>
        <v/>
      </c>
      <c r="AF282" s="283" t="str">
        <f ca="1">IFERROR(INT(CampList[[#This Row],[Distance]]/5)+1,"")</f>
        <v/>
      </c>
    </row>
    <row r="283" spans="1:35" ht="15.75" hidden="1" customHeight="1" x14ac:dyDescent="0.3">
      <c r="B283" s="203" t="s">
        <v>775</v>
      </c>
      <c r="C283" s="197" t="s">
        <v>506</v>
      </c>
      <c r="D283" s="197" t="s">
        <v>489</v>
      </c>
      <c r="E283" s="197" t="s">
        <v>494</v>
      </c>
      <c r="F283" s="197" t="s">
        <v>495</v>
      </c>
      <c r="G283" s="197" t="s">
        <v>297</v>
      </c>
      <c r="H283" s="197" t="s">
        <v>503</v>
      </c>
      <c r="I283" s="272" t="s">
        <v>755</v>
      </c>
      <c r="J283" s="273" t="s">
        <v>756</v>
      </c>
      <c r="K283" s="198" t="s">
        <v>757</v>
      </c>
      <c r="L283" s="198" t="s">
        <v>758</v>
      </c>
      <c r="M283" s="197" t="s">
        <v>1188</v>
      </c>
      <c r="N283" s="198" t="s">
        <v>1170</v>
      </c>
      <c r="O283" s="274"/>
      <c r="P283" s="274"/>
      <c r="Q283" s="275"/>
      <c r="R283" s="234">
        <v>13</v>
      </c>
      <c r="S283" s="234">
        <v>45</v>
      </c>
      <c r="T283" s="276">
        <f>IF(CampList[[#This Row],[HH]]&gt;0,CampList[[#This Row],[Total]]/CampList[[#This Row],[HH]],"NA")</f>
        <v>3.4615384615384617</v>
      </c>
      <c r="U283" s="183" t="s">
        <v>464</v>
      </c>
      <c r="V283" s="277" t="s">
        <v>995</v>
      </c>
      <c r="W283" s="199" t="s">
        <v>1384</v>
      </c>
      <c r="X283" s="182" t="s">
        <v>742</v>
      </c>
      <c r="Y283" s="278"/>
      <c r="Z283" s="275"/>
      <c r="AA283" s="272" t="s">
        <v>774</v>
      </c>
      <c r="AB283" s="279">
        <v>42752</v>
      </c>
      <c r="AC283" s="280" t="s">
        <v>1531</v>
      </c>
      <c r="AD283" s="281" t="str">
        <f ca="1">IFERROR(OFFSET(DistanceToCamp[Nearest Town],MATCH(CampList[[#This Row],[CP_Pcode]],DistanceToCamp[CP_Pcode],0)-1,0,1,1),"")</f>
        <v/>
      </c>
      <c r="AE283" s="282" t="str">
        <f ca="1">IFERROR(OFFSET(DistanceToCamp[distance],MATCH(CampList[[#This Row],[CP_Pcode]],DistanceToCamp[CP_Pcode],0)-1,0,1,1),"")</f>
        <v/>
      </c>
      <c r="AF283" s="283" t="str">
        <f ca="1">IFERROR(INT(CampList[[#This Row],[Distance]]/5)+1,"")</f>
        <v/>
      </c>
    </row>
    <row r="284" spans="1:35" ht="15.75" hidden="1" customHeight="1" x14ac:dyDescent="0.3">
      <c r="B284" s="203" t="s">
        <v>775</v>
      </c>
      <c r="C284" s="197" t="s">
        <v>506</v>
      </c>
      <c r="D284" s="197" t="s">
        <v>489</v>
      </c>
      <c r="E284" s="197" t="s">
        <v>494</v>
      </c>
      <c r="F284" s="197" t="s">
        <v>495</v>
      </c>
      <c r="G284" s="197" t="s">
        <v>297</v>
      </c>
      <c r="H284" s="197" t="s">
        <v>503</v>
      </c>
      <c r="I284" s="272" t="s">
        <v>755</v>
      </c>
      <c r="J284" s="273" t="s">
        <v>756</v>
      </c>
      <c r="K284" s="699" t="s">
        <v>757</v>
      </c>
      <c r="L284" s="699" t="s">
        <v>758</v>
      </c>
      <c r="M284" s="610" t="s">
        <v>1189</v>
      </c>
      <c r="N284" s="198" t="s">
        <v>1171</v>
      </c>
      <c r="O284" s="274"/>
      <c r="P284" s="274"/>
      <c r="Q284" s="275"/>
      <c r="R284" s="234"/>
      <c r="S284" s="234"/>
      <c r="T284" s="276" t="str">
        <f>IF(CampList[[#This Row],[HH]]&gt;0,CampList[[#This Row],[Total]]/CampList[[#This Row],[HH]],"NA")</f>
        <v>NA</v>
      </c>
      <c r="U284" s="183" t="s">
        <v>464</v>
      </c>
      <c r="V284" s="277" t="s">
        <v>995</v>
      </c>
      <c r="W284" s="182" t="s">
        <v>507</v>
      </c>
      <c r="X284" s="182" t="s">
        <v>742</v>
      </c>
      <c r="Y284" s="278"/>
      <c r="Z284" s="275"/>
      <c r="AA284" s="272" t="s">
        <v>774</v>
      </c>
      <c r="AB284" s="210">
        <v>42919</v>
      </c>
      <c r="AC284" s="280" t="s">
        <v>1271</v>
      </c>
      <c r="AD284" s="281" t="str">
        <f ca="1">IFERROR(OFFSET(DistanceToCamp[Nearest Town],MATCH(CampList[[#This Row],[CP_Pcode]],DistanceToCamp[CP_Pcode],0)-1,0,1,1),"")</f>
        <v/>
      </c>
      <c r="AE284" s="282" t="str">
        <f ca="1">IFERROR(OFFSET(DistanceToCamp[distance],MATCH(CampList[[#This Row],[CP_Pcode]],DistanceToCamp[CP_Pcode],0)-1,0,1,1),"")</f>
        <v/>
      </c>
      <c r="AF284" s="283" t="str">
        <f ca="1">IFERROR(INT(CampList[[#This Row],[Distance]]/5)+1,"")</f>
        <v/>
      </c>
    </row>
    <row r="285" spans="1:35" ht="15.75" hidden="1" customHeight="1" x14ac:dyDescent="0.3">
      <c r="B285" s="203" t="s">
        <v>775</v>
      </c>
      <c r="C285" s="197" t="s">
        <v>506</v>
      </c>
      <c r="D285" s="197" t="s">
        <v>489</v>
      </c>
      <c r="E285" s="197" t="s">
        <v>494</v>
      </c>
      <c r="F285" s="197" t="s">
        <v>495</v>
      </c>
      <c r="G285" s="197" t="s">
        <v>297</v>
      </c>
      <c r="H285" s="197" t="s">
        <v>503</v>
      </c>
      <c r="I285" s="272" t="s">
        <v>755</v>
      </c>
      <c r="J285" s="273" t="s">
        <v>756</v>
      </c>
      <c r="K285" s="272" t="s">
        <v>757</v>
      </c>
      <c r="L285" s="699" t="s">
        <v>758</v>
      </c>
      <c r="M285" s="610" t="s">
        <v>1190</v>
      </c>
      <c r="N285" s="198" t="s">
        <v>1172</v>
      </c>
      <c r="O285" s="274"/>
      <c r="P285" s="274"/>
      <c r="Q285" s="275"/>
      <c r="R285" s="234"/>
      <c r="S285" s="234"/>
      <c r="T285" s="276" t="str">
        <f>IF(CampList[[#This Row],[HH]]&gt;0,CampList[[#This Row],[Total]]/CampList[[#This Row],[HH]],"NA")</f>
        <v>NA</v>
      </c>
      <c r="U285" s="183" t="s">
        <v>464</v>
      </c>
      <c r="V285" s="277" t="s">
        <v>995</v>
      </c>
      <c r="W285" s="182" t="s">
        <v>507</v>
      </c>
      <c r="X285" s="182" t="s">
        <v>742</v>
      </c>
      <c r="Y285" s="278"/>
      <c r="Z285" s="275"/>
      <c r="AA285" s="272" t="s">
        <v>774</v>
      </c>
      <c r="AB285" s="210">
        <v>42919</v>
      </c>
      <c r="AC285" s="280" t="s">
        <v>1271</v>
      </c>
      <c r="AD285" s="281" t="str">
        <f ca="1">IFERROR(OFFSET(DistanceToCamp[Nearest Town],MATCH(CampList[[#This Row],[CP_Pcode]],DistanceToCamp[CP_Pcode],0)-1,0,1,1),"")</f>
        <v/>
      </c>
      <c r="AE285" s="282" t="str">
        <f ca="1">IFERROR(OFFSET(DistanceToCamp[distance],MATCH(CampList[[#This Row],[CP_Pcode]],DistanceToCamp[CP_Pcode],0)-1,0,1,1),"")</f>
        <v/>
      </c>
      <c r="AF285" s="283" t="str">
        <f ca="1">IFERROR(INT(CampList[[#This Row],[Distance]]/5)+1,"")</f>
        <v/>
      </c>
    </row>
    <row r="286" spans="1:35" ht="15.75" customHeight="1" x14ac:dyDescent="0.3">
      <c r="B286" s="203" t="s">
        <v>1745</v>
      </c>
      <c r="C286" s="197" t="s">
        <v>378</v>
      </c>
      <c r="D286" s="197" t="s">
        <v>478</v>
      </c>
      <c r="E286" s="197" t="s">
        <v>5</v>
      </c>
      <c r="F286" s="197" t="s">
        <v>482</v>
      </c>
      <c r="G286" s="197" t="s">
        <v>151</v>
      </c>
      <c r="H286" s="197" t="s">
        <v>492</v>
      </c>
      <c r="I286" s="197" t="s">
        <v>811</v>
      </c>
      <c r="J286" s="197" t="s">
        <v>1108</v>
      </c>
      <c r="K286" s="197" t="s">
        <v>811</v>
      </c>
      <c r="L286" s="197">
        <v>167301</v>
      </c>
      <c r="M286" s="197" t="s">
        <v>811</v>
      </c>
      <c r="N286" s="197" t="s">
        <v>812</v>
      </c>
      <c r="O286" s="204">
        <v>97.225881000000001</v>
      </c>
      <c r="P286" s="204">
        <v>23.972453000000002</v>
      </c>
      <c r="Q286" s="217">
        <v>466</v>
      </c>
      <c r="R286" s="274">
        <v>433</v>
      </c>
      <c r="S286" s="691">
        <v>1857</v>
      </c>
      <c r="T286" s="207">
        <f>IF(CampList[[#This Row],[HH]]&gt;0,CampList[[#This Row],[Total]]/CampList[[#This Row],[HH]],"NA")</f>
        <v>4.2886836027713624</v>
      </c>
      <c r="U286" s="199" t="s">
        <v>464</v>
      </c>
      <c r="V286" s="199" t="s">
        <v>995</v>
      </c>
      <c r="W286" s="199" t="s">
        <v>507</v>
      </c>
      <c r="X286" s="199" t="s">
        <v>784</v>
      </c>
      <c r="Y286" s="312">
        <v>41548</v>
      </c>
      <c r="Z286" s="676" t="s">
        <v>424</v>
      </c>
      <c r="AA286" s="223" t="s">
        <v>774</v>
      </c>
      <c r="AB286" s="210">
        <v>43343</v>
      </c>
      <c r="AC286" s="203" t="s">
        <v>1874</v>
      </c>
      <c r="AD286" s="199" t="str">
        <f ca="1">IFERROR(OFFSET(DistanceToCamp[Nearest Town],MATCH(CampList[[#This Row],[CP_Pcode]],DistanceToCamp[CP_Pcode],0)-1,0,1,1),"")</f>
        <v>Mansi Town</v>
      </c>
      <c r="AE286" s="212">
        <f ca="1">IFERROR(OFFSET(DistanceToCamp[distance],MATCH(CampList[[#This Row],[CP_Pcode]],DistanceToCamp[CP_Pcode],0)-1,0,1,1),"")</f>
        <v>17.731070777343263</v>
      </c>
      <c r="AF286" s="213">
        <f ca="1">IFERROR(INT(CampList[[#This Row],[Distance]]/5)+1,"")</f>
        <v>4</v>
      </c>
    </row>
    <row r="287" spans="1:35" ht="15.75" hidden="1" customHeight="1" x14ac:dyDescent="0.3">
      <c r="B287" s="203" t="s">
        <v>775</v>
      </c>
      <c r="C287" s="197" t="s">
        <v>506</v>
      </c>
      <c r="D287" s="197" t="s">
        <v>489</v>
      </c>
      <c r="E287" s="197" t="s">
        <v>230</v>
      </c>
      <c r="F287" s="197" t="s">
        <v>490</v>
      </c>
      <c r="G287" s="197" t="s">
        <v>230</v>
      </c>
      <c r="H287" s="197" t="s">
        <v>491</v>
      </c>
      <c r="I287" s="272" t="s">
        <v>899</v>
      </c>
      <c r="J287" s="273" t="s">
        <v>900</v>
      </c>
      <c r="K287" s="272" t="s">
        <v>901</v>
      </c>
      <c r="L287" s="272" t="s">
        <v>902</v>
      </c>
      <c r="M287" s="174" t="s">
        <v>1198</v>
      </c>
      <c r="N287" s="198" t="s">
        <v>1174</v>
      </c>
      <c r="O287" s="274"/>
      <c r="P287" s="274"/>
      <c r="Q287" s="275"/>
      <c r="R287" s="182"/>
      <c r="S287" s="185"/>
      <c r="T287" s="276" t="str">
        <f>IF(CampList[[#This Row],[HH]]&gt;0,CampList[[#This Row],[Total]]/CampList[[#This Row],[HH]],"NA")</f>
        <v>NA</v>
      </c>
      <c r="U287" s="183" t="s">
        <v>464</v>
      </c>
      <c r="V287" s="277" t="s">
        <v>995</v>
      </c>
      <c r="W287" s="182" t="s">
        <v>507</v>
      </c>
      <c r="X287" s="182" t="s">
        <v>742</v>
      </c>
      <c r="Y287" s="278"/>
      <c r="Z287" s="275"/>
      <c r="AA287" s="272" t="s">
        <v>774</v>
      </c>
      <c r="AB287" s="279">
        <v>42831</v>
      </c>
      <c r="AC287" s="280" t="s">
        <v>1226</v>
      </c>
      <c r="AD287" s="281" t="str">
        <f ca="1">IFERROR(OFFSET(DistanceToCamp[Nearest Town],MATCH(CampList[[#This Row],[CP_Pcode]],DistanceToCamp[CP_Pcode],0)-1,0,1,1),"")</f>
        <v/>
      </c>
      <c r="AE287" s="282" t="str">
        <f ca="1">IFERROR(OFFSET(DistanceToCamp[distance],MATCH(CampList[[#This Row],[CP_Pcode]],DistanceToCamp[CP_Pcode],0)-1,0,1,1),"")</f>
        <v/>
      </c>
      <c r="AF287" s="283" t="str">
        <f ca="1">IFERROR(INT(CampList[[#This Row],[Distance]]/5)+1,"")</f>
        <v/>
      </c>
    </row>
    <row r="288" spans="1:35" ht="15.75" hidden="1" customHeight="1" x14ac:dyDescent="0.3">
      <c r="B288" s="203" t="s">
        <v>775</v>
      </c>
      <c r="C288" s="197" t="s">
        <v>506</v>
      </c>
      <c r="D288" s="197" t="s">
        <v>489</v>
      </c>
      <c r="E288" s="197" t="s">
        <v>230</v>
      </c>
      <c r="F288" s="197" t="s">
        <v>490</v>
      </c>
      <c r="G288" s="197" t="s">
        <v>230</v>
      </c>
      <c r="H288" s="197" t="s">
        <v>491</v>
      </c>
      <c r="I288" s="272" t="s">
        <v>899</v>
      </c>
      <c r="J288" s="273" t="s">
        <v>900</v>
      </c>
      <c r="K288" s="272" t="s">
        <v>1202</v>
      </c>
      <c r="L288" s="272" t="s">
        <v>1203</v>
      </c>
      <c r="M288" s="174" t="s">
        <v>1208</v>
      </c>
      <c r="N288" s="198" t="s">
        <v>1175</v>
      </c>
      <c r="O288" s="274"/>
      <c r="P288" s="274"/>
      <c r="Q288" s="275"/>
      <c r="R288" s="182"/>
      <c r="S288" s="185"/>
      <c r="T288" s="276" t="str">
        <f>IF(CampList[[#This Row],[HH]]&gt;0,CampList[[#This Row],[Total]]/CampList[[#This Row],[HH]],"NA")</f>
        <v>NA</v>
      </c>
      <c r="U288" s="183" t="s">
        <v>464</v>
      </c>
      <c r="V288" s="277" t="s">
        <v>995</v>
      </c>
      <c r="W288" s="182" t="s">
        <v>507</v>
      </c>
      <c r="X288" s="182" t="s">
        <v>742</v>
      </c>
      <c r="Y288" s="278"/>
      <c r="Z288" s="275"/>
      <c r="AA288" s="272"/>
      <c r="AB288" s="279">
        <v>42752</v>
      </c>
      <c r="AC288" s="280" t="s">
        <v>1187</v>
      </c>
      <c r="AD288" s="281" t="str">
        <f ca="1">IFERROR(OFFSET(DistanceToCamp[Nearest Town],MATCH(CampList[[#This Row],[CP_Pcode]],DistanceToCamp[CP_Pcode],0)-1,0,1,1),"")</f>
        <v/>
      </c>
      <c r="AE288" s="282" t="str">
        <f ca="1">IFERROR(OFFSET(DistanceToCamp[distance],MATCH(CampList[[#This Row],[CP_Pcode]],DistanceToCamp[CP_Pcode],0)-1,0,1,1),"")</f>
        <v/>
      </c>
      <c r="AF288" s="283" t="str">
        <f ca="1">IFERROR(INT(CampList[[#This Row],[Distance]]/5)+1,"")</f>
        <v/>
      </c>
    </row>
    <row r="289" spans="2:32" ht="15.75" hidden="1" customHeight="1" x14ac:dyDescent="0.3">
      <c r="B289" s="203" t="s">
        <v>775</v>
      </c>
      <c r="C289" s="197" t="s">
        <v>506</v>
      </c>
      <c r="D289" s="197" t="s">
        <v>489</v>
      </c>
      <c r="E289" s="197" t="s">
        <v>230</v>
      </c>
      <c r="F289" s="197" t="s">
        <v>490</v>
      </c>
      <c r="G289" s="197" t="s">
        <v>230</v>
      </c>
      <c r="H289" s="197" t="s">
        <v>491</v>
      </c>
      <c r="I289" s="272" t="s">
        <v>899</v>
      </c>
      <c r="J289" s="273" t="s">
        <v>900</v>
      </c>
      <c r="K289" s="272" t="s">
        <v>1204</v>
      </c>
      <c r="L289" s="272" t="s">
        <v>1205</v>
      </c>
      <c r="M289" s="174" t="s">
        <v>1209</v>
      </c>
      <c r="N289" s="198" t="s">
        <v>1176</v>
      </c>
      <c r="O289" s="274"/>
      <c r="P289" s="274"/>
      <c r="Q289" s="275"/>
      <c r="R289" s="182"/>
      <c r="S289" s="185"/>
      <c r="T289" s="276" t="str">
        <f>IF(CampList[[#This Row],[HH]]&gt;0,CampList[[#This Row],[Total]]/CampList[[#This Row],[HH]],"NA")</f>
        <v>NA</v>
      </c>
      <c r="U289" s="183" t="s">
        <v>464</v>
      </c>
      <c r="V289" s="277" t="s">
        <v>995</v>
      </c>
      <c r="W289" s="182" t="s">
        <v>507</v>
      </c>
      <c r="X289" s="182" t="s">
        <v>742</v>
      </c>
      <c r="Y289" s="278"/>
      <c r="Z289" s="275"/>
      <c r="AA289" s="272"/>
      <c r="AB289" s="279">
        <v>42752</v>
      </c>
      <c r="AC289" s="280" t="s">
        <v>1187</v>
      </c>
      <c r="AD289" s="281" t="str">
        <f ca="1">IFERROR(OFFSET(DistanceToCamp[Nearest Town],MATCH(CampList[[#This Row],[CP_Pcode]],DistanceToCamp[CP_Pcode],0)-1,0,1,1),"")</f>
        <v/>
      </c>
      <c r="AE289" s="282" t="str">
        <f ca="1">IFERROR(OFFSET(DistanceToCamp[distance],MATCH(CampList[[#This Row],[CP_Pcode]],DistanceToCamp[CP_Pcode],0)-1,0,1,1),"")</f>
        <v/>
      </c>
      <c r="AF289" s="283" t="str">
        <f ca="1">IFERROR(INT(CampList[[#This Row],[Distance]]/5)+1,"")</f>
        <v/>
      </c>
    </row>
    <row r="290" spans="2:32" ht="15.75" hidden="1" customHeight="1" x14ac:dyDescent="0.3">
      <c r="B290" s="203" t="s">
        <v>775</v>
      </c>
      <c r="C290" s="197" t="s">
        <v>506</v>
      </c>
      <c r="D290" s="197" t="s">
        <v>489</v>
      </c>
      <c r="E290" s="197" t="s">
        <v>230</v>
      </c>
      <c r="F290" s="197" t="s">
        <v>490</v>
      </c>
      <c r="G290" s="197" t="s">
        <v>230</v>
      </c>
      <c r="H290" s="197" t="s">
        <v>491</v>
      </c>
      <c r="I290" s="272"/>
      <c r="J290" s="273"/>
      <c r="K290" s="272"/>
      <c r="L290" s="272"/>
      <c r="M290" s="174" t="s">
        <v>1199</v>
      </c>
      <c r="N290" s="198" t="s">
        <v>1177</v>
      </c>
      <c r="O290" s="274"/>
      <c r="P290" s="274"/>
      <c r="Q290" s="275"/>
      <c r="R290" s="182"/>
      <c r="S290" s="185"/>
      <c r="T290" s="276" t="str">
        <f>IF(CampList[[#This Row],[HH]]&gt;0,CampList[[#This Row],[Total]]/CampList[[#This Row],[HH]],"NA")</f>
        <v>NA</v>
      </c>
      <c r="U290" s="183" t="s">
        <v>464</v>
      </c>
      <c r="V290" s="277" t="s">
        <v>995</v>
      </c>
      <c r="W290" s="182" t="s">
        <v>507</v>
      </c>
      <c r="X290" s="182"/>
      <c r="Y290" s="278"/>
      <c r="Z290" s="275"/>
      <c r="AA290" s="272" t="s">
        <v>774</v>
      </c>
      <c r="AB290" s="279">
        <v>42831</v>
      </c>
      <c r="AC290" s="280" t="s">
        <v>1226</v>
      </c>
      <c r="AD290" s="281" t="str">
        <f ca="1">IFERROR(OFFSET(DistanceToCamp[Nearest Town],MATCH(CampList[[#This Row],[CP_Pcode]],DistanceToCamp[CP_Pcode],0)-1,0,1,1),"")</f>
        <v/>
      </c>
      <c r="AE290" s="282" t="str">
        <f ca="1">IFERROR(OFFSET(DistanceToCamp[distance],MATCH(CampList[[#This Row],[CP_Pcode]],DistanceToCamp[CP_Pcode],0)-1,0,1,1),"")</f>
        <v/>
      </c>
      <c r="AF290" s="283" t="str">
        <f ca="1">IFERROR(INT(CampList[[#This Row],[Distance]]/5)+1,"")</f>
        <v/>
      </c>
    </row>
    <row r="291" spans="2:32" ht="15.75" hidden="1" customHeight="1" x14ac:dyDescent="0.3">
      <c r="B291" s="203" t="s">
        <v>775</v>
      </c>
      <c r="C291" s="197" t="s">
        <v>506</v>
      </c>
      <c r="D291" s="197" t="s">
        <v>489</v>
      </c>
      <c r="E291" s="197" t="s">
        <v>230</v>
      </c>
      <c r="F291" s="197" t="s">
        <v>490</v>
      </c>
      <c r="G291" s="197" t="s">
        <v>230</v>
      </c>
      <c r="H291" s="197" t="s">
        <v>491</v>
      </c>
      <c r="I291" s="272" t="s">
        <v>899</v>
      </c>
      <c r="J291" s="273" t="s">
        <v>900</v>
      </c>
      <c r="K291" s="272" t="s">
        <v>1206</v>
      </c>
      <c r="L291" s="272" t="s">
        <v>1207</v>
      </c>
      <c r="M291" s="174" t="s">
        <v>1210</v>
      </c>
      <c r="N291" s="198" t="s">
        <v>1178</v>
      </c>
      <c r="O291" s="274"/>
      <c r="P291" s="274"/>
      <c r="Q291" s="275"/>
      <c r="R291" s="182"/>
      <c r="S291" s="185"/>
      <c r="T291" s="276" t="str">
        <f>IF(CampList[[#This Row],[HH]]&gt;0,CampList[[#This Row],[Total]]/CampList[[#This Row],[HH]],"NA")</f>
        <v>NA</v>
      </c>
      <c r="U291" s="183" t="s">
        <v>464</v>
      </c>
      <c r="V291" s="277" t="s">
        <v>995</v>
      </c>
      <c r="W291" s="182" t="s">
        <v>507</v>
      </c>
      <c r="X291" s="182" t="s">
        <v>742</v>
      </c>
      <c r="Y291" s="278"/>
      <c r="Z291" s="275"/>
      <c r="AA291" s="272" t="s">
        <v>774</v>
      </c>
      <c r="AB291" s="279">
        <v>42831</v>
      </c>
      <c r="AC291" s="280" t="s">
        <v>1226</v>
      </c>
      <c r="AD291" s="281" t="str">
        <f ca="1">IFERROR(OFFSET(DistanceToCamp[Nearest Town],MATCH(CampList[[#This Row],[CP_Pcode]],DistanceToCamp[CP_Pcode],0)-1,0,1,1),"")</f>
        <v/>
      </c>
      <c r="AE291" s="282" t="str">
        <f ca="1">IFERROR(OFFSET(DistanceToCamp[distance],MATCH(CampList[[#This Row],[CP_Pcode]],DistanceToCamp[CP_Pcode],0)-1,0,1,1),"")</f>
        <v/>
      </c>
      <c r="AF291" s="283" t="str">
        <f ca="1">IFERROR(INT(CampList[[#This Row],[Distance]]/5)+1,"")</f>
        <v/>
      </c>
    </row>
    <row r="292" spans="2:32" ht="15.75" hidden="1" customHeight="1" x14ac:dyDescent="0.3">
      <c r="B292" s="203" t="s">
        <v>775</v>
      </c>
      <c r="C292" s="197" t="s">
        <v>506</v>
      </c>
      <c r="D292" s="197" t="s">
        <v>489</v>
      </c>
      <c r="E292" s="197" t="s">
        <v>230</v>
      </c>
      <c r="F292" s="197" t="s">
        <v>490</v>
      </c>
      <c r="G292" s="197" t="s">
        <v>230</v>
      </c>
      <c r="H292" s="197" t="s">
        <v>491</v>
      </c>
      <c r="I292" s="272" t="s">
        <v>1211</v>
      </c>
      <c r="J292" s="273" t="s">
        <v>1212</v>
      </c>
      <c r="K292" s="272" t="s">
        <v>1213</v>
      </c>
      <c r="L292" s="272">
        <v>208003</v>
      </c>
      <c r="M292" s="174" t="s">
        <v>1214</v>
      </c>
      <c r="N292" s="198" t="s">
        <v>1179</v>
      </c>
      <c r="O292" s="274"/>
      <c r="P292" s="274"/>
      <c r="Q292" s="275"/>
      <c r="R292" s="182"/>
      <c r="S292" s="185"/>
      <c r="T292" s="276" t="str">
        <f>IF(CampList[[#This Row],[HH]]&gt;0,CampList[[#This Row],[Total]]/CampList[[#This Row],[HH]],"NA")</f>
        <v>NA</v>
      </c>
      <c r="U292" s="183" t="s">
        <v>464</v>
      </c>
      <c r="V292" s="277" t="s">
        <v>995</v>
      </c>
      <c r="W292" s="182" t="s">
        <v>507</v>
      </c>
      <c r="X292" s="182" t="s">
        <v>784</v>
      </c>
      <c r="Y292" s="278"/>
      <c r="Z292" s="275"/>
      <c r="AA292" s="272" t="s">
        <v>774</v>
      </c>
      <c r="AB292" s="279">
        <v>42831</v>
      </c>
      <c r="AC292" s="280" t="s">
        <v>1226</v>
      </c>
      <c r="AD292" s="281" t="str">
        <f ca="1">IFERROR(OFFSET(DistanceToCamp[Nearest Town],MATCH(CampList[[#This Row],[CP_Pcode]],DistanceToCamp[CP_Pcode],0)-1,0,1,1),"")</f>
        <v/>
      </c>
      <c r="AE292" s="282" t="str">
        <f ca="1">IFERROR(OFFSET(DistanceToCamp[distance],MATCH(CampList[[#This Row],[CP_Pcode]],DistanceToCamp[CP_Pcode],0)-1,0,1,1),"")</f>
        <v/>
      </c>
      <c r="AF292" s="283" t="str">
        <f ca="1">IFERROR(INT(CampList[[#This Row],[Distance]]/5)+1,"")</f>
        <v/>
      </c>
    </row>
    <row r="293" spans="2:32" ht="15.75" hidden="1" customHeight="1" x14ac:dyDescent="0.3">
      <c r="B293" s="203" t="s">
        <v>775</v>
      </c>
      <c r="C293" s="197" t="s">
        <v>506</v>
      </c>
      <c r="D293" s="197" t="s">
        <v>489</v>
      </c>
      <c r="E293" s="197" t="s">
        <v>230</v>
      </c>
      <c r="F293" s="197" t="s">
        <v>490</v>
      </c>
      <c r="G293" s="197" t="s">
        <v>230</v>
      </c>
      <c r="H293" s="197" t="s">
        <v>491</v>
      </c>
      <c r="I293" s="272" t="s">
        <v>899</v>
      </c>
      <c r="J293" s="273" t="s">
        <v>900</v>
      </c>
      <c r="K293" s="272" t="s">
        <v>901</v>
      </c>
      <c r="L293" s="272" t="s">
        <v>902</v>
      </c>
      <c r="M293" s="174" t="s">
        <v>1192</v>
      </c>
      <c r="N293" s="198" t="s">
        <v>1180</v>
      </c>
      <c r="O293" s="274"/>
      <c r="P293" s="274"/>
      <c r="Q293" s="275"/>
      <c r="R293" s="182"/>
      <c r="S293" s="185"/>
      <c r="T293" s="276" t="str">
        <f>IF(CampList[[#This Row],[HH]]&gt;0,CampList[[#This Row],[Total]]/CampList[[#This Row],[HH]],"NA")</f>
        <v>NA</v>
      </c>
      <c r="U293" s="183" t="s">
        <v>464</v>
      </c>
      <c r="V293" s="277" t="s">
        <v>995</v>
      </c>
      <c r="W293" s="182" t="s">
        <v>507</v>
      </c>
      <c r="X293" s="182" t="s">
        <v>742</v>
      </c>
      <c r="Y293" s="278"/>
      <c r="Z293" s="275"/>
      <c r="AA293" s="272" t="s">
        <v>774</v>
      </c>
      <c r="AB293" s="279">
        <v>42831</v>
      </c>
      <c r="AC293" s="280" t="s">
        <v>1226</v>
      </c>
      <c r="AD293" s="281" t="str">
        <f ca="1">IFERROR(OFFSET(DistanceToCamp[Nearest Town],MATCH(CampList[[#This Row],[CP_Pcode]],DistanceToCamp[CP_Pcode],0)-1,0,1,1),"")</f>
        <v/>
      </c>
      <c r="AE293" s="282" t="str">
        <f ca="1">IFERROR(OFFSET(DistanceToCamp[distance],MATCH(CampList[[#This Row],[CP_Pcode]],DistanceToCamp[CP_Pcode],0)-1,0,1,1),"")</f>
        <v/>
      </c>
      <c r="AF293" s="283" t="str">
        <f ca="1">IFERROR(INT(CampList[[#This Row],[Distance]]/5)+1,"")</f>
        <v/>
      </c>
    </row>
    <row r="294" spans="2:32" ht="15.75" hidden="1" customHeight="1" x14ac:dyDescent="0.3">
      <c r="B294" s="203" t="s">
        <v>775</v>
      </c>
      <c r="C294" s="197" t="s">
        <v>506</v>
      </c>
      <c r="D294" s="197" t="s">
        <v>489</v>
      </c>
      <c r="E294" s="197" t="s">
        <v>230</v>
      </c>
      <c r="F294" s="197" t="s">
        <v>490</v>
      </c>
      <c r="G294" s="197" t="s">
        <v>230</v>
      </c>
      <c r="H294" s="197" t="s">
        <v>491</v>
      </c>
      <c r="I294" s="272" t="s">
        <v>899</v>
      </c>
      <c r="J294" s="273" t="s">
        <v>900</v>
      </c>
      <c r="K294" s="272"/>
      <c r="L294" s="272"/>
      <c r="M294" s="174" t="s">
        <v>1193</v>
      </c>
      <c r="N294" s="198" t="s">
        <v>1181</v>
      </c>
      <c r="O294" s="274"/>
      <c r="P294" s="274"/>
      <c r="Q294" s="275"/>
      <c r="R294" s="182"/>
      <c r="S294" s="185"/>
      <c r="T294" s="276" t="str">
        <f>IF(CampList[[#This Row],[HH]]&gt;0,CampList[[#This Row],[Total]]/CampList[[#This Row],[HH]],"NA")</f>
        <v>NA</v>
      </c>
      <c r="U294" s="183" t="s">
        <v>464</v>
      </c>
      <c r="V294" s="277" t="s">
        <v>995</v>
      </c>
      <c r="W294" s="182" t="s">
        <v>507</v>
      </c>
      <c r="X294" s="182"/>
      <c r="Y294" s="278"/>
      <c r="Z294" s="275"/>
      <c r="AA294" s="272"/>
      <c r="AB294" s="279">
        <v>42752</v>
      </c>
      <c r="AC294" s="280" t="s">
        <v>1187</v>
      </c>
      <c r="AD294" s="281" t="str">
        <f ca="1">IFERROR(OFFSET(DistanceToCamp[Nearest Town],MATCH(CampList[[#This Row],[CP_Pcode]],DistanceToCamp[CP_Pcode],0)-1,0,1,1),"")</f>
        <v/>
      </c>
      <c r="AE294" s="282" t="str">
        <f ca="1">IFERROR(OFFSET(DistanceToCamp[distance],MATCH(CampList[[#This Row],[CP_Pcode]],DistanceToCamp[CP_Pcode],0)-1,0,1,1),"")</f>
        <v/>
      </c>
      <c r="AF294" s="283" t="str">
        <f ca="1">IFERROR(INT(CampList[[#This Row],[Distance]]/5)+1,"")</f>
        <v/>
      </c>
    </row>
    <row r="295" spans="2:32" ht="15.75" hidden="1" customHeight="1" x14ac:dyDescent="0.3">
      <c r="B295" s="203" t="s">
        <v>775</v>
      </c>
      <c r="C295" s="197" t="s">
        <v>506</v>
      </c>
      <c r="D295" s="197" t="s">
        <v>489</v>
      </c>
      <c r="E295" s="197" t="s">
        <v>230</v>
      </c>
      <c r="F295" s="197" t="s">
        <v>490</v>
      </c>
      <c r="G295" s="197" t="s">
        <v>230</v>
      </c>
      <c r="H295" s="197" t="s">
        <v>491</v>
      </c>
      <c r="I295" s="272" t="s">
        <v>899</v>
      </c>
      <c r="J295" s="273" t="s">
        <v>900</v>
      </c>
      <c r="K295" s="272" t="s">
        <v>901</v>
      </c>
      <c r="L295" s="272" t="s">
        <v>902</v>
      </c>
      <c r="M295" s="174" t="s">
        <v>1194</v>
      </c>
      <c r="N295" s="198" t="s">
        <v>1182</v>
      </c>
      <c r="O295" s="274"/>
      <c r="P295" s="274"/>
      <c r="Q295" s="275"/>
      <c r="R295" s="182"/>
      <c r="S295" s="185"/>
      <c r="T295" s="276" t="str">
        <f>IF(CampList[[#This Row],[HH]]&gt;0,CampList[[#This Row],[Total]]/CampList[[#This Row],[HH]],"NA")</f>
        <v>NA</v>
      </c>
      <c r="U295" s="183" t="s">
        <v>464</v>
      </c>
      <c r="V295" s="277" t="s">
        <v>995</v>
      </c>
      <c r="W295" s="182" t="s">
        <v>507</v>
      </c>
      <c r="X295" s="182" t="s">
        <v>742</v>
      </c>
      <c r="Y295" s="278"/>
      <c r="Z295" s="275"/>
      <c r="AA295" s="272" t="s">
        <v>774</v>
      </c>
      <c r="AB295" s="279">
        <v>42831</v>
      </c>
      <c r="AC295" s="280" t="s">
        <v>1226</v>
      </c>
      <c r="AD295" s="281" t="str">
        <f ca="1">IFERROR(OFFSET(DistanceToCamp[Nearest Town],MATCH(CampList[[#This Row],[CP_Pcode]],DistanceToCamp[CP_Pcode],0)-1,0,1,1),"")</f>
        <v/>
      </c>
      <c r="AE295" s="282" t="str">
        <f ca="1">IFERROR(OFFSET(DistanceToCamp[distance],MATCH(CampList[[#This Row],[CP_Pcode]],DistanceToCamp[CP_Pcode],0)-1,0,1,1),"")</f>
        <v/>
      </c>
      <c r="AF295" s="283" t="str">
        <f ca="1">IFERROR(INT(CampList[[#This Row],[Distance]]/5)+1,"")</f>
        <v/>
      </c>
    </row>
    <row r="296" spans="2:32" ht="15.75" hidden="1" customHeight="1" x14ac:dyDescent="0.3">
      <c r="B296" s="203" t="s">
        <v>775</v>
      </c>
      <c r="C296" s="197" t="s">
        <v>506</v>
      </c>
      <c r="D296" s="197" t="s">
        <v>489</v>
      </c>
      <c r="E296" s="197" t="s">
        <v>230</v>
      </c>
      <c r="F296" s="197" t="s">
        <v>490</v>
      </c>
      <c r="G296" s="197" t="s">
        <v>230</v>
      </c>
      <c r="H296" s="197" t="s">
        <v>491</v>
      </c>
      <c r="I296" s="272" t="s">
        <v>899</v>
      </c>
      <c r="J296" s="273" t="s">
        <v>900</v>
      </c>
      <c r="K296" s="272" t="s">
        <v>901</v>
      </c>
      <c r="L296" s="272" t="s">
        <v>902</v>
      </c>
      <c r="M296" s="174" t="s">
        <v>1195</v>
      </c>
      <c r="N296" s="198" t="s">
        <v>1183</v>
      </c>
      <c r="O296" s="274"/>
      <c r="P296" s="274"/>
      <c r="Q296" s="275"/>
      <c r="R296" s="182"/>
      <c r="S296" s="185"/>
      <c r="T296" s="276" t="str">
        <f>IF(CampList[[#This Row],[HH]]&gt;0,CampList[[#This Row],[Total]]/CampList[[#This Row],[HH]],"NA")</f>
        <v>NA</v>
      </c>
      <c r="U296" s="183" t="s">
        <v>464</v>
      </c>
      <c r="V296" s="277" t="s">
        <v>995</v>
      </c>
      <c r="W296" s="182" t="s">
        <v>507</v>
      </c>
      <c r="X296" s="182" t="s">
        <v>742</v>
      </c>
      <c r="Y296" s="278"/>
      <c r="Z296" s="275"/>
      <c r="AA296" s="272" t="s">
        <v>774</v>
      </c>
      <c r="AB296" s="279">
        <v>42831</v>
      </c>
      <c r="AC296" s="280" t="s">
        <v>1226</v>
      </c>
      <c r="AD296" s="281" t="str">
        <f ca="1">IFERROR(OFFSET(DistanceToCamp[Nearest Town],MATCH(CampList[[#This Row],[CP_Pcode]],DistanceToCamp[CP_Pcode],0)-1,0,1,1),"")</f>
        <v/>
      </c>
      <c r="AE296" s="282" t="str">
        <f ca="1">IFERROR(OFFSET(DistanceToCamp[distance],MATCH(CampList[[#This Row],[CP_Pcode]],DistanceToCamp[CP_Pcode],0)-1,0,1,1),"")</f>
        <v/>
      </c>
      <c r="AF296" s="283" t="str">
        <f ca="1">IFERROR(INT(CampList[[#This Row],[Distance]]/5)+1,"")</f>
        <v/>
      </c>
    </row>
    <row r="297" spans="2:32" ht="15.75" hidden="1" customHeight="1" x14ac:dyDescent="0.3">
      <c r="B297" s="203" t="s">
        <v>775</v>
      </c>
      <c r="C297" s="197" t="s">
        <v>506</v>
      </c>
      <c r="D297" s="197" t="s">
        <v>489</v>
      </c>
      <c r="E297" s="197" t="s">
        <v>230</v>
      </c>
      <c r="F297" s="197" t="s">
        <v>490</v>
      </c>
      <c r="G297" s="197" t="s">
        <v>230</v>
      </c>
      <c r="H297" s="197" t="s">
        <v>491</v>
      </c>
      <c r="I297" s="272"/>
      <c r="J297" s="273"/>
      <c r="K297" s="272"/>
      <c r="L297" s="272"/>
      <c r="M297" s="174" t="s">
        <v>1196</v>
      </c>
      <c r="N297" s="198" t="s">
        <v>1184</v>
      </c>
      <c r="O297" s="274"/>
      <c r="P297" s="274"/>
      <c r="Q297" s="275"/>
      <c r="R297" s="182"/>
      <c r="S297" s="606"/>
      <c r="T297" s="276" t="str">
        <f>IF(CampList[[#This Row],[HH]]&gt;0,CampList[[#This Row],[Total]]/CampList[[#This Row],[HH]],"NA")</f>
        <v>NA</v>
      </c>
      <c r="U297" s="183" t="s">
        <v>464</v>
      </c>
      <c r="V297" s="277" t="s">
        <v>995</v>
      </c>
      <c r="W297" s="182" t="s">
        <v>507</v>
      </c>
      <c r="X297" s="182"/>
      <c r="Y297" s="278"/>
      <c r="Z297" s="275"/>
      <c r="AA297" s="272" t="s">
        <v>774</v>
      </c>
      <c r="AB297" s="279">
        <v>42831</v>
      </c>
      <c r="AC297" s="280" t="s">
        <v>1226</v>
      </c>
      <c r="AD297" s="281" t="str">
        <f ca="1">IFERROR(OFFSET(DistanceToCamp[Nearest Town],MATCH(CampList[[#This Row],[CP_Pcode]],DistanceToCamp[CP_Pcode],0)-1,0,1,1),"")</f>
        <v/>
      </c>
      <c r="AE297" s="282" t="str">
        <f ca="1">IFERROR(OFFSET(DistanceToCamp[distance],MATCH(CampList[[#This Row],[CP_Pcode]],DistanceToCamp[CP_Pcode],0)-1,0,1,1),"")</f>
        <v/>
      </c>
      <c r="AF297" s="283" t="str">
        <f ca="1">IFERROR(INT(CampList[[#This Row],[Distance]]/5)+1,"")</f>
        <v/>
      </c>
    </row>
    <row r="298" spans="2:32" ht="15.6" customHeight="1" x14ac:dyDescent="0.3">
      <c r="B298" s="203" t="s">
        <v>1745</v>
      </c>
      <c r="C298" s="198" t="s">
        <v>378</v>
      </c>
      <c r="D298" s="198" t="s">
        <v>478</v>
      </c>
      <c r="E298" s="198" t="s">
        <v>237</v>
      </c>
      <c r="F298" s="198" t="s">
        <v>484</v>
      </c>
      <c r="G298" s="198" t="s">
        <v>309</v>
      </c>
      <c r="H298" s="198" t="s">
        <v>485</v>
      </c>
      <c r="I298" s="197" t="s">
        <v>695</v>
      </c>
      <c r="J298" s="197" t="s">
        <v>696</v>
      </c>
      <c r="K298" s="214" t="s">
        <v>1120</v>
      </c>
      <c r="L298" s="214">
        <v>165792</v>
      </c>
      <c r="M298" s="174" t="s">
        <v>1266</v>
      </c>
      <c r="N298" s="198" t="s">
        <v>1264</v>
      </c>
      <c r="O298" s="206"/>
      <c r="P298" s="206"/>
      <c r="Q298" s="217"/>
      <c r="R298" s="691">
        <v>405</v>
      </c>
      <c r="S298" s="691">
        <v>1818</v>
      </c>
      <c r="T298" s="207">
        <f>IF(CampList[[#This Row],[HH]]&gt;0,CampList[[#This Row],[Total]]/CampList[[#This Row],[HH]],"NA")</f>
        <v>4.4888888888888889</v>
      </c>
      <c r="U298" s="183" t="s">
        <v>466</v>
      </c>
      <c r="V298" s="199" t="s">
        <v>995</v>
      </c>
      <c r="W298" s="183" t="s">
        <v>507</v>
      </c>
      <c r="X298" s="183" t="s">
        <v>784</v>
      </c>
      <c r="Y298" s="313">
        <v>42752</v>
      </c>
      <c r="Z298" s="217" t="s">
        <v>424</v>
      </c>
      <c r="AA298" s="198" t="s">
        <v>774</v>
      </c>
      <c r="AB298" s="210">
        <v>43343</v>
      </c>
      <c r="AC298" s="219" t="s">
        <v>1882</v>
      </c>
      <c r="AD298" s="220" t="str">
        <f ca="1">IFERROR(OFFSET(DistanceToCamp[Nearest Town],MATCH(CampList[[#This Row],[CP_Pcode]],DistanceToCamp[CP_Pcode],0)-1,0,1,1),"")</f>
        <v>Waingmaw Town</v>
      </c>
      <c r="AE298" s="212">
        <f ca="1">IFERROR(OFFSET(DistanceToCamp[distance],MATCH(CampList[[#This Row],[CP_Pcode]],DistanceToCamp[CP_Pcode],0)-1,0,1,1),"")</f>
        <v>0</v>
      </c>
      <c r="AF298" s="221">
        <f ca="1">IFERROR(INT(CampList[[#This Row],[Distance]]/5)+1,"")</f>
        <v>1</v>
      </c>
    </row>
    <row r="299" spans="2:32" ht="15.6" customHeight="1" x14ac:dyDescent="0.3">
      <c r="B299" s="203" t="s">
        <v>1745</v>
      </c>
      <c r="C299" s="197" t="s">
        <v>378</v>
      </c>
      <c r="D299" s="197" t="s">
        <v>478</v>
      </c>
      <c r="E299" s="197" t="s">
        <v>180</v>
      </c>
      <c r="F299" s="197" t="s">
        <v>479</v>
      </c>
      <c r="G299" s="197" t="s">
        <v>173</v>
      </c>
      <c r="H299" s="197" t="s">
        <v>498</v>
      </c>
      <c r="I299" s="197" t="s">
        <v>1660</v>
      </c>
      <c r="J299" s="216" t="s">
        <v>1661</v>
      </c>
      <c r="K299" s="197" t="s">
        <v>1660</v>
      </c>
      <c r="L299" s="216">
        <v>166765</v>
      </c>
      <c r="M299" s="197" t="s">
        <v>1665</v>
      </c>
      <c r="N299" s="197" t="s">
        <v>1653</v>
      </c>
      <c r="O299" s="204">
        <v>97.013800000000003</v>
      </c>
      <c r="P299" s="204">
        <v>25.383465999999999</v>
      </c>
      <c r="Q299" s="217"/>
      <c r="R299" s="182">
        <v>80</v>
      </c>
      <c r="S299" s="738">
        <v>399</v>
      </c>
      <c r="T299" s="207">
        <f>IF(CampList[[#This Row],[HH]]&gt;0,CampList[[#This Row],[Total]]/CampList[[#This Row],[HH]],"NA")</f>
        <v>4.9874999999999998</v>
      </c>
      <c r="U299" s="199" t="s">
        <v>464</v>
      </c>
      <c r="V299" s="199" t="s">
        <v>995</v>
      </c>
      <c r="W299" s="199" t="s">
        <v>507</v>
      </c>
      <c r="X299" s="199" t="s">
        <v>742</v>
      </c>
      <c r="Y299" s="312">
        <v>43212</v>
      </c>
      <c r="Z299" s="676" t="s">
        <v>936</v>
      </c>
      <c r="AA299" s="197" t="s">
        <v>774</v>
      </c>
      <c r="AB299" s="210">
        <v>43343</v>
      </c>
      <c r="AC299" s="211" t="s">
        <v>1907</v>
      </c>
      <c r="AD299" s="220" t="str">
        <f ca="1">IFERROR(OFFSET(DistanceToCamp[Nearest Town],MATCH(CampList[[#This Row],[CP_Pcode]],DistanceToCamp[CP_Pcode],0)-1,0,1,1),"")</f>
        <v>Panmatee Town</v>
      </c>
      <c r="AE299" s="212">
        <f ca="1">IFERROR(OFFSET(DistanceToCamp[distance],MATCH(CampList[[#This Row],[CP_Pcode]],DistanceToCamp[CP_Pcode],0)-1,0,1,1),"")</f>
        <v>0.4</v>
      </c>
      <c r="AF299" s="221">
        <f ca="1">IFERROR(INT(CampList[[#This Row],[Distance]]/5)+1,"")</f>
        <v>1</v>
      </c>
    </row>
    <row r="300" spans="2:32" ht="15.6" customHeight="1" x14ac:dyDescent="0.3">
      <c r="B300" s="203" t="s">
        <v>1745</v>
      </c>
      <c r="C300" s="197" t="s">
        <v>378</v>
      </c>
      <c r="D300" s="197" t="s">
        <v>478</v>
      </c>
      <c r="E300" s="197" t="s">
        <v>180</v>
      </c>
      <c r="F300" s="197" t="s">
        <v>479</v>
      </c>
      <c r="G300" s="197" t="s">
        <v>173</v>
      </c>
      <c r="H300" s="197" t="s">
        <v>498</v>
      </c>
      <c r="I300" s="197" t="s">
        <v>1659</v>
      </c>
      <c r="J300" s="216" t="s">
        <v>1658</v>
      </c>
      <c r="K300" s="197" t="s">
        <v>643</v>
      </c>
      <c r="L300" s="197" t="s">
        <v>1667</v>
      </c>
      <c r="M300" s="197" t="s">
        <v>1668</v>
      </c>
      <c r="N300" s="197" t="s">
        <v>1655</v>
      </c>
      <c r="O300" s="204"/>
      <c r="P300" s="204"/>
      <c r="Q300" s="217"/>
      <c r="R300" s="182">
        <v>6</v>
      </c>
      <c r="S300" s="691">
        <v>32</v>
      </c>
      <c r="T300" s="207">
        <f>IF(CampList[[#This Row],[HH]]&gt;0,CampList[[#This Row],[Total]]/CampList[[#This Row],[HH]],"NA")</f>
        <v>5.333333333333333</v>
      </c>
      <c r="U300" s="199" t="s">
        <v>464</v>
      </c>
      <c r="V300" s="199" t="s">
        <v>995</v>
      </c>
      <c r="W300" s="199" t="s">
        <v>1384</v>
      </c>
      <c r="X300" s="199" t="s">
        <v>742</v>
      </c>
      <c r="Y300" s="312">
        <v>43212</v>
      </c>
      <c r="Z300" s="676" t="s">
        <v>1317</v>
      </c>
      <c r="AA300" s="197" t="s">
        <v>774</v>
      </c>
      <c r="AB300" s="210">
        <v>43343</v>
      </c>
      <c r="AC300" s="211" t="s">
        <v>1921</v>
      </c>
      <c r="AD300" s="220" t="str">
        <f ca="1">IFERROR(OFFSET(DistanceToCamp[Nearest Town],MATCH(CampList[[#This Row],[CP_Pcode]],DistanceToCamp[CP_Pcode],0)-1,0,1,1),"")</f>
        <v>Panmatee Town</v>
      </c>
      <c r="AE300" s="212">
        <f ca="1">IFERROR(OFFSET(DistanceToCamp[distance],MATCH(CampList[[#This Row],[CP_Pcode]],DistanceToCamp[CP_Pcode],0)-1,0,1,1),"")</f>
        <v>0.4</v>
      </c>
      <c r="AF300" s="221">
        <f ca="1">IFERROR(INT(CampList[[#This Row],[Distance]]/5)+1,"")</f>
        <v>1</v>
      </c>
    </row>
    <row r="301" spans="2:32" ht="15.6" customHeight="1" x14ac:dyDescent="0.3">
      <c r="B301" s="203" t="s">
        <v>1745</v>
      </c>
      <c r="C301" s="197" t="s">
        <v>378</v>
      </c>
      <c r="D301" s="197" t="s">
        <v>478</v>
      </c>
      <c r="E301" s="197" t="s">
        <v>237</v>
      </c>
      <c r="F301" s="198" t="s">
        <v>484</v>
      </c>
      <c r="G301" s="197" t="s">
        <v>237</v>
      </c>
      <c r="H301" s="197" t="s">
        <v>488</v>
      </c>
      <c r="I301" s="197" t="s">
        <v>1670</v>
      </c>
      <c r="J301" s="216" t="s">
        <v>1671</v>
      </c>
      <c r="K301" s="197" t="s">
        <v>1672</v>
      </c>
      <c r="L301" s="216">
        <v>165682</v>
      </c>
      <c r="M301" s="197" t="s">
        <v>1734</v>
      </c>
      <c r="N301" s="857" t="s">
        <v>1656</v>
      </c>
      <c r="O301" s="204">
        <v>97.431079999999994</v>
      </c>
      <c r="P301" s="204">
        <v>25.480989999999998</v>
      </c>
      <c r="Q301" s="217"/>
      <c r="R301" s="182">
        <v>211</v>
      </c>
      <c r="S301" s="740">
        <v>972</v>
      </c>
      <c r="T301" s="308">
        <f>IF(CampList[[#This Row],[HH]]&gt;0,CampList[[#This Row],[Total]]/CampList[[#This Row],[HH]],"NA")</f>
        <v>4.6066350710900474</v>
      </c>
      <c r="U301" s="309" t="s">
        <v>464</v>
      </c>
      <c r="V301" s="309" t="s">
        <v>995</v>
      </c>
      <c r="W301" s="199" t="s">
        <v>507</v>
      </c>
      <c r="X301" s="199" t="s">
        <v>742</v>
      </c>
      <c r="Y301" s="312">
        <v>43212</v>
      </c>
      <c r="Z301" s="676" t="s">
        <v>424</v>
      </c>
      <c r="AA301" s="197" t="s">
        <v>774</v>
      </c>
      <c r="AB301" s="210">
        <v>43343</v>
      </c>
      <c r="AC301" s="211" t="s">
        <v>1886</v>
      </c>
      <c r="AD301" s="220" t="str">
        <f ca="1">IFERROR(OFFSET(DistanceToCamp[Nearest Town],MATCH(CampList[[#This Row],[CP_Pcode]],DistanceToCamp[CP_Pcode],0)-1,0,1,1),"")</f>
        <v>Myitkyina Town</v>
      </c>
      <c r="AE301" s="212">
        <f ca="1">IFERROR(OFFSET(DistanceToCamp[distance],MATCH(CampList[[#This Row],[CP_Pcode]],DistanceToCamp[CP_Pcode],0)-1,0,1,1),"")</f>
        <v>8</v>
      </c>
      <c r="AF301" s="221">
        <f ca="1">IFERROR(INT(CampList[[#This Row],[Distance]]/5)+1,"")</f>
        <v>2</v>
      </c>
    </row>
    <row r="302" spans="2:32" ht="15.6" customHeight="1" x14ac:dyDescent="0.3">
      <c r="B302" s="203" t="s">
        <v>1745</v>
      </c>
      <c r="C302" s="197" t="s">
        <v>378</v>
      </c>
      <c r="D302" s="197" t="s">
        <v>478</v>
      </c>
      <c r="E302" s="197" t="s">
        <v>180</v>
      </c>
      <c r="F302" s="197" t="s">
        <v>479</v>
      </c>
      <c r="G302" s="197" t="s">
        <v>480</v>
      </c>
      <c r="H302" s="197" t="s">
        <v>481</v>
      </c>
      <c r="I302" s="197" t="s">
        <v>1704</v>
      </c>
      <c r="J302" s="216" t="s">
        <v>1705</v>
      </c>
      <c r="K302" s="197" t="s">
        <v>1706</v>
      </c>
      <c r="L302" s="216">
        <v>166808</v>
      </c>
      <c r="M302" s="197" t="s">
        <v>1642</v>
      </c>
      <c r="N302" s="197" t="s">
        <v>1697</v>
      </c>
      <c r="O302" s="204"/>
      <c r="P302" s="204"/>
      <c r="Q302" s="217"/>
      <c r="R302" s="739">
        <v>46</v>
      </c>
      <c r="S302" s="740">
        <v>203</v>
      </c>
      <c r="T302" s="207">
        <f>IF(CampList[[#This Row],[HH]]&gt;0,CampList[[#This Row],[Total]]/CampList[[#This Row],[HH]],"NA")</f>
        <v>4.4130434782608692</v>
      </c>
      <c r="U302" s="199" t="s">
        <v>464</v>
      </c>
      <c r="V302" s="199" t="s">
        <v>995</v>
      </c>
      <c r="W302" s="199" t="s">
        <v>507</v>
      </c>
      <c r="X302" s="199" t="s">
        <v>784</v>
      </c>
      <c r="Y302" s="676"/>
      <c r="Z302" s="676" t="s">
        <v>936</v>
      </c>
      <c r="AA302" s="197"/>
      <c r="AB302" s="210">
        <v>43343</v>
      </c>
      <c r="AC302" s="211" t="s">
        <v>1908</v>
      </c>
      <c r="AD302" s="220" t="str">
        <f ca="1">IFERROR(OFFSET(DistanceToCamp[Nearest Town],MATCH(CampList[[#This Row],[CP_Pcode]],DistanceToCamp[CP_Pcode],0)-1,0,1,1),"")</f>
        <v>Kamaing Town</v>
      </c>
      <c r="AE302" s="212">
        <f ca="1">IFERROR(OFFSET(DistanceToCamp[distance],MATCH(CampList[[#This Row],[CP_Pcode]],DistanceToCamp[CP_Pcode],0)-1,0,1,1),"")</f>
        <v>10</v>
      </c>
      <c r="AF302" s="221">
        <f ca="1">IFERROR(INT(CampList[[#This Row],[Distance]]/5)+1,"")</f>
        <v>3</v>
      </c>
    </row>
    <row r="303" spans="2:32" ht="18.75" customHeight="1" x14ac:dyDescent="0.3">
      <c r="B303" s="203" t="s">
        <v>1745</v>
      </c>
      <c r="C303" s="197" t="s">
        <v>378</v>
      </c>
      <c r="D303" s="197" t="s">
        <v>478</v>
      </c>
      <c r="E303" s="197" t="s">
        <v>1536</v>
      </c>
      <c r="F303" s="198" t="s">
        <v>484</v>
      </c>
      <c r="G303" s="197" t="s">
        <v>309</v>
      </c>
      <c r="H303" s="197" t="s">
        <v>485</v>
      </c>
      <c r="I303" s="197" t="s">
        <v>635</v>
      </c>
      <c r="J303" s="216" t="s">
        <v>636</v>
      </c>
      <c r="K303" s="197" t="s">
        <v>1678</v>
      </c>
      <c r="L303" s="216" t="s">
        <v>1711</v>
      </c>
      <c r="M303" s="197" t="s">
        <v>1750</v>
      </c>
      <c r="N303" s="197" t="s">
        <v>1698</v>
      </c>
      <c r="O303" s="204"/>
      <c r="P303" s="204"/>
      <c r="Q303" s="217"/>
      <c r="R303" s="677">
        <v>79</v>
      </c>
      <c r="S303" s="746">
        <v>303</v>
      </c>
      <c r="T303" s="207">
        <f>IF(CampList[[#This Row],[HH]]&gt;0,CampList[[#This Row],[Total]]/CampList[[#This Row],[HH]],"NA")</f>
        <v>3.8354430379746836</v>
      </c>
      <c r="U303" s="199" t="s">
        <v>464</v>
      </c>
      <c r="V303" s="199" t="s">
        <v>995</v>
      </c>
      <c r="W303" s="199" t="s">
        <v>507</v>
      </c>
      <c r="X303" s="199" t="s">
        <v>742</v>
      </c>
      <c r="Y303" s="312">
        <v>43250</v>
      </c>
      <c r="Z303" s="676" t="s">
        <v>424</v>
      </c>
      <c r="AA303" s="197" t="s">
        <v>774</v>
      </c>
      <c r="AB303" s="210">
        <v>43343</v>
      </c>
      <c r="AC303" s="211" t="s">
        <v>1888</v>
      </c>
      <c r="AD303" s="220" t="str">
        <f ca="1">IFERROR(OFFSET(DistanceToCamp[Nearest Town],MATCH(CampList[[#This Row],[CP_Pcode]],DistanceToCamp[CP_Pcode],0)-1,0,1,1),"")</f>
        <v>Waingmaw Town</v>
      </c>
      <c r="AE303" s="212">
        <f ca="1">IFERROR(OFFSET(DistanceToCamp[distance],MATCH(CampList[[#This Row],[CP_Pcode]],DistanceToCamp[CP_Pcode],0)-1,0,1,1),"")</f>
        <v>0</v>
      </c>
      <c r="AF303" s="221">
        <f ca="1">IFERROR(INT(CampList[[#This Row],[Distance]]/5)+1,"")</f>
        <v>1</v>
      </c>
    </row>
    <row r="304" spans="2:32" ht="21" hidden="1" customHeight="1" x14ac:dyDescent="0.3">
      <c r="B304" s="203" t="s">
        <v>1744</v>
      </c>
      <c r="C304" s="198" t="s">
        <v>378</v>
      </c>
      <c r="D304" s="198" t="s">
        <v>478</v>
      </c>
      <c r="E304" s="198" t="s">
        <v>237</v>
      </c>
      <c r="F304" s="198" t="s">
        <v>484</v>
      </c>
      <c r="G304" s="198" t="s">
        <v>309</v>
      </c>
      <c r="H304" s="198" t="s">
        <v>485</v>
      </c>
      <c r="I304" s="198" t="s">
        <v>633</v>
      </c>
      <c r="J304" s="216" t="s">
        <v>634</v>
      </c>
      <c r="K304" s="198" t="s">
        <v>633</v>
      </c>
      <c r="L304" s="198">
        <v>165740</v>
      </c>
      <c r="M304" s="198" t="s">
        <v>1747</v>
      </c>
      <c r="N304" s="198" t="s">
        <v>1748</v>
      </c>
      <c r="O304" s="206">
        <v>97.437782499999997</v>
      </c>
      <c r="P304" s="206">
        <v>25.415667500000001</v>
      </c>
      <c r="Q304" s="217"/>
      <c r="R304" s="274">
        <v>95</v>
      </c>
      <c r="S304" s="274">
        <v>499</v>
      </c>
      <c r="T304" s="207">
        <f>IF(CampList[[#This Row],[HH]]&gt;0,CampList[[#This Row],[Total]]/CampList[[#This Row],[HH]],"NA")</f>
        <v>5.2526315789473683</v>
      </c>
      <c r="U304" s="183" t="s">
        <v>464</v>
      </c>
      <c r="V304" s="199"/>
      <c r="W304" s="183" t="s">
        <v>1746</v>
      </c>
      <c r="X304" s="183" t="s">
        <v>742</v>
      </c>
      <c r="Y304" s="313">
        <v>43252</v>
      </c>
      <c r="Z304" s="217"/>
      <c r="AA304" s="198"/>
      <c r="AB304" s="210">
        <v>43290</v>
      </c>
      <c r="AC304" s="219" t="s">
        <v>1749</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5" spans="2:32" ht="15.6" customHeight="1" x14ac:dyDescent="0.3">
      <c r="B305" s="203" t="s">
        <v>1745</v>
      </c>
      <c r="C305" s="197" t="s">
        <v>506</v>
      </c>
      <c r="D305" s="197" t="s">
        <v>489</v>
      </c>
      <c r="E305" s="197" t="s">
        <v>230</v>
      </c>
      <c r="F305" s="197" t="s">
        <v>490</v>
      </c>
      <c r="G305" s="197" t="s">
        <v>146</v>
      </c>
      <c r="H305" s="197" t="s">
        <v>497</v>
      </c>
      <c r="I305" s="224" t="s">
        <v>662</v>
      </c>
      <c r="J305" s="197" t="s">
        <v>1040</v>
      </c>
      <c r="K305" s="224" t="s">
        <v>662</v>
      </c>
      <c r="L305" s="238">
        <v>208747</v>
      </c>
      <c r="M305" s="198" t="s">
        <v>1618</v>
      </c>
      <c r="N305" s="198" t="s">
        <v>1121</v>
      </c>
      <c r="O305" s="206">
        <v>97.796999999999997</v>
      </c>
      <c r="P305" s="206">
        <v>23.591999999999999</v>
      </c>
      <c r="Q305" s="205"/>
      <c r="R305" s="691">
        <v>82</v>
      </c>
      <c r="S305" s="747">
        <v>424</v>
      </c>
      <c r="T305" s="207">
        <f>IF(CampList[[#This Row],[HH]]&gt;0,CampList[[#This Row],[Total]]/CampList[[#This Row],[HH]],"NA")</f>
        <v>5.1707317073170733</v>
      </c>
      <c r="U305" s="183" t="s">
        <v>464</v>
      </c>
      <c r="V305" s="199" t="s">
        <v>995</v>
      </c>
      <c r="W305" s="183" t="s">
        <v>507</v>
      </c>
      <c r="X305" s="183" t="s">
        <v>784</v>
      </c>
      <c r="Y305" s="218">
        <v>42435</v>
      </c>
      <c r="Z305" s="217" t="s">
        <v>424</v>
      </c>
      <c r="AA305" s="198" t="s">
        <v>774</v>
      </c>
      <c r="AB305" s="210">
        <v>43343</v>
      </c>
      <c r="AC305" s="219" t="s">
        <v>1902</v>
      </c>
      <c r="AD305" s="199"/>
      <c r="AE305" s="212" t="str">
        <f ca="1">IFERROR(OFFSET(DistanceToCamp[distance],MATCH(CampList[[#This Row],[CP_Pcode]],DistanceToCamp[CP_Pcode],0)-1,0,1,1),"")</f>
        <v/>
      </c>
      <c r="AF305" s="221" t="str">
        <f ca="1">IFERROR(INT(CampList[[#This Row],[Distance]]/5)+1,"")</f>
        <v/>
      </c>
    </row>
    <row r="306" spans="2:32" ht="15.6" hidden="1" customHeight="1" x14ac:dyDescent="0.3">
      <c r="B306" s="855" t="s">
        <v>1744</v>
      </c>
      <c r="C306" s="198" t="s">
        <v>378</v>
      </c>
      <c r="D306" s="198"/>
      <c r="E306" s="198"/>
      <c r="F306" s="198"/>
      <c r="G306" s="198" t="s">
        <v>151</v>
      </c>
      <c r="H306" s="198"/>
      <c r="I306" s="198"/>
      <c r="J306" s="216"/>
      <c r="K306" s="198"/>
      <c r="L306" s="198"/>
      <c r="M306" s="198" t="s">
        <v>1923</v>
      </c>
      <c r="N306" s="198"/>
      <c r="O306" s="206"/>
      <c r="P306" s="206"/>
      <c r="Q306" s="217"/>
      <c r="R306" s="182">
        <v>86</v>
      </c>
      <c r="S306" s="292">
        <v>450</v>
      </c>
      <c r="T306" s="207">
        <f>IF(CampList[[#This Row],[HH]]&gt;0,CampList[[#This Row],[Total]]/CampList[[#This Row],[HH]],"NA")</f>
        <v>5.2325581395348841</v>
      </c>
      <c r="U306" s="183" t="s">
        <v>464</v>
      </c>
      <c r="V306" s="199"/>
      <c r="W306" s="183" t="s">
        <v>1746</v>
      </c>
      <c r="X306" s="183" t="s">
        <v>1924</v>
      </c>
      <c r="Y306" s="856"/>
      <c r="Z306" s="217"/>
      <c r="AA306" s="198"/>
      <c r="AB306" s="210"/>
      <c r="AC306" s="219"/>
      <c r="AD306" s="220" t="str">
        <f ca="1">IFERROR(OFFSET(DistanceToCamp[Nearest Town],MATCH(CampList[[#This Row],[CP_Pcode]],DistanceToCamp[CP_Pcode],0)-1,0,1,1),"")</f>
        <v/>
      </c>
      <c r="AE306" s="212" t="str">
        <f ca="1">IFERROR(OFFSET(DistanceToCamp[distance],MATCH(CampList[[#This Row],[CP_Pcode]],DistanceToCamp[CP_Pcode],0)-1,0,1,1),"")</f>
        <v/>
      </c>
      <c r="AF306" s="221" t="str">
        <f ca="1">IFERROR(INT(CampList[[#This Row],[Distance]]/5)+1,"")</f>
        <v/>
      </c>
    </row>
    <row r="311" spans="2:32" ht="15.6" customHeight="1" x14ac:dyDescent="0.3">
      <c r="U311" s="725"/>
    </row>
  </sheetData>
  <sortState ref="B73:AL238">
    <sortCondition ref="H1:H1048576"/>
    <sortCondition ref="M1:M1048576"/>
  </sortState>
  <mergeCells count="2">
    <mergeCell ref="B3:D3"/>
    <mergeCell ref="M2:M3"/>
  </mergeCells>
  <conditionalFormatting sqref="B5:B30 B32:B306">
    <cfRule type="cellIs" dxfId="64" priority="104" operator="equal">
      <formula>"closed"</formula>
    </cfRule>
  </conditionalFormatting>
  <conditionalFormatting sqref="AA4:AA30 AA32:AA156">
    <cfRule type="cellIs" dxfId="63" priority="93" operator="equal">
      <formula>"RRD"</formula>
    </cfRule>
    <cfRule type="cellIs" dxfId="62" priority="94" operator="equal">
      <formula>"IP"</formula>
    </cfRule>
    <cfRule type="cellIs" dxfId="61" priority="95" operator="equal">
      <formula>"IRRC"</formula>
    </cfRule>
  </conditionalFormatting>
  <conditionalFormatting sqref="AA157:AA206 AA239 AA245 AA261 AA264 AA251">
    <cfRule type="cellIs" dxfId="60" priority="70" operator="equal">
      <formula>"RRD"</formula>
    </cfRule>
    <cfRule type="cellIs" dxfId="59" priority="71" operator="equal">
      <formula>"IP"</formula>
    </cfRule>
    <cfRule type="cellIs" dxfId="58" priority="72" operator="equal">
      <formula>"IRRC"</formula>
    </cfRule>
  </conditionalFormatting>
  <conditionalFormatting sqref="AA207">
    <cfRule type="cellIs" dxfId="57" priority="66" operator="equal">
      <formula>"RRD"</formula>
    </cfRule>
    <cfRule type="cellIs" dxfId="56" priority="67" operator="equal">
      <formula>"IP"</formula>
    </cfRule>
    <cfRule type="cellIs" dxfId="55" priority="68" operator="equal">
      <formula>"IRRC"</formula>
    </cfRule>
  </conditionalFormatting>
  <conditionalFormatting sqref="AA209 AA211 AA213">
    <cfRule type="cellIs" dxfId="54" priority="29" operator="equal">
      <formula>"RRD"</formula>
    </cfRule>
    <cfRule type="cellIs" dxfId="53" priority="30" operator="equal">
      <formula>"IP"</formula>
    </cfRule>
    <cfRule type="cellIs" dxfId="52" priority="31" operator="equal">
      <formula>"IRRC"</formula>
    </cfRule>
  </conditionalFormatting>
  <conditionalFormatting sqref="AA208 AA210 AA212 AA214">
    <cfRule type="cellIs" dxfId="51" priority="33" operator="equal">
      <formula>"RRD"</formula>
    </cfRule>
    <cfRule type="cellIs" dxfId="50" priority="34" operator="equal">
      <formula>"IP"</formula>
    </cfRule>
    <cfRule type="cellIs" dxfId="49" priority="35" operator="equal">
      <formula>"IRRC"</formula>
    </cfRule>
  </conditionalFormatting>
  <conditionalFormatting sqref="AA296">
    <cfRule type="cellIs" dxfId="48" priority="5" operator="equal">
      <formula>"RRD"</formula>
    </cfRule>
    <cfRule type="cellIs" dxfId="47" priority="6" operator="equal">
      <formula>"IP"</formula>
    </cfRule>
    <cfRule type="cellIs" dxfId="46" priority="7" operator="equal">
      <formula>"IRRC"</formula>
    </cfRule>
  </conditionalFormatting>
  <conditionalFormatting sqref="B31">
    <cfRule type="cellIs" dxfId="45" priority="4" operator="equal">
      <formula>"closed"</formula>
    </cfRule>
  </conditionalFormatting>
  <conditionalFormatting sqref="AA31">
    <cfRule type="cellIs" dxfId="44" priority="1" operator="equal">
      <formula>"RRD"</formula>
    </cfRule>
    <cfRule type="cellIs" dxfId="43" priority="2" operator="equal">
      <formula>"IP"</formula>
    </cfRule>
    <cfRule type="cellIs" dxfId="42" priority="3" operator="equal">
      <formula>"IRRC"</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B5:B306</xm:sqref>
        </x14:dataValidation>
        <x14:dataValidation type="list" allowBlank="1" showInputMessage="1" showErrorMessage="1">
          <x14:formula1>
            <xm:f>Definition!$V$2:$V$6</xm:f>
          </x14:formula1>
          <xm:sqref>W5:W306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topLeftCell="A7" zoomScaleNormal="100" workbookViewId="0">
      <selection activeCell="C8" sqref="C8"/>
    </sheetView>
  </sheetViews>
  <sheetFormatPr defaultColWidth="9.109375" defaultRowHeight="14.4" x14ac:dyDescent="0.3"/>
  <cols>
    <col min="1" max="1" width="1.6640625" style="181" customWidth="1"/>
    <col min="2" max="2" width="11.33203125" style="181" customWidth="1"/>
    <col min="3" max="3" width="12.6640625" style="181" customWidth="1"/>
    <col min="4" max="4" width="47" style="181" bestFit="1" customWidth="1"/>
    <col min="5" max="5" width="19.109375" style="181" customWidth="1"/>
    <col min="6" max="6" width="18.5546875" style="181" customWidth="1"/>
    <col min="7" max="7" width="12" style="181" customWidth="1"/>
    <col min="8" max="8" width="10.6640625" style="251" customWidth="1"/>
    <col min="9" max="9" width="11.33203125" style="251" customWidth="1"/>
    <col min="10" max="10" width="12.33203125" style="181" customWidth="1"/>
    <col min="11" max="16384" width="9.109375" style="181"/>
  </cols>
  <sheetData>
    <row r="1" spans="2:12" ht="10.95" customHeight="1" x14ac:dyDescent="0.3"/>
    <row r="2" spans="2:12" ht="21.75" customHeight="1" x14ac:dyDescent="0.3">
      <c r="B2" s="242"/>
      <c r="C2" s="175"/>
      <c r="D2" s="175"/>
      <c r="E2" s="175"/>
      <c r="F2" s="175"/>
      <c r="G2" s="175"/>
      <c r="H2" s="175"/>
      <c r="I2" s="176"/>
      <c r="J2" s="307"/>
      <c r="K2" s="307"/>
      <c r="L2" s="180"/>
    </row>
    <row r="3" spans="2:12" ht="28.8" x14ac:dyDescent="0.3">
      <c r="B3" s="243" t="s">
        <v>786</v>
      </c>
      <c r="C3" s="244"/>
      <c r="D3" s="244"/>
      <c r="E3" s="244"/>
      <c r="F3" s="244"/>
      <c r="G3" s="244"/>
      <c r="H3" s="244"/>
      <c r="I3" s="245"/>
      <c r="J3" s="41"/>
      <c r="K3" s="41"/>
      <c r="L3" s="41"/>
    </row>
    <row r="4" spans="2:12" ht="28.8" x14ac:dyDescent="0.3">
      <c r="B4" s="772">
        <f>Definition!B23</f>
        <v>43313</v>
      </c>
      <c r="C4" s="773"/>
      <c r="D4" s="247"/>
      <c r="E4" s="247"/>
      <c r="F4" s="247"/>
      <c r="G4" s="247"/>
      <c r="H4" s="247"/>
      <c r="I4" s="248"/>
      <c r="J4" s="246"/>
      <c r="K4" s="246"/>
      <c r="L4" s="246"/>
    </row>
    <row r="5" spans="2:12" ht="17.25" customHeight="1" x14ac:dyDescent="0.3">
      <c r="B5" s="249" t="s">
        <v>458</v>
      </c>
      <c r="C5" s="250" t="s">
        <v>1745</v>
      </c>
      <c r="D5" s="246"/>
      <c r="E5" s="246"/>
      <c r="F5" s="246"/>
      <c r="G5" s="246"/>
      <c r="H5" s="246"/>
      <c r="I5" s="246"/>
      <c r="J5" s="246"/>
      <c r="K5" s="42"/>
      <c r="L5" s="246"/>
    </row>
    <row r="6" spans="2:12" x14ac:dyDescent="0.3">
      <c r="B6" s="249" t="s">
        <v>1036</v>
      </c>
      <c r="C6" s="250" t="s">
        <v>537</v>
      </c>
    </row>
    <row r="7" spans="2:12" ht="6.75" customHeight="1" x14ac:dyDescent="0.3"/>
    <row r="8" spans="2:12" s="291" customFormat="1" x14ac:dyDescent="0.3">
      <c r="B8" s="286" t="s">
        <v>392</v>
      </c>
      <c r="C8" s="287" t="s">
        <v>0</v>
      </c>
      <c r="D8" s="287" t="s">
        <v>507</v>
      </c>
      <c r="E8" s="287" t="s">
        <v>833</v>
      </c>
      <c r="F8" s="288" t="s">
        <v>834</v>
      </c>
      <c r="G8" s="659" t="s">
        <v>457</v>
      </c>
      <c r="H8" s="289" t="s">
        <v>1410</v>
      </c>
      <c r="I8" s="449" t="s">
        <v>788</v>
      </c>
      <c r="J8"/>
      <c r="K8"/>
      <c r="L8" s="290"/>
    </row>
    <row r="9" spans="2:12" ht="12.75" customHeight="1" x14ac:dyDescent="0.3">
      <c r="B9" s="252" t="s">
        <v>378</v>
      </c>
      <c r="C9" s="177" t="s">
        <v>5</v>
      </c>
      <c r="D9" s="177" t="s">
        <v>6</v>
      </c>
      <c r="E9" s="177" t="s">
        <v>4</v>
      </c>
      <c r="F9" s="177" t="s">
        <v>935</v>
      </c>
      <c r="G9" s="177" t="s">
        <v>464</v>
      </c>
      <c r="H9" s="253">
        <v>235</v>
      </c>
      <c r="I9" s="254">
        <v>1161</v>
      </c>
      <c r="J9"/>
      <c r="K9"/>
    </row>
    <row r="10" spans="2:12" ht="12.75" customHeight="1" x14ac:dyDescent="0.3">
      <c r="B10" s="252"/>
      <c r="C10" s="177"/>
      <c r="D10" s="177" t="s">
        <v>465</v>
      </c>
      <c r="E10" s="177" t="s">
        <v>375</v>
      </c>
      <c r="F10" s="177" t="s">
        <v>424</v>
      </c>
      <c r="G10" s="177" t="s">
        <v>464</v>
      </c>
      <c r="H10" s="253">
        <v>12</v>
      </c>
      <c r="I10" s="254">
        <v>51</v>
      </c>
      <c r="J10"/>
      <c r="K10"/>
    </row>
    <row r="11" spans="2:12" ht="12.75" customHeight="1" x14ac:dyDescent="0.3">
      <c r="B11" s="252"/>
      <c r="C11" s="177"/>
      <c r="D11" s="177" t="s">
        <v>12</v>
      </c>
      <c r="E11" s="177" t="s">
        <v>11</v>
      </c>
      <c r="F11" s="177" t="s">
        <v>1317</v>
      </c>
      <c r="G11" s="177" t="s">
        <v>464</v>
      </c>
      <c r="H11" s="253">
        <v>190</v>
      </c>
      <c r="I11" s="254">
        <v>928</v>
      </c>
      <c r="J11"/>
      <c r="K11"/>
    </row>
    <row r="12" spans="2:12" ht="12.75" customHeight="1" x14ac:dyDescent="0.3">
      <c r="B12" s="252"/>
      <c r="C12" s="177"/>
      <c r="D12" s="177" t="s">
        <v>14</v>
      </c>
      <c r="E12" s="177" t="s">
        <v>13</v>
      </c>
      <c r="F12" s="177" t="s">
        <v>424</v>
      </c>
      <c r="G12" s="177" t="s">
        <v>464</v>
      </c>
      <c r="H12" s="253">
        <v>41</v>
      </c>
      <c r="I12" s="254">
        <v>225</v>
      </c>
      <c r="J12"/>
      <c r="K12"/>
    </row>
    <row r="13" spans="2:12" ht="12.75" customHeight="1" x14ac:dyDescent="0.3">
      <c r="B13" s="252"/>
      <c r="C13" s="177"/>
      <c r="D13" s="306" t="s">
        <v>18</v>
      </c>
      <c r="E13" s="177" t="s">
        <v>17</v>
      </c>
      <c r="F13" s="177" t="s">
        <v>462</v>
      </c>
      <c r="G13" s="177" t="s">
        <v>464</v>
      </c>
      <c r="H13" s="253">
        <v>132</v>
      </c>
      <c r="I13" s="254">
        <v>748</v>
      </c>
      <c r="J13"/>
      <c r="K13"/>
    </row>
    <row r="14" spans="2:12" ht="12.75" customHeight="1" x14ac:dyDescent="0.3">
      <c r="B14" s="252"/>
      <c r="C14" s="177"/>
      <c r="D14" s="306" t="s">
        <v>8</v>
      </c>
      <c r="E14" s="177" t="s">
        <v>7</v>
      </c>
      <c r="F14" s="177" t="s">
        <v>462</v>
      </c>
      <c r="G14" s="177" t="s">
        <v>464</v>
      </c>
      <c r="H14" s="253">
        <v>13</v>
      </c>
      <c r="I14" s="254">
        <v>57</v>
      </c>
      <c r="J14"/>
      <c r="K14"/>
    </row>
    <row r="15" spans="2:12" ht="12.75" customHeight="1" x14ac:dyDescent="0.3">
      <c r="B15" s="252"/>
      <c r="C15" s="177"/>
      <c r="D15" s="306" t="s">
        <v>20</v>
      </c>
      <c r="E15" s="177" t="s">
        <v>19</v>
      </c>
      <c r="F15" s="177" t="s">
        <v>935</v>
      </c>
      <c r="G15" s="177" t="s">
        <v>464</v>
      </c>
      <c r="H15" s="253">
        <v>17</v>
      </c>
      <c r="I15" s="254">
        <v>76</v>
      </c>
      <c r="J15"/>
      <c r="K15"/>
    </row>
    <row r="16" spans="2:12" ht="12.75" customHeight="1" x14ac:dyDescent="0.3">
      <c r="B16" s="252"/>
      <c r="C16" s="177"/>
      <c r="D16" s="306" t="s">
        <v>364</v>
      </c>
      <c r="E16" s="177" t="s">
        <v>374</v>
      </c>
      <c r="F16" s="177" t="s">
        <v>424</v>
      </c>
      <c r="G16" s="177" t="s">
        <v>464</v>
      </c>
      <c r="H16" s="253">
        <v>148</v>
      </c>
      <c r="I16" s="254">
        <v>747</v>
      </c>
      <c r="J16"/>
      <c r="K16"/>
    </row>
    <row r="17" spans="2:11" ht="12.75" customHeight="1" x14ac:dyDescent="0.3">
      <c r="B17" s="252"/>
      <c r="C17" s="177"/>
      <c r="D17" s="306" t="s">
        <v>22</v>
      </c>
      <c r="E17" s="177" t="s">
        <v>21</v>
      </c>
      <c r="F17" s="177" t="s">
        <v>424</v>
      </c>
      <c r="G17" s="177" t="s">
        <v>464</v>
      </c>
      <c r="H17" s="253">
        <v>641</v>
      </c>
      <c r="I17" s="254">
        <v>3702</v>
      </c>
      <c r="J17"/>
      <c r="K17"/>
    </row>
    <row r="18" spans="2:11" ht="12.75" customHeight="1" x14ac:dyDescent="0.3">
      <c r="B18" s="252"/>
      <c r="C18" s="177"/>
      <c r="D18" s="177" t="s">
        <v>26</v>
      </c>
      <c r="E18" s="177" t="s">
        <v>25</v>
      </c>
      <c r="F18" s="177" t="s">
        <v>462</v>
      </c>
      <c r="G18" s="177" t="s">
        <v>464</v>
      </c>
      <c r="H18" s="253">
        <v>13</v>
      </c>
      <c r="I18" s="254">
        <v>63</v>
      </c>
      <c r="J18"/>
      <c r="K18"/>
    </row>
    <row r="19" spans="2:11" ht="12.75" customHeight="1" x14ac:dyDescent="0.3">
      <c r="B19" s="252"/>
      <c r="C19" s="177" t="s">
        <v>1600</v>
      </c>
      <c r="D19" s="177"/>
      <c r="E19" s="177"/>
      <c r="F19" s="177"/>
      <c r="G19" s="177"/>
      <c r="H19" s="253">
        <v>1442</v>
      </c>
      <c r="I19" s="254">
        <v>7758</v>
      </c>
      <c r="J19"/>
      <c r="K19"/>
    </row>
    <row r="20" spans="2:11" ht="12.75" customHeight="1" x14ac:dyDescent="0.3">
      <c r="B20" s="252"/>
      <c r="C20" s="177" t="s">
        <v>27</v>
      </c>
      <c r="D20" s="177" t="s">
        <v>28</v>
      </c>
      <c r="E20" s="177" t="s">
        <v>30</v>
      </c>
      <c r="F20" s="177" t="s">
        <v>462</v>
      </c>
      <c r="G20" s="177" t="s">
        <v>464</v>
      </c>
      <c r="H20" s="253">
        <v>161</v>
      </c>
      <c r="I20" s="254">
        <v>799</v>
      </c>
      <c r="J20"/>
      <c r="K20"/>
    </row>
    <row r="21" spans="2:11" ht="12.75" customHeight="1" x14ac:dyDescent="0.3">
      <c r="B21" s="252"/>
      <c r="C21" s="177"/>
      <c r="D21" s="177" t="s">
        <v>362</v>
      </c>
      <c r="E21" s="177" t="s">
        <v>29</v>
      </c>
      <c r="F21" s="177" t="s">
        <v>424</v>
      </c>
      <c r="G21" s="177" t="s">
        <v>466</v>
      </c>
      <c r="H21" s="253">
        <v>163</v>
      </c>
      <c r="I21" s="254">
        <v>936</v>
      </c>
      <c r="J21"/>
      <c r="K21"/>
    </row>
    <row r="22" spans="2:11" ht="12.75" customHeight="1" x14ac:dyDescent="0.3">
      <c r="B22" s="252"/>
      <c r="C22" s="177"/>
      <c r="D22" s="177" t="s">
        <v>363</v>
      </c>
      <c r="E22" s="177" t="s">
        <v>376</v>
      </c>
      <c r="F22" s="177" t="s">
        <v>462</v>
      </c>
      <c r="G22" s="177" t="s">
        <v>464</v>
      </c>
      <c r="H22" s="253">
        <v>204</v>
      </c>
      <c r="I22" s="254">
        <v>837</v>
      </c>
      <c r="J22"/>
      <c r="K22"/>
    </row>
    <row r="23" spans="2:11" ht="12.75" customHeight="1" x14ac:dyDescent="0.3">
      <c r="B23" s="252"/>
      <c r="C23" s="177"/>
      <c r="D23" s="177" t="s">
        <v>790</v>
      </c>
      <c r="E23" s="177" t="s">
        <v>789</v>
      </c>
      <c r="F23" s="177" t="s">
        <v>936</v>
      </c>
      <c r="G23" s="177" t="s">
        <v>464</v>
      </c>
      <c r="H23" s="253">
        <v>57</v>
      </c>
      <c r="I23" s="254">
        <v>273</v>
      </c>
      <c r="J23"/>
      <c r="K23"/>
    </row>
    <row r="24" spans="2:11" ht="12.75" customHeight="1" x14ac:dyDescent="0.3">
      <c r="B24" s="252"/>
      <c r="C24" s="177"/>
      <c r="D24" s="177" t="s">
        <v>875</v>
      </c>
      <c r="E24" s="177" t="s">
        <v>876</v>
      </c>
      <c r="F24" s="177" t="s">
        <v>936</v>
      </c>
      <c r="G24" s="177" t="s">
        <v>464</v>
      </c>
      <c r="H24" s="253">
        <v>28</v>
      </c>
      <c r="I24" s="254">
        <v>165</v>
      </c>
      <c r="J24"/>
      <c r="K24"/>
    </row>
    <row r="25" spans="2:11" ht="12.75" customHeight="1" x14ac:dyDescent="0.3">
      <c r="B25" s="252"/>
      <c r="C25" s="177" t="s">
        <v>953</v>
      </c>
      <c r="D25" s="177"/>
      <c r="E25" s="177"/>
      <c r="F25" s="177"/>
      <c r="G25" s="177"/>
      <c r="H25" s="253">
        <v>613</v>
      </c>
      <c r="I25" s="254">
        <v>3010</v>
      </c>
      <c r="J25"/>
      <c r="K25"/>
    </row>
    <row r="26" spans="2:11" x14ac:dyDescent="0.3">
      <c r="B26" s="252"/>
      <c r="C26" s="177" t="s">
        <v>480</v>
      </c>
      <c r="D26" s="177" t="s">
        <v>120</v>
      </c>
      <c r="E26" s="177" t="s">
        <v>119</v>
      </c>
      <c r="F26" s="177" t="s">
        <v>936</v>
      </c>
      <c r="G26" s="177" t="s">
        <v>464</v>
      </c>
      <c r="H26" s="253">
        <v>68</v>
      </c>
      <c r="I26" s="254">
        <v>336</v>
      </c>
      <c r="J26"/>
      <c r="K26"/>
    </row>
    <row r="27" spans="2:11" ht="12.75" customHeight="1" x14ac:dyDescent="0.3">
      <c r="B27" s="252"/>
      <c r="C27" s="177"/>
      <c r="D27" s="177" t="s">
        <v>41</v>
      </c>
      <c r="E27" s="177" t="s">
        <v>40</v>
      </c>
      <c r="F27" s="177" t="s">
        <v>462</v>
      </c>
      <c r="G27" s="177" t="s">
        <v>464</v>
      </c>
      <c r="H27" s="253">
        <v>70</v>
      </c>
      <c r="I27" s="254">
        <v>374</v>
      </c>
      <c r="J27"/>
      <c r="K27"/>
    </row>
    <row r="28" spans="2:11" ht="12.75" customHeight="1" x14ac:dyDescent="0.3">
      <c r="B28" s="252"/>
      <c r="C28" s="177"/>
      <c r="D28" s="177" t="s">
        <v>43</v>
      </c>
      <c r="E28" s="177" t="s">
        <v>42</v>
      </c>
      <c r="F28" s="177" t="s">
        <v>462</v>
      </c>
      <c r="G28" s="177" t="s">
        <v>464</v>
      </c>
      <c r="H28" s="253">
        <v>14</v>
      </c>
      <c r="I28" s="254">
        <v>83</v>
      </c>
      <c r="J28"/>
      <c r="K28"/>
    </row>
    <row r="29" spans="2:11" ht="12.75" customHeight="1" x14ac:dyDescent="0.3">
      <c r="B29" s="252"/>
      <c r="C29" s="177"/>
      <c r="D29" s="177" t="s">
        <v>52</v>
      </c>
      <c r="E29" s="177" t="s">
        <v>51</v>
      </c>
      <c r="F29" s="177" t="s">
        <v>424</v>
      </c>
      <c r="G29" s="177" t="s">
        <v>464</v>
      </c>
      <c r="H29" s="253">
        <v>36</v>
      </c>
      <c r="I29" s="254">
        <v>226</v>
      </c>
      <c r="J29"/>
      <c r="K29"/>
    </row>
    <row r="30" spans="2:11" ht="12.75" customHeight="1" x14ac:dyDescent="0.3">
      <c r="B30" s="252"/>
      <c r="C30" s="177"/>
      <c r="D30" s="177" t="s">
        <v>72</v>
      </c>
      <c r="E30" s="177" t="s">
        <v>71</v>
      </c>
      <c r="F30" s="177" t="s">
        <v>1317</v>
      </c>
      <c r="G30" s="177" t="s">
        <v>464</v>
      </c>
      <c r="H30" s="253">
        <v>6</v>
      </c>
      <c r="I30" s="254">
        <v>31</v>
      </c>
      <c r="J30"/>
      <c r="K30"/>
    </row>
    <row r="31" spans="2:11" ht="12.75" customHeight="1" x14ac:dyDescent="0.3">
      <c r="B31" s="252"/>
      <c r="C31" s="177"/>
      <c r="D31" s="177" t="s">
        <v>76</v>
      </c>
      <c r="E31" s="177" t="s">
        <v>75</v>
      </c>
      <c r="F31" s="177" t="s">
        <v>462</v>
      </c>
      <c r="G31" s="177" t="s">
        <v>464</v>
      </c>
      <c r="H31" s="253">
        <v>70</v>
      </c>
      <c r="I31" s="254">
        <v>377</v>
      </c>
      <c r="J31"/>
      <c r="K31"/>
    </row>
    <row r="32" spans="2:11" ht="12.75" customHeight="1" x14ac:dyDescent="0.3">
      <c r="B32" s="252"/>
      <c r="C32" s="177"/>
      <c r="D32" s="177" t="s">
        <v>88</v>
      </c>
      <c r="E32" s="177" t="s">
        <v>87</v>
      </c>
      <c r="F32" s="177" t="s">
        <v>424</v>
      </c>
      <c r="G32" s="177" t="s">
        <v>464</v>
      </c>
      <c r="H32" s="253">
        <v>34</v>
      </c>
      <c r="I32" s="254">
        <v>136</v>
      </c>
      <c r="J32"/>
      <c r="K32"/>
    </row>
    <row r="33" spans="2:11" x14ac:dyDescent="0.3">
      <c r="B33" s="252"/>
      <c r="C33" s="177"/>
      <c r="D33" s="177" t="s">
        <v>44</v>
      </c>
      <c r="E33" s="177" t="s">
        <v>45</v>
      </c>
      <c r="F33" s="177" t="s">
        <v>1317</v>
      </c>
      <c r="G33" s="177" t="s">
        <v>464</v>
      </c>
      <c r="H33" s="253">
        <v>2</v>
      </c>
      <c r="I33" s="254">
        <v>14</v>
      </c>
      <c r="J33"/>
      <c r="K33"/>
    </row>
    <row r="34" spans="2:11" ht="12.75" customHeight="1" x14ac:dyDescent="0.3">
      <c r="B34" s="252"/>
      <c r="C34" s="177"/>
      <c r="D34" s="177" t="s">
        <v>90</v>
      </c>
      <c r="E34" s="177" t="s">
        <v>89</v>
      </c>
      <c r="F34" s="177" t="s">
        <v>462</v>
      </c>
      <c r="G34" s="177" t="s">
        <v>464</v>
      </c>
      <c r="H34" s="253">
        <v>18</v>
      </c>
      <c r="I34" s="254">
        <v>102</v>
      </c>
      <c r="J34"/>
      <c r="K34"/>
    </row>
    <row r="35" spans="2:11" ht="12.75" customHeight="1" x14ac:dyDescent="0.3">
      <c r="B35" s="252"/>
      <c r="C35" s="177"/>
      <c r="D35" s="177" t="s">
        <v>92</v>
      </c>
      <c r="E35" s="177" t="s">
        <v>91</v>
      </c>
      <c r="F35" s="177" t="s">
        <v>462</v>
      </c>
      <c r="G35" s="177" t="s">
        <v>464</v>
      </c>
      <c r="H35" s="253">
        <v>11</v>
      </c>
      <c r="I35" s="254">
        <v>55</v>
      </c>
      <c r="J35"/>
      <c r="K35"/>
    </row>
    <row r="36" spans="2:11" ht="12.75" customHeight="1" x14ac:dyDescent="0.3">
      <c r="B36" s="252"/>
      <c r="C36" s="177"/>
      <c r="D36" s="177" t="s">
        <v>100</v>
      </c>
      <c r="E36" s="177" t="s">
        <v>99</v>
      </c>
      <c r="F36" s="177" t="s">
        <v>1317</v>
      </c>
      <c r="G36" s="177" t="s">
        <v>464</v>
      </c>
      <c r="H36" s="253">
        <v>4</v>
      </c>
      <c r="I36" s="254">
        <v>15</v>
      </c>
      <c r="J36"/>
      <c r="K36"/>
    </row>
    <row r="37" spans="2:11" ht="12.75" customHeight="1" x14ac:dyDescent="0.3">
      <c r="B37" s="252"/>
      <c r="C37" s="177"/>
      <c r="D37" s="177" t="s">
        <v>551</v>
      </c>
      <c r="E37" s="177" t="s">
        <v>46</v>
      </c>
      <c r="F37" s="177" t="s">
        <v>1317</v>
      </c>
      <c r="G37" s="177" t="s">
        <v>464</v>
      </c>
      <c r="H37" s="253">
        <v>11</v>
      </c>
      <c r="I37" s="254">
        <v>43</v>
      </c>
      <c r="J37"/>
      <c r="K37"/>
    </row>
    <row r="38" spans="2:11" x14ac:dyDescent="0.3">
      <c r="B38" s="252"/>
      <c r="C38" s="177"/>
      <c r="D38" s="177" t="s">
        <v>108</v>
      </c>
      <c r="E38" s="177" t="s">
        <v>107</v>
      </c>
      <c r="F38" s="177" t="s">
        <v>936</v>
      </c>
      <c r="G38" s="177" t="s">
        <v>464</v>
      </c>
      <c r="H38" s="253">
        <v>50</v>
      </c>
      <c r="I38" s="254">
        <v>237</v>
      </c>
      <c r="J38"/>
      <c r="K38"/>
    </row>
    <row r="39" spans="2:11" ht="12.75" customHeight="1" x14ac:dyDescent="0.3">
      <c r="B39" s="252"/>
      <c r="C39" s="177"/>
      <c r="D39" s="177" t="s">
        <v>118</v>
      </c>
      <c r="E39" s="177" t="s">
        <v>117</v>
      </c>
      <c r="F39" s="177" t="s">
        <v>1317</v>
      </c>
      <c r="G39" s="177" t="s">
        <v>464</v>
      </c>
      <c r="H39" s="253">
        <v>10</v>
      </c>
      <c r="I39" s="254">
        <v>38</v>
      </c>
      <c r="J39"/>
      <c r="K39"/>
    </row>
    <row r="40" spans="2:11" x14ac:dyDescent="0.3">
      <c r="B40" s="252"/>
      <c r="C40" s="177"/>
      <c r="D40" s="177" t="s">
        <v>126</v>
      </c>
      <c r="E40" s="177" t="s">
        <v>125</v>
      </c>
      <c r="F40" s="177" t="s">
        <v>424</v>
      </c>
      <c r="G40" s="177" t="s">
        <v>464</v>
      </c>
      <c r="H40" s="253">
        <v>32</v>
      </c>
      <c r="I40" s="254">
        <v>173</v>
      </c>
      <c r="J40"/>
      <c r="K40"/>
    </row>
    <row r="41" spans="2:11" ht="12.75" customHeight="1" x14ac:dyDescent="0.3">
      <c r="B41" s="252"/>
      <c r="C41" s="177"/>
      <c r="D41" s="177" t="s">
        <v>140</v>
      </c>
      <c r="E41" s="177" t="s">
        <v>139</v>
      </c>
      <c r="F41" s="177" t="s">
        <v>424</v>
      </c>
      <c r="G41" s="177" t="s">
        <v>464</v>
      </c>
      <c r="H41" s="253">
        <v>16</v>
      </c>
      <c r="I41" s="254">
        <v>68</v>
      </c>
      <c r="J41"/>
      <c r="K41"/>
    </row>
    <row r="42" spans="2:11" ht="12.75" customHeight="1" x14ac:dyDescent="0.3">
      <c r="B42" s="252"/>
      <c r="C42" s="177"/>
      <c r="D42" s="177" t="s">
        <v>915</v>
      </c>
      <c r="E42" s="177" t="s">
        <v>916</v>
      </c>
      <c r="F42" s="177" t="s">
        <v>424</v>
      </c>
      <c r="G42" s="177" t="s">
        <v>464</v>
      </c>
      <c r="H42" s="253">
        <v>106</v>
      </c>
      <c r="I42" s="254">
        <v>514</v>
      </c>
      <c r="J42"/>
      <c r="K42"/>
    </row>
    <row r="43" spans="2:11" ht="12.75" customHeight="1" x14ac:dyDescent="0.3">
      <c r="B43" s="252"/>
      <c r="C43" s="177"/>
      <c r="D43" s="177" t="s">
        <v>1158</v>
      </c>
      <c r="E43" s="177" t="s">
        <v>1161</v>
      </c>
      <c r="F43" s="177" t="s">
        <v>424</v>
      </c>
      <c r="G43" s="177" t="s">
        <v>464</v>
      </c>
      <c r="H43" s="253">
        <v>31</v>
      </c>
      <c r="I43" s="254">
        <v>129</v>
      </c>
      <c r="J43"/>
      <c r="K43"/>
    </row>
    <row r="44" spans="2:11" ht="12.75" customHeight="1" x14ac:dyDescent="0.3">
      <c r="B44" s="252"/>
      <c r="C44" s="177"/>
      <c r="D44" s="177" t="s">
        <v>1157</v>
      </c>
      <c r="E44" s="177" t="s">
        <v>1163</v>
      </c>
      <c r="F44" s="177" t="s">
        <v>1317</v>
      </c>
      <c r="G44" s="177" t="s">
        <v>464</v>
      </c>
      <c r="H44" s="253">
        <v>4</v>
      </c>
      <c r="I44" s="254">
        <v>11</v>
      </c>
      <c r="J44"/>
      <c r="K44"/>
    </row>
    <row r="45" spans="2:11" ht="12.75" customHeight="1" x14ac:dyDescent="0.3">
      <c r="B45" s="252"/>
      <c r="C45" s="177"/>
      <c r="D45" s="177" t="s">
        <v>1156</v>
      </c>
      <c r="E45" s="177" t="s">
        <v>1164</v>
      </c>
      <c r="F45" s="177" t="s">
        <v>936</v>
      </c>
      <c r="G45" s="177" t="s">
        <v>464</v>
      </c>
      <c r="H45" s="253">
        <v>22</v>
      </c>
      <c r="I45" s="254">
        <v>95</v>
      </c>
      <c r="J45"/>
      <c r="K45"/>
    </row>
    <row r="46" spans="2:11" ht="12.75" customHeight="1" x14ac:dyDescent="0.3">
      <c r="B46" s="252"/>
      <c r="C46" s="177"/>
      <c r="D46" s="177" t="s">
        <v>1279</v>
      </c>
      <c r="E46" s="177" t="s">
        <v>1270</v>
      </c>
      <c r="F46" s="177" t="s">
        <v>424</v>
      </c>
      <c r="G46" s="177" t="s">
        <v>464</v>
      </c>
      <c r="H46" s="253">
        <v>124</v>
      </c>
      <c r="I46" s="254">
        <v>662</v>
      </c>
      <c r="J46"/>
      <c r="K46"/>
    </row>
    <row r="47" spans="2:11" ht="12.75" customHeight="1" x14ac:dyDescent="0.3">
      <c r="B47" s="252"/>
      <c r="C47" s="177"/>
      <c r="D47" s="177" t="s">
        <v>1642</v>
      </c>
      <c r="E47" s="177" t="s">
        <v>1697</v>
      </c>
      <c r="F47" s="177" t="s">
        <v>936</v>
      </c>
      <c r="G47" s="177" t="s">
        <v>464</v>
      </c>
      <c r="H47" s="253">
        <v>46</v>
      </c>
      <c r="I47" s="254">
        <v>203</v>
      </c>
      <c r="J47"/>
      <c r="K47"/>
    </row>
    <row r="48" spans="2:11" ht="12.75" customHeight="1" x14ac:dyDescent="0.3">
      <c r="B48" s="252"/>
      <c r="C48" s="177"/>
      <c r="D48" s="177" t="s">
        <v>1707</v>
      </c>
      <c r="E48" s="177" t="s">
        <v>1699</v>
      </c>
      <c r="F48" s="177" t="s">
        <v>936</v>
      </c>
      <c r="G48" s="177" t="s">
        <v>464</v>
      </c>
      <c r="H48" s="253">
        <v>15</v>
      </c>
      <c r="I48" s="254">
        <v>59</v>
      </c>
      <c r="J48"/>
      <c r="K48"/>
    </row>
    <row r="49" spans="2:11" x14ac:dyDescent="0.3">
      <c r="B49" s="252"/>
      <c r="C49" s="177" t="s">
        <v>988</v>
      </c>
      <c r="D49" s="177"/>
      <c r="E49" s="177"/>
      <c r="F49" s="177"/>
      <c r="G49" s="177"/>
      <c r="H49" s="253">
        <v>800</v>
      </c>
      <c r="I49" s="254">
        <v>3981</v>
      </c>
      <c r="J49"/>
      <c r="K49"/>
    </row>
    <row r="50" spans="2:11" ht="12.75" customHeight="1" x14ac:dyDescent="0.3">
      <c r="B50" s="252"/>
      <c r="C50" s="177" t="s">
        <v>151</v>
      </c>
      <c r="D50" s="177" t="s">
        <v>188</v>
      </c>
      <c r="E50" s="177" t="s">
        <v>187</v>
      </c>
      <c r="F50" s="177" t="s">
        <v>935</v>
      </c>
      <c r="G50" s="177" t="s">
        <v>466</v>
      </c>
      <c r="H50" s="253">
        <v>362</v>
      </c>
      <c r="I50" s="254">
        <v>1718</v>
      </c>
      <c r="J50"/>
      <c r="K50"/>
    </row>
    <row r="51" spans="2:11" ht="12.75" customHeight="1" x14ac:dyDescent="0.3">
      <c r="B51" s="252"/>
      <c r="C51" s="177"/>
      <c r="D51" s="177" t="s">
        <v>12</v>
      </c>
      <c r="E51" s="177" t="s">
        <v>388</v>
      </c>
      <c r="F51" s="177" t="s">
        <v>1317</v>
      </c>
      <c r="G51" s="177" t="s">
        <v>464</v>
      </c>
      <c r="H51" s="253">
        <v>80</v>
      </c>
      <c r="I51" s="254">
        <v>290</v>
      </c>
      <c r="J51"/>
      <c r="K51"/>
    </row>
    <row r="52" spans="2:11" ht="12.75" customHeight="1" x14ac:dyDescent="0.3">
      <c r="B52" s="252"/>
      <c r="C52" s="177"/>
      <c r="D52" s="177" t="s">
        <v>198</v>
      </c>
      <c r="E52" s="177" t="s">
        <v>197</v>
      </c>
      <c r="F52" s="177" t="s">
        <v>935</v>
      </c>
      <c r="G52" s="177" t="s">
        <v>466</v>
      </c>
      <c r="H52" s="253">
        <v>535</v>
      </c>
      <c r="I52" s="254">
        <v>2490</v>
      </c>
      <c r="J52"/>
      <c r="K52"/>
    </row>
    <row r="53" spans="2:11" ht="12.75" customHeight="1" x14ac:dyDescent="0.3">
      <c r="B53" s="252"/>
      <c r="C53" s="177"/>
      <c r="D53" s="177" t="s">
        <v>811</v>
      </c>
      <c r="E53" s="177" t="s">
        <v>812</v>
      </c>
      <c r="F53" s="177" t="s">
        <v>424</v>
      </c>
      <c r="G53" s="177" t="s">
        <v>464</v>
      </c>
      <c r="H53" s="253">
        <v>433</v>
      </c>
      <c r="I53" s="254">
        <v>1857</v>
      </c>
      <c r="J53"/>
      <c r="K53"/>
    </row>
    <row r="54" spans="2:11" ht="12.75" customHeight="1" x14ac:dyDescent="0.3">
      <c r="B54" s="252"/>
      <c r="C54" s="177"/>
      <c r="D54" s="177" t="s">
        <v>160</v>
      </c>
      <c r="E54" s="177" t="s">
        <v>159</v>
      </c>
      <c r="F54" s="177" t="s">
        <v>424</v>
      </c>
      <c r="G54" s="177" t="s">
        <v>464</v>
      </c>
      <c r="H54" s="253">
        <v>127</v>
      </c>
      <c r="I54" s="254">
        <v>653</v>
      </c>
      <c r="J54"/>
      <c r="K54"/>
    </row>
    <row r="55" spans="2:11" ht="12.75" customHeight="1" x14ac:dyDescent="0.3">
      <c r="B55" s="252"/>
      <c r="C55" s="177"/>
      <c r="D55" s="177" t="s">
        <v>154</v>
      </c>
      <c r="E55" s="177" t="s">
        <v>153</v>
      </c>
      <c r="F55" s="177" t="s">
        <v>935</v>
      </c>
      <c r="G55" s="177" t="s">
        <v>464</v>
      </c>
      <c r="H55" s="253">
        <v>442</v>
      </c>
      <c r="I55" s="254">
        <v>2301</v>
      </c>
      <c r="J55"/>
      <c r="K55"/>
    </row>
    <row r="56" spans="2:11" ht="12.75" customHeight="1" x14ac:dyDescent="0.3">
      <c r="B56" s="252"/>
      <c r="C56" s="177"/>
      <c r="D56" s="177" t="s">
        <v>156</v>
      </c>
      <c r="E56" s="177" t="s">
        <v>155</v>
      </c>
      <c r="F56" s="177" t="s">
        <v>1317</v>
      </c>
      <c r="G56" s="177" t="s">
        <v>464</v>
      </c>
      <c r="H56" s="253">
        <v>175</v>
      </c>
      <c r="I56" s="254">
        <v>834</v>
      </c>
      <c r="J56"/>
      <c r="K56"/>
    </row>
    <row r="57" spans="2:11" ht="12.75" customHeight="1" x14ac:dyDescent="0.3">
      <c r="B57" s="252"/>
      <c r="C57" s="177"/>
      <c r="D57" s="177" t="s">
        <v>152</v>
      </c>
      <c r="E57" s="177" t="s">
        <v>150</v>
      </c>
      <c r="F57" s="177" t="s">
        <v>424</v>
      </c>
      <c r="G57" s="177" t="s">
        <v>464</v>
      </c>
      <c r="H57" s="253">
        <v>189</v>
      </c>
      <c r="I57" s="254">
        <v>840</v>
      </c>
      <c r="J57"/>
      <c r="K57"/>
    </row>
    <row r="58" spans="2:11" ht="12.75" customHeight="1" x14ac:dyDescent="0.3">
      <c r="B58" s="252"/>
      <c r="C58" s="177"/>
      <c r="D58" s="177" t="s">
        <v>847</v>
      </c>
      <c r="E58" s="177" t="s">
        <v>846</v>
      </c>
      <c r="F58" s="177" t="s">
        <v>935</v>
      </c>
      <c r="G58" s="177" t="s">
        <v>464</v>
      </c>
      <c r="H58" s="253">
        <v>169</v>
      </c>
      <c r="I58" s="254">
        <v>804</v>
      </c>
      <c r="J58"/>
      <c r="K58"/>
    </row>
    <row r="59" spans="2:11" ht="12.75" customHeight="1" x14ac:dyDescent="0.3">
      <c r="B59" s="252"/>
      <c r="C59" s="177"/>
      <c r="D59" s="177" t="s">
        <v>911</v>
      </c>
      <c r="E59" s="177" t="s">
        <v>912</v>
      </c>
      <c r="F59" s="177" t="s">
        <v>935</v>
      </c>
      <c r="G59" s="177" t="s">
        <v>464</v>
      </c>
      <c r="H59" s="253">
        <v>151</v>
      </c>
      <c r="I59" s="254">
        <v>729</v>
      </c>
      <c r="J59"/>
      <c r="K59"/>
    </row>
    <row r="60" spans="2:11" ht="12.75" customHeight="1" x14ac:dyDescent="0.3">
      <c r="B60" s="252"/>
      <c r="C60" s="177"/>
      <c r="D60" s="177" t="s">
        <v>938</v>
      </c>
      <c r="E60" s="177" t="s">
        <v>939</v>
      </c>
      <c r="F60" s="177" t="s">
        <v>424</v>
      </c>
      <c r="G60" s="177" t="s">
        <v>464</v>
      </c>
      <c r="H60" s="253">
        <v>155</v>
      </c>
      <c r="I60" s="254">
        <v>681</v>
      </c>
      <c r="J60"/>
      <c r="K60"/>
    </row>
    <row r="61" spans="2:11" ht="12.75" customHeight="1" x14ac:dyDescent="0.3">
      <c r="B61" s="252"/>
      <c r="C61" s="177" t="s">
        <v>1604</v>
      </c>
      <c r="D61" s="177"/>
      <c r="E61" s="177"/>
      <c r="F61" s="177"/>
      <c r="G61" s="177"/>
      <c r="H61" s="253">
        <v>2818</v>
      </c>
      <c r="I61" s="254">
        <v>13197</v>
      </c>
      <c r="J61"/>
      <c r="K61"/>
    </row>
    <row r="62" spans="2:11" x14ac:dyDescent="0.3">
      <c r="B62" s="252"/>
      <c r="C62" s="177" t="s">
        <v>173</v>
      </c>
      <c r="D62" s="177" t="s">
        <v>174</v>
      </c>
      <c r="E62" s="177" t="s">
        <v>172</v>
      </c>
      <c r="F62" s="177" t="s">
        <v>424</v>
      </c>
      <c r="G62" s="177" t="s">
        <v>464</v>
      </c>
      <c r="H62" s="253">
        <v>13</v>
      </c>
      <c r="I62" s="254">
        <v>71</v>
      </c>
      <c r="J62"/>
      <c r="K62"/>
    </row>
    <row r="63" spans="2:11" ht="12.75" customHeight="1" x14ac:dyDescent="0.3">
      <c r="B63" s="252"/>
      <c r="C63" s="177"/>
      <c r="D63" s="177" t="s">
        <v>178</v>
      </c>
      <c r="E63" s="177" t="s">
        <v>177</v>
      </c>
      <c r="F63" s="177" t="s">
        <v>424</v>
      </c>
      <c r="G63" s="177" t="s">
        <v>464</v>
      </c>
      <c r="H63" s="253">
        <v>10</v>
      </c>
      <c r="I63" s="254">
        <v>42</v>
      </c>
      <c r="J63"/>
      <c r="K63"/>
    </row>
    <row r="64" spans="2:11" ht="12.75" customHeight="1" x14ac:dyDescent="0.3">
      <c r="B64" s="252"/>
      <c r="C64" s="177"/>
      <c r="D64" s="177" t="s">
        <v>1062</v>
      </c>
      <c r="E64" s="177" t="s">
        <v>1056</v>
      </c>
      <c r="F64" s="177" t="s">
        <v>424</v>
      </c>
      <c r="G64" s="177" t="s">
        <v>464</v>
      </c>
      <c r="H64" s="253">
        <v>27</v>
      </c>
      <c r="I64" s="254">
        <v>133</v>
      </c>
      <c r="J64"/>
      <c r="K64"/>
    </row>
    <row r="65" spans="2:11" ht="12.75" customHeight="1" x14ac:dyDescent="0.3">
      <c r="B65" s="252"/>
      <c r="C65" s="177"/>
      <c r="D65" s="177" t="s">
        <v>1489</v>
      </c>
      <c r="E65" s="177" t="s">
        <v>175</v>
      </c>
      <c r="F65" s="177" t="s">
        <v>424</v>
      </c>
      <c r="G65" s="177" t="s">
        <v>464</v>
      </c>
      <c r="H65" s="253">
        <v>15</v>
      </c>
      <c r="I65" s="254">
        <v>74</v>
      </c>
      <c r="J65"/>
      <c r="K65"/>
    </row>
    <row r="66" spans="2:11" ht="12.75" customHeight="1" x14ac:dyDescent="0.3">
      <c r="B66" s="252"/>
      <c r="C66" s="177"/>
      <c r="D66" s="177" t="s">
        <v>1664</v>
      </c>
      <c r="E66" s="177" t="s">
        <v>1652</v>
      </c>
      <c r="F66" s="177" t="s">
        <v>936</v>
      </c>
      <c r="G66" s="177" t="s">
        <v>464</v>
      </c>
      <c r="H66" s="253">
        <v>45</v>
      </c>
      <c r="I66" s="254">
        <v>238</v>
      </c>
      <c r="J66"/>
      <c r="K66"/>
    </row>
    <row r="67" spans="2:11" ht="12.75" customHeight="1" x14ac:dyDescent="0.3">
      <c r="B67" s="252"/>
      <c r="C67" s="177"/>
      <c r="D67" s="177" t="s">
        <v>1665</v>
      </c>
      <c r="E67" s="177" t="s">
        <v>1653</v>
      </c>
      <c r="F67" s="177" t="s">
        <v>936</v>
      </c>
      <c r="G67" s="177" t="s">
        <v>464</v>
      </c>
      <c r="H67" s="253">
        <v>80</v>
      </c>
      <c r="I67" s="254">
        <v>399</v>
      </c>
      <c r="J67"/>
      <c r="K67"/>
    </row>
    <row r="68" spans="2:11" ht="12.75" customHeight="1" x14ac:dyDescent="0.3">
      <c r="B68" s="252"/>
      <c r="C68" s="177"/>
      <c r="D68" s="177" t="s">
        <v>1668</v>
      </c>
      <c r="E68" s="177" t="s">
        <v>1655</v>
      </c>
      <c r="F68" s="177" t="s">
        <v>1317</v>
      </c>
      <c r="G68" s="177" t="s">
        <v>464</v>
      </c>
      <c r="H68" s="253">
        <v>34</v>
      </c>
      <c r="I68" s="254">
        <v>116</v>
      </c>
      <c r="J68"/>
      <c r="K68"/>
    </row>
    <row r="69" spans="2:11" ht="12.75" customHeight="1" x14ac:dyDescent="0.3">
      <c r="B69" s="252"/>
      <c r="C69" s="177"/>
      <c r="D69" s="177" t="s">
        <v>1733</v>
      </c>
      <c r="E69" s="177" t="s">
        <v>1654</v>
      </c>
      <c r="F69" s="177" t="s">
        <v>424</v>
      </c>
      <c r="G69" s="177" t="s">
        <v>464</v>
      </c>
      <c r="H69" s="253">
        <v>111</v>
      </c>
      <c r="I69" s="254">
        <v>484</v>
      </c>
      <c r="J69"/>
      <c r="K69"/>
    </row>
    <row r="70" spans="2:11" ht="12.75" customHeight="1" x14ac:dyDescent="0.3">
      <c r="B70" s="252"/>
      <c r="C70" s="177" t="s">
        <v>1605</v>
      </c>
      <c r="D70" s="177"/>
      <c r="E70" s="177"/>
      <c r="F70" s="177"/>
      <c r="G70" s="177"/>
      <c r="H70" s="253">
        <v>335</v>
      </c>
      <c r="I70" s="254">
        <v>1557</v>
      </c>
      <c r="J70"/>
      <c r="K70"/>
    </row>
    <row r="71" spans="2:11" ht="12.75" customHeight="1" x14ac:dyDescent="0.3">
      <c r="B71" s="252"/>
      <c r="C71" s="177" t="s">
        <v>180</v>
      </c>
      <c r="D71" s="177" t="s">
        <v>286</v>
      </c>
      <c r="E71" s="177" t="s">
        <v>285</v>
      </c>
      <c r="F71" s="177" t="s">
        <v>424</v>
      </c>
      <c r="G71" s="177" t="s">
        <v>464</v>
      </c>
      <c r="H71" s="253">
        <v>26</v>
      </c>
      <c r="I71" s="254">
        <v>117</v>
      </c>
      <c r="J71"/>
      <c r="K71"/>
    </row>
    <row r="72" spans="2:11" ht="12.75" customHeight="1" x14ac:dyDescent="0.3">
      <c r="B72" s="252"/>
      <c r="C72" s="177"/>
      <c r="D72" s="177" t="s">
        <v>181</v>
      </c>
      <c r="E72" s="177" t="s">
        <v>179</v>
      </c>
      <c r="F72" s="177" t="s">
        <v>936</v>
      </c>
      <c r="G72" s="177" t="s">
        <v>464</v>
      </c>
      <c r="H72" s="253">
        <v>11</v>
      </c>
      <c r="I72" s="254">
        <v>55</v>
      </c>
      <c r="J72"/>
      <c r="K72"/>
    </row>
    <row r="73" spans="2:11" ht="12.75" customHeight="1" x14ac:dyDescent="0.3">
      <c r="B73" s="252"/>
      <c r="C73" s="177"/>
      <c r="D73" s="177" t="s">
        <v>984</v>
      </c>
      <c r="E73" s="177" t="s">
        <v>986</v>
      </c>
      <c r="F73" s="177" t="s">
        <v>1317</v>
      </c>
      <c r="G73" s="177" t="s">
        <v>464</v>
      </c>
      <c r="H73" s="253">
        <v>27</v>
      </c>
      <c r="I73" s="254">
        <v>121</v>
      </c>
      <c r="J73"/>
      <c r="K73"/>
    </row>
    <row r="74" spans="2:11" ht="12.75" customHeight="1" x14ac:dyDescent="0.3">
      <c r="B74" s="252"/>
      <c r="C74" s="177"/>
      <c r="D74" s="177" t="s">
        <v>985</v>
      </c>
      <c r="E74" s="177" t="s">
        <v>987</v>
      </c>
      <c r="F74" s="177" t="s">
        <v>1317</v>
      </c>
      <c r="G74" s="177" t="s">
        <v>464</v>
      </c>
      <c r="H74" s="253">
        <v>14</v>
      </c>
      <c r="I74" s="254">
        <v>63</v>
      </c>
      <c r="J74"/>
      <c r="K74"/>
    </row>
    <row r="75" spans="2:11" ht="12.75" customHeight="1" x14ac:dyDescent="0.3">
      <c r="B75" s="252"/>
      <c r="C75" s="177" t="s">
        <v>1606</v>
      </c>
      <c r="D75" s="177"/>
      <c r="E75" s="177"/>
      <c r="F75" s="177"/>
      <c r="G75" s="177"/>
      <c r="H75" s="253">
        <v>78</v>
      </c>
      <c r="I75" s="254">
        <v>356</v>
      </c>
      <c r="J75"/>
      <c r="K75"/>
    </row>
    <row r="76" spans="2:11" ht="12.75" customHeight="1" x14ac:dyDescent="0.3">
      <c r="B76" s="252"/>
      <c r="C76" s="177" t="s">
        <v>185</v>
      </c>
      <c r="D76" s="177" t="s">
        <v>192</v>
      </c>
      <c r="E76" s="177" t="s">
        <v>191</v>
      </c>
      <c r="F76" s="177" t="s">
        <v>936</v>
      </c>
      <c r="G76" s="177" t="s">
        <v>466</v>
      </c>
      <c r="H76" s="253">
        <v>88</v>
      </c>
      <c r="I76" s="254">
        <v>338</v>
      </c>
      <c r="J76"/>
      <c r="K76"/>
    </row>
    <row r="77" spans="2:11" ht="12.75" customHeight="1" x14ac:dyDescent="0.3">
      <c r="B77" s="252"/>
      <c r="C77" s="177"/>
      <c r="D77" s="177" t="s">
        <v>12</v>
      </c>
      <c r="E77" s="177" t="s">
        <v>389</v>
      </c>
      <c r="F77" s="177" t="s">
        <v>1317</v>
      </c>
      <c r="G77" s="177" t="s">
        <v>464</v>
      </c>
      <c r="H77" s="253">
        <v>223</v>
      </c>
      <c r="I77" s="254">
        <v>1067</v>
      </c>
      <c r="J77"/>
      <c r="K77"/>
    </row>
    <row r="78" spans="2:11" ht="12.75" customHeight="1" x14ac:dyDescent="0.3">
      <c r="B78" s="252"/>
      <c r="C78" s="177"/>
      <c r="D78" s="177" t="s">
        <v>194</v>
      </c>
      <c r="E78" s="177" t="s">
        <v>193</v>
      </c>
      <c r="F78" s="177" t="s">
        <v>936</v>
      </c>
      <c r="G78" s="177" t="s">
        <v>466</v>
      </c>
      <c r="H78" s="253">
        <v>719</v>
      </c>
      <c r="I78" s="254">
        <v>3648</v>
      </c>
      <c r="J78"/>
      <c r="K78"/>
    </row>
    <row r="79" spans="2:11" ht="12.75" customHeight="1" x14ac:dyDescent="0.3">
      <c r="B79" s="252"/>
      <c r="C79" s="177"/>
      <c r="D79" s="177" t="s">
        <v>196</v>
      </c>
      <c r="E79" s="177" t="s">
        <v>195</v>
      </c>
      <c r="F79" s="177" t="s">
        <v>936</v>
      </c>
      <c r="G79" s="177" t="s">
        <v>466</v>
      </c>
      <c r="H79" s="253">
        <v>1491</v>
      </c>
      <c r="I79" s="254">
        <v>8574</v>
      </c>
      <c r="J79"/>
      <c r="K79"/>
    </row>
    <row r="80" spans="2:11" ht="12.75" customHeight="1" x14ac:dyDescent="0.3">
      <c r="B80" s="252"/>
      <c r="C80" s="177"/>
      <c r="D80" s="177" t="s">
        <v>474</v>
      </c>
      <c r="E80" s="177" t="s">
        <v>475</v>
      </c>
      <c r="F80" s="177" t="s">
        <v>1317</v>
      </c>
      <c r="G80" s="177" t="s">
        <v>464</v>
      </c>
      <c r="H80" s="253">
        <v>3</v>
      </c>
      <c r="I80" s="254">
        <v>18</v>
      </c>
      <c r="J80"/>
      <c r="K80"/>
    </row>
    <row r="81" spans="2:11" ht="12.75" customHeight="1" x14ac:dyDescent="0.3">
      <c r="B81" s="252"/>
      <c r="C81" s="177"/>
      <c r="D81" s="177" t="s">
        <v>186</v>
      </c>
      <c r="E81" s="177" t="s">
        <v>184</v>
      </c>
      <c r="F81" s="177" t="s">
        <v>424</v>
      </c>
      <c r="G81" s="177" t="s">
        <v>464</v>
      </c>
      <c r="H81" s="253">
        <v>41</v>
      </c>
      <c r="I81" s="254">
        <v>237</v>
      </c>
      <c r="J81"/>
      <c r="K81"/>
    </row>
    <row r="82" spans="2:11" ht="12.75" customHeight="1" x14ac:dyDescent="0.3">
      <c r="B82" s="252"/>
      <c r="C82" s="177"/>
      <c r="D82" s="177" t="s">
        <v>223</v>
      </c>
      <c r="E82" s="177" t="s">
        <v>222</v>
      </c>
      <c r="F82" s="177" t="s">
        <v>935</v>
      </c>
      <c r="G82" s="177" t="s">
        <v>464</v>
      </c>
      <c r="H82" s="253">
        <v>129</v>
      </c>
      <c r="I82" s="254">
        <v>641</v>
      </c>
      <c r="J82"/>
      <c r="K82"/>
    </row>
    <row r="83" spans="2:11" ht="12.75" customHeight="1" x14ac:dyDescent="0.3">
      <c r="B83" s="252"/>
      <c r="C83" s="177"/>
      <c r="D83" s="177" t="s">
        <v>190</v>
      </c>
      <c r="E83" s="177" t="s">
        <v>189</v>
      </c>
      <c r="F83" s="177" t="s">
        <v>424</v>
      </c>
      <c r="G83" s="177" t="s">
        <v>464</v>
      </c>
      <c r="H83" s="253">
        <v>204</v>
      </c>
      <c r="I83" s="254">
        <v>1105</v>
      </c>
      <c r="J83"/>
      <c r="K83"/>
    </row>
    <row r="84" spans="2:11" ht="12.75" customHeight="1" x14ac:dyDescent="0.3">
      <c r="B84" s="252"/>
      <c r="C84" s="177"/>
      <c r="D84" s="177" t="s">
        <v>202</v>
      </c>
      <c r="E84" s="177" t="s">
        <v>201</v>
      </c>
      <c r="F84" s="177" t="s">
        <v>935</v>
      </c>
      <c r="G84" s="177" t="s">
        <v>464</v>
      </c>
      <c r="H84" s="253">
        <v>304</v>
      </c>
      <c r="I84" s="254">
        <v>1389</v>
      </c>
      <c r="J84"/>
      <c r="K84"/>
    </row>
    <row r="85" spans="2:11" ht="12.75" customHeight="1" x14ac:dyDescent="0.3">
      <c r="B85" s="252"/>
      <c r="C85" s="177"/>
      <c r="D85" s="177" t="s">
        <v>209</v>
      </c>
      <c r="E85" s="177" t="s">
        <v>208</v>
      </c>
      <c r="F85" s="177" t="s">
        <v>424</v>
      </c>
      <c r="G85" s="177" t="s">
        <v>464</v>
      </c>
      <c r="H85" s="253">
        <v>427</v>
      </c>
      <c r="I85" s="254">
        <v>1874</v>
      </c>
      <c r="J85"/>
      <c r="K85"/>
    </row>
    <row r="86" spans="2:11" ht="12.75" customHeight="1" x14ac:dyDescent="0.3">
      <c r="B86" s="252"/>
      <c r="C86" s="177"/>
      <c r="D86" s="177" t="s">
        <v>213</v>
      </c>
      <c r="E86" s="177" t="s">
        <v>212</v>
      </c>
      <c r="F86" s="177" t="s">
        <v>1317</v>
      </c>
      <c r="G86" s="177" t="s">
        <v>464</v>
      </c>
      <c r="H86" s="253">
        <v>47</v>
      </c>
      <c r="I86" s="254">
        <v>153</v>
      </c>
      <c r="J86"/>
      <c r="K86"/>
    </row>
    <row r="87" spans="2:11" ht="12.75" customHeight="1" x14ac:dyDescent="0.3">
      <c r="B87" s="252"/>
      <c r="C87" s="177"/>
      <c r="D87" s="177" t="s">
        <v>215</v>
      </c>
      <c r="E87" s="177" t="s">
        <v>214</v>
      </c>
      <c r="F87" s="177" t="s">
        <v>935</v>
      </c>
      <c r="G87" s="177" t="s">
        <v>466</v>
      </c>
      <c r="H87" s="253">
        <v>354</v>
      </c>
      <c r="I87" s="254">
        <v>3547</v>
      </c>
      <c r="J87"/>
      <c r="K87"/>
    </row>
    <row r="88" spans="2:11" ht="12.75" customHeight="1" x14ac:dyDescent="0.3">
      <c r="B88" s="252"/>
      <c r="C88" s="177"/>
      <c r="D88" s="177" t="s">
        <v>229</v>
      </c>
      <c r="E88" s="177" t="s">
        <v>228</v>
      </c>
      <c r="F88" s="177" t="s">
        <v>424</v>
      </c>
      <c r="G88" s="177" t="s">
        <v>464</v>
      </c>
      <c r="H88" s="253">
        <v>48</v>
      </c>
      <c r="I88" s="254">
        <v>300</v>
      </c>
      <c r="J88"/>
      <c r="K88"/>
    </row>
    <row r="89" spans="2:11" ht="12.75" customHeight="1" x14ac:dyDescent="0.3">
      <c r="B89" s="252"/>
      <c r="C89" s="177"/>
      <c r="D89" s="177" t="s">
        <v>219</v>
      </c>
      <c r="E89" s="177" t="s">
        <v>218</v>
      </c>
      <c r="F89" s="177" t="s">
        <v>935</v>
      </c>
      <c r="G89" s="177" t="s">
        <v>466</v>
      </c>
      <c r="H89" s="253">
        <v>632</v>
      </c>
      <c r="I89" s="254">
        <v>3551</v>
      </c>
      <c r="J89"/>
      <c r="K89"/>
    </row>
    <row r="90" spans="2:11" ht="12.75" customHeight="1" x14ac:dyDescent="0.3">
      <c r="B90" s="252"/>
      <c r="C90" s="177"/>
      <c r="D90" s="177" t="s">
        <v>225</v>
      </c>
      <c r="E90" s="177" t="s">
        <v>224</v>
      </c>
      <c r="F90" s="177" t="s">
        <v>424</v>
      </c>
      <c r="G90" s="177" t="s">
        <v>464</v>
      </c>
      <c r="H90" s="253">
        <v>43</v>
      </c>
      <c r="I90" s="254">
        <v>432</v>
      </c>
      <c r="J90"/>
      <c r="K90"/>
    </row>
    <row r="91" spans="2:11" ht="12.75" customHeight="1" x14ac:dyDescent="0.3">
      <c r="B91" s="252"/>
      <c r="C91" s="177" t="s">
        <v>1607</v>
      </c>
      <c r="D91" s="177"/>
      <c r="E91" s="177"/>
      <c r="F91" s="177"/>
      <c r="G91" s="177"/>
      <c r="H91" s="253">
        <v>4753</v>
      </c>
      <c r="I91" s="254">
        <v>26874</v>
      </c>
      <c r="J91"/>
      <c r="K91"/>
    </row>
    <row r="92" spans="2:11" ht="12.75" customHeight="1" x14ac:dyDescent="0.3">
      <c r="B92" s="252"/>
      <c r="C92" s="177" t="s">
        <v>237</v>
      </c>
      <c r="D92" s="306" t="s">
        <v>252</v>
      </c>
      <c r="E92" s="177" t="s">
        <v>251</v>
      </c>
      <c r="F92" s="177" t="s">
        <v>424</v>
      </c>
      <c r="G92" s="177" t="s">
        <v>464</v>
      </c>
      <c r="H92" s="253">
        <v>199</v>
      </c>
      <c r="I92" s="254">
        <v>1118</v>
      </c>
      <c r="J92"/>
      <c r="K92"/>
    </row>
    <row r="93" spans="2:11" ht="12.75" customHeight="1" x14ac:dyDescent="0.3">
      <c r="B93" s="252"/>
      <c r="C93" s="177"/>
      <c r="D93" s="306" t="s">
        <v>254</v>
      </c>
      <c r="E93" s="177" t="s">
        <v>253</v>
      </c>
      <c r="F93" s="177" t="s">
        <v>936</v>
      </c>
      <c r="G93" s="177" t="s">
        <v>464</v>
      </c>
      <c r="H93" s="253">
        <v>117</v>
      </c>
      <c r="I93" s="254">
        <v>575</v>
      </c>
      <c r="J93"/>
      <c r="K93"/>
    </row>
    <row r="94" spans="2:11" ht="12.75" customHeight="1" x14ac:dyDescent="0.3">
      <c r="B94" s="252"/>
      <c r="C94" s="177"/>
      <c r="D94" s="306" t="s">
        <v>256</v>
      </c>
      <c r="E94" s="177" t="s">
        <v>255</v>
      </c>
      <c r="F94" s="177" t="s">
        <v>424</v>
      </c>
      <c r="G94" s="177" t="s">
        <v>464</v>
      </c>
      <c r="H94" s="253">
        <v>45</v>
      </c>
      <c r="I94" s="254">
        <v>209</v>
      </c>
      <c r="J94"/>
      <c r="K94"/>
    </row>
    <row r="95" spans="2:11" ht="12.75" customHeight="1" x14ac:dyDescent="0.3">
      <c r="B95" s="252"/>
      <c r="C95" s="177"/>
      <c r="D95" s="177" t="s">
        <v>303</v>
      </c>
      <c r="E95" s="177" t="s">
        <v>302</v>
      </c>
      <c r="F95" s="177" t="s">
        <v>1317</v>
      </c>
      <c r="G95" s="177" t="s">
        <v>464</v>
      </c>
      <c r="H95" s="253">
        <v>375</v>
      </c>
      <c r="I95" s="254">
        <v>1691</v>
      </c>
      <c r="J95"/>
      <c r="K95"/>
    </row>
    <row r="96" spans="2:11" x14ac:dyDescent="0.3">
      <c r="B96" s="252"/>
      <c r="C96" s="177"/>
      <c r="D96" s="306" t="s">
        <v>240</v>
      </c>
      <c r="E96" s="177" t="s">
        <v>239</v>
      </c>
      <c r="F96" s="177" t="s">
        <v>424</v>
      </c>
      <c r="G96" s="177" t="s">
        <v>464</v>
      </c>
      <c r="H96" s="253">
        <v>108</v>
      </c>
      <c r="I96" s="254">
        <v>603</v>
      </c>
      <c r="J96"/>
      <c r="K96"/>
    </row>
    <row r="97" spans="2:11" ht="12.75" customHeight="1" x14ac:dyDescent="0.3">
      <c r="B97" s="252"/>
      <c r="C97" s="177"/>
      <c r="D97" s="306" t="s">
        <v>284</v>
      </c>
      <c r="E97" s="177" t="s">
        <v>283</v>
      </c>
      <c r="F97" s="177" t="s">
        <v>424</v>
      </c>
      <c r="G97" s="177" t="s">
        <v>464</v>
      </c>
      <c r="H97" s="253">
        <v>138</v>
      </c>
      <c r="I97" s="254">
        <v>701</v>
      </c>
      <c r="J97"/>
      <c r="K97"/>
    </row>
    <row r="98" spans="2:11" ht="12.75" customHeight="1" x14ac:dyDescent="0.3">
      <c r="B98" s="252"/>
      <c r="C98" s="177"/>
      <c r="D98" s="177" t="s">
        <v>258</v>
      </c>
      <c r="E98" s="177" t="s">
        <v>257</v>
      </c>
      <c r="F98" s="177" t="s">
        <v>424</v>
      </c>
      <c r="G98" s="177" t="s">
        <v>464</v>
      </c>
      <c r="H98" s="253">
        <v>62</v>
      </c>
      <c r="I98" s="254">
        <v>306</v>
      </c>
      <c r="J98"/>
      <c r="K98"/>
    </row>
    <row r="99" spans="2:11" ht="12.75" customHeight="1" x14ac:dyDescent="0.3">
      <c r="B99" s="252"/>
      <c r="C99" s="177"/>
      <c r="D99" s="177" t="s">
        <v>260</v>
      </c>
      <c r="E99" s="177" t="s">
        <v>259</v>
      </c>
      <c r="F99" s="177" t="s">
        <v>424</v>
      </c>
      <c r="G99" s="177" t="s">
        <v>464</v>
      </c>
      <c r="H99" s="253">
        <v>103</v>
      </c>
      <c r="I99" s="254">
        <v>586</v>
      </c>
      <c r="J99"/>
      <c r="K99"/>
    </row>
    <row r="100" spans="2:11" ht="12.75" customHeight="1" x14ac:dyDescent="0.3">
      <c r="B100" s="252"/>
      <c r="C100" s="177"/>
      <c r="D100" s="177" t="s">
        <v>262</v>
      </c>
      <c r="E100" s="177" t="s">
        <v>261</v>
      </c>
      <c r="F100" s="177" t="s">
        <v>462</v>
      </c>
      <c r="G100" s="177" t="s">
        <v>464</v>
      </c>
      <c r="H100" s="253">
        <v>22</v>
      </c>
      <c r="I100" s="254">
        <v>92</v>
      </c>
      <c r="J100"/>
      <c r="K100"/>
    </row>
    <row r="101" spans="2:11" ht="12.75" customHeight="1" x14ac:dyDescent="0.3">
      <c r="B101" s="252"/>
      <c r="C101" s="177"/>
      <c r="D101" s="177" t="s">
        <v>264</v>
      </c>
      <c r="E101" s="177" t="s">
        <v>263</v>
      </c>
      <c r="F101" s="177" t="s">
        <v>462</v>
      </c>
      <c r="G101" s="177" t="s">
        <v>464</v>
      </c>
      <c r="H101" s="253">
        <v>21</v>
      </c>
      <c r="I101" s="254">
        <v>121</v>
      </c>
      <c r="J101"/>
      <c r="K101"/>
    </row>
    <row r="102" spans="2:11" ht="12.75" customHeight="1" x14ac:dyDescent="0.3">
      <c r="B102" s="252"/>
      <c r="C102" s="177"/>
      <c r="D102" s="177" t="s">
        <v>270</v>
      </c>
      <c r="E102" s="177" t="s">
        <v>269</v>
      </c>
      <c r="F102" s="177" t="s">
        <v>936</v>
      </c>
      <c r="G102" s="177" t="s">
        <v>464</v>
      </c>
      <c r="H102" s="253">
        <v>59</v>
      </c>
      <c r="I102" s="254">
        <v>314</v>
      </c>
      <c r="J102"/>
      <c r="K102"/>
    </row>
    <row r="103" spans="2:11" ht="12.75" customHeight="1" x14ac:dyDescent="0.3">
      <c r="B103" s="252"/>
      <c r="C103" s="177"/>
      <c r="D103" s="177" t="s">
        <v>268</v>
      </c>
      <c r="E103" s="177" t="s">
        <v>267</v>
      </c>
      <c r="F103" s="177" t="s">
        <v>424</v>
      </c>
      <c r="G103" s="177" t="s">
        <v>464</v>
      </c>
      <c r="H103" s="253">
        <v>68</v>
      </c>
      <c r="I103" s="254">
        <v>298</v>
      </c>
      <c r="J103"/>
      <c r="K103"/>
    </row>
    <row r="104" spans="2:11" ht="12.75" customHeight="1" x14ac:dyDescent="0.3">
      <c r="B104" s="252"/>
      <c r="C104" s="177"/>
      <c r="D104" s="177" t="s">
        <v>272</v>
      </c>
      <c r="E104" s="177" t="s">
        <v>271</v>
      </c>
      <c r="F104" s="177" t="s">
        <v>936</v>
      </c>
      <c r="G104" s="177" t="s">
        <v>464</v>
      </c>
      <c r="H104" s="253">
        <v>138</v>
      </c>
      <c r="I104" s="254">
        <v>803</v>
      </c>
      <c r="J104"/>
      <c r="K104"/>
    </row>
    <row r="105" spans="2:11" ht="12.75" customHeight="1" x14ac:dyDescent="0.3">
      <c r="B105" s="252"/>
      <c r="C105" s="177"/>
      <c r="D105" s="177" t="s">
        <v>276</v>
      </c>
      <c r="E105" s="177" t="s">
        <v>275</v>
      </c>
      <c r="F105" s="177" t="s">
        <v>424</v>
      </c>
      <c r="G105" s="177" t="s">
        <v>464</v>
      </c>
      <c r="H105" s="253">
        <v>120</v>
      </c>
      <c r="I105" s="254">
        <v>582</v>
      </c>
      <c r="J105"/>
      <c r="K105"/>
    </row>
    <row r="106" spans="2:11" ht="12.75" customHeight="1" x14ac:dyDescent="0.3">
      <c r="B106" s="252"/>
      <c r="C106" s="177"/>
      <c r="D106" s="177" t="s">
        <v>278</v>
      </c>
      <c r="E106" s="177" t="s">
        <v>277</v>
      </c>
      <c r="F106" s="177" t="s">
        <v>462</v>
      </c>
      <c r="G106" s="177" t="s">
        <v>464</v>
      </c>
      <c r="H106" s="253">
        <v>23</v>
      </c>
      <c r="I106" s="254">
        <v>113</v>
      </c>
      <c r="J106"/>
      <c r="K106"/>
    </row>
    <row r="107" spans="2:11" ht="12.75" customHeight="1" x14ac:dyDescent="0.3">
      <c r="B107" s="252"/>
      <c r="C107" s="177"/>
      <c r="D107" s="177" t="s">
        <v>280</v>
      </c>
      <c r="E107" s="177" t="s">
        <v>279</v>
      </c>
      <c r="F107" s="177" t="s">
        <v>424</v>
      </c>
      <c r="G107" s="177" t="s">
        <v>464</v>
      </c>
      <c r="H107" s="253">
        <v>91</v>
      </c>
      <c r="I107" s="254">
        <v>511</v>
      </c>
      <c r="J107"/>
      <c r="K107"/>
    </row>
    <row r="108" spans="2:11" ht="12.75" customHeight="1" x14ac:dyDescent="0.3">
      <c r="B108" s="252"/>
      <c r="C108" s="177"/>
      <c r="D108" s="177" t="s">
        <v>238</v>
      </c>
      <c r="E108" s="177" t="s">
        <v>236</v>
      </c>
      <c r="F108" s="177" t="s">
        <v>424</v>
      </c>
      <c r="G108" s="177" t="s">
        <v>464</v>
      </c>
      <c r="H108" s="253">
        <v>75</v>
      </c>
      <c r="I108" s="254">
        <v>433</v>
      </c>
      <c r="J108"/>
      <c r="K108"/>
    </row>
    <row r="109" spans="2:11" ht="12.75" customHeight="1" x14ac:dyDescent="0.3">
      <c r="B109" s="252"/>
      <c r="C109" s="177"/>
      <c r="D109" s="177" t="s">
        <v>248</v>
      </c>
      <c r="E109" s="177" t="s">
        <v>247</v>
      </c>
      <c r="F109" s="177" t="s">
        <v>1317</v>
      </c>
      <c r="G109" s="177" t="s">
        <v>464</v>
      </c>
      <c r="H109" s="253">
        <v>16</v>
      </c>
      <c r="I109" s="254">
        <v>77</v>
      </c>
      <c r="J109"/>
      <c r="K109"/>
    </row>
    <row r="110" spans="2:11" ht="12.75" customHeight="1" x14ac:dyDescent="0.3">
      <c r="B110" s="252"/>
      <c r="C110" s="177"/>
      <c r="D110" s="177" t="s">
        <v>250</v>
      </c>
      <c r="E110" s="177" t="s">
        <v>249</v>
      </c>
      <c r="F110" s="177" t="s">
        <v>424</v>
      </c>
      <c r="G110" s="177" t="s">
        <v>464</v>
      </c>
      <c r="H110" s="253">
        <v>32</v>
      </c>
      <c r="I110" s="254">
        <v>174</v>
      </c>
      <c r="J110"/>
      <c r="K110"/>
    </row>
    <row r="111" spans="2:11" ht="12.75" customHeight="1" x14ac:dyDescent="0.3">
      <c r="B111" s="252"/>
      <c r="C111" s="177"/>
      <c r="D111" s="177" t="s">
        <v>274</v>
      </c>
      <c r="E111" s="177" t="s">
        <v>273</v>
      </c>
      <c r="F111" s="177" t="s">
        <v>424</v>
      </c>
      <c r="G111" s="177" t="s">
        <v>464</v>
      </c>
      <c r="H111" s="253">
        <v>46</v>
      </c>
      <c r="I111" s="254">
        <v>242</v>
      </c>
      <c r="J111"/>
      <c r="K111"/>
    </row>
    <row r="112" spans="2:11" ht="12.75" customHeight="1" x14ac:dyDescent="0.3">
      <c r="B112" s="252"/>
      <c r="C112" s="177"/>
      <c r="D112" s="177" t="s">
        <v>1031</v>
      </c>
      <c r="E112" s="177" t="s">
        <v>241</v>
      </c>
      <c r="F112" s="177" t="s">
        <v>462</v>
      </c>
      <c r="G112" s="177" t="s">
        <v>464</v>
      </c>
      <c r="H112" s="253">
        <v>55</v>
      </c>
      <c r="I112" s="254">
        <v>262</v>
      </c>
      <c r="J112"/>
      <c r="K112"/>
    </row>
    <row r="113" spans="2:11" ht="12.75" customHeight="1" x14ac:dyDescent="0.3">
      <c r="B113" s="252"/>
      <c r="C113" s="177"/>
      <c r="D113" s="177" t="s">
        <v>1512</v>
      </c>
      <c r="E113" s="177" t="s">
        <v>244</v>
      </c>
      <c r="F113" s="177" t="s">
        <v>424</v>
      </c>
      <c r="G113" s="177" t="s">
        <v>464</v>
      </c>
      <c r="H113" s="253">
        <v>42</v>
      </c>
      <c r="I113" s="254">
        <v>187</v>
      </c>
      <c r="J113"/>
      <c r="K113"/>
    </row>
    <row r="114" spans="2:11" ht="12.75" customHeight="1" x14ac:dyDescent="0.3">
      <c r="B114" s="252"/>
      <c r="C114" s="177"/>
      <c r="D114" s="177" t="s">
        <v>1515</v>
      </c>
      <c r="E114" s="177" t="s">
        <v>1546</v>
      </c>
      <c r="F114" s="177" t="s">
        <v>936</v>
      </c>
      <c r="G114" s="177" t="s">
        <v>464</v>
      </c>
      <c r="H114" s="253">
        <v>14</v>
      </c>
      <c r="I114" s="254">
        <v>38</v>
      </c>
      <c r="J114"/>
      <c r="K114"/>
    </row>
    <row r="115" spans="2:11" ht="12.75" customHeight="1" x14ac:dyDescent="0.3">
      <c r="B115" s="252"/>
      <c r="C115" s="177"/>
      <c r="D115" s="177" t="s">
        <v>1674</v>
      </c>
      <c r="E115" s="177" t="s">
        <v>1657</v>
      </c>
      <c r="F115" s="177" t="s">
        <v>1317</v>
      </c>
      <c r="G115" s="177" t="s">
        <v>464</v>
      </c>
      <c r="H115" s="253">
        <v>229</v>
      </c>
      <c r="I115" s="254">
        <v>1247</v>
      </c>
      <c r="J115"/>
      <c r="K115"/>
    </row>
    <row r="116" spans="2:11" ht="12.75" customHeight="1" x14ac:dyDescent="0.3">
      <c r="B116" s="252"/>
      <c r="C116" s="177"/>
      <c r="D116" s="177" t="s">
        <v>1701</v>
      </c>
      <c r="E116" s="177" t="s">
        <v>1696</v>
      </c>
      <c r="F116" s="177" t="s">
        <v>1317</v>
      </c>
      <c r="G116" s="177" t="s">
        <v>464</v>
      </c>
      <c r="H116" s="253">
        <v>8</v>
      </c>
      <c r="I116" s="254">
        <v>32</v>
      </c>
      <c r="J116"/>
      <c r="K116"/>
    </row>
    <row r="117" spans="2:11" ht="12.75" customHeight="1" x14ac:dyDescent="0.3">
      <c r="B117" s="252"/>
      <c r="C117" s="177"/>
      <c r="D117" s="177" t="s">
        <v>1728</v>
      </c>
      <c r="E117" s="177" t="s">
        <v>1727</v>
      </c>
      <c r="F117" s="177" t="s">
        <v>936</v>
      </c>
      <c r="G117" s="177" t="s">
        <v>464</v>
      </c>
      <c r="H117" s="253">
        <v>32</v>
      </c>
      <c r="I117" s="254">
        <v>161</v>
      </c>
      <c r="J117"/>
      <c r="K117"/>
    </row>
    <row r="118" spans="2:11" ht="12.75" customHeight="1" x14ac:dyDescent="0.3">
      <c r="B118" s="252"/>
      <c r="C118" s="177"/>
      <c r="D118" s="177" t="s">
        <v>1734</v>
      </c>
      <c r="E118" s="177" t="s">
        <v>1656</v>
      </c>
      <c r="F118" s="177" t="s">
        <v>424</v>
      </c>
      <c r="G118" s="177" t="s">
        <v>464</v>
      </c>
      <c r="H118" s="253">
        <v>211</v>
      </c>
      <c r="I118" s="254">
        <v>972</v>
      </c>
      <c r="J118"/>
      <c r="K118"/>
    </row>
    <row r="119" spans="2:11" ht="12.75" customHeight="1" x14ac:dyDescent="0.3">
      <c r="B119" s="252"/>
      <c r="C119" s="177"/>
      <c r="D119" s="177" t="s">
        <v>1770</v>
      </c>
      <c r="E119" s="177" t="s">
        <v>1694</v>
      </c>
      <c r="F119" s="177" t="s">
        <v>424</v>
      </c>
      <c r="G119" s="177" t="s">
        <v>464</v>
      </c>
      <c r="H119" s="253">
        <v>141</v>
      </c>
      <c r="I119" s="254">
        <v>597</v>
      </c>
      <c r="J119"/>
      <c r="K119"/>
    </row>
    <row r="120" spans="2:11" ht="12.75" customHeight="1" x14ac:dyDescent="0.3">
      <c r="B120" s="252"/>
      <c r="C120" s="177" t="s">
        <v>989</v>
      </c>
      <c r="D120" s="177"/>
      <c r="E120" s="177"/>
      <c r="F120" s="177"/>
      <c r="G120" s="177"/>
      <c r="H120" s="253">
        <v>2590</v>
      </c>
      <c r="I120" s="254">
        <v>13045</v>
      </c>
      <c r="J120"/>
      <c r="K120"/>
    </row>
    <row r="121" spans="2:11" ht="12.75" customHeight="1" x14ac:dyDescent="0.3">
      <c r="B121" s="252"/>
      <c r="C121" s="177" t="s">
        <v>299</v>
      </c>
      <c r="D121" s="177" t="s">
        <v>300</v>
      </c>
      <c r="E121" s="177" t="s">
        <v>298</v>
      </c>
      <c r="F121" s="177" t="s">
        <v>1317</v>
      </c>
      <c r="G121" s="177" t="s">
        <v>464</v>
      </c>
      <c r="H121" s="253">
        <v>14</v>
      </c>
      <c r="I121" s="254">
        <v>75</v>
      </c>
      <c r="J121"/>
      <c r="K121"/>
    </row>
    <row r="122" spans="2:11" ht="12.75" customHeight="1" x14ac:dyDescent="0.3">
      <c r="B122" s="252"/>
      <c r="C122" s="177"/>
      <c r="D122" s="177" t="s">
        <v>892</v>
      </c>
      <c r="E122" s="177" t="s">
        <v>893</v>
      </c>
      <c r="F122" s="177" t="s">
        <v>1317</v>
      </c>
      <c r="G122" s="177" t="s">
        <v>464</v>
      </c>
      <c r="H122" s="253">
        <v>10</v>
      </c>
      <c r="I122" s="254">
        <v>56</v>
      </c>
      <c r="J122"/>
      <c r="K122"/>
    </row>
    <row r="123" spans="2:11" ht="12.75" customHeight="1" x14ac:dyDescent="0.3">
      <c r="B123" s="252"/>
      <c r="C123" s="177"/>
      <c r="D123" s="177" t="s">
        <v>1046</v>
      </c>
      <c r="E123" s="177" t="s">
        <v>1045</v>
      </c>
      <c r="F123" s="177" t="s">
        <v>424</v>
      </c>
      <c r="G123" s="177" t="s">
        <v>464</v>
      </c>
      <c r="H123" s="253">
        <v>61</v>
      </c>
      <c r="I123" s="254">
        <v>281</v>
      </c>
      <c r="J123"/>
      <c r="K123"/>
    </row>
    <row r="124" spans="2:11" ht="12.75" customHeight="1" x14ac:dyDescent="0.3">
      <c r="B124" s="252"/>
      <c r="C124" s="177" t="s">
        <v>1608</v>
      </c>
      <c r="D124" s="177"/>
      <c r="E124" s="177"/>
      <c r="F124" s="177"/>
      <c r="G124" s="177"/>
      <c r="H124" s="253">
        <v>85</v>
      </c>
      <c r="I124" s="254">
        <v>412</v>
      </c>
      <c r="J124"/>
      <c r="K124"/>
    </row>
    <row r="125" spans="2:11" ht="12.75" customHeight="1" x14ac:dyDescent="0.3">
      <c r="B125" s="252"/>
      <c r="C125" s="177" t="s">
        <v>301</v>
      </c>
      <c r="D125" s="177" t="s">
        <v>305</v>
      </c>
      <c r="E125" s="177" t="s">
        <v>304</v>
      </c>
      <c r="F125" s="177" t="s">
        <v>424</v>
      </c>
      <c r="G125" s="177" t="s">
        <v>464</v>
      </c>
      <c r="H125" s="253">
        <v>91</v>
      </c>
      <c r="I125" s="254">
        <v>344</v>
      </c>
      <c r="J125"/>
      <c r="K125"/>
    </row>
    <row r="126" spans="2:11" ht="12.75" customHeight="1" x14ac:dyDescent="0.3">
      <c r="B126" s="252"/>
      <c r="C126" s="177"/>
      <c r="D126" s="177" t="s">
        <v>307</v>
      </c>
      <c r="E126" s="177" t="s">
        <v>306</v>
      </c>
      <c r="F126" s="177" t="s">
        <v>935</v>
      </c>
      <c r="G126" s="177" t="s">
        <v>464</v>
      </c>
      <c r="H126" s="253">
        <v>47</v>
      </c>
      <c r="I126" s="254">
        <v>197</v>
      </c>
      <c r="J126"/>
      <c r="K126"/>
    </row>
    <row r="127" spans="2:11" ht="12.75" customHeight="1" x14ac:dyDescent="0.3">
      <c r="B127" s="252"/>
      <c r="C127" s="177" t="s">
        <v>1609</v>
      </c>
      <c r="D127" s="177"/>
      <c r="E127" s="177"/>
      <c r="F127" s="177"/>
      <c r="G127" s="177"/>
      <c r="H127" s="253">
        <v>138</v>
      </c>
      <c r="I127" s="254">
        <v>541</v>
      </c>
      <c r="J127"/>
      <c r="K127"/>
    </row>
    <row r="128" spans="2:11" ht="12.75" customHeight="1" x14ac:dyDescent="0.3">
      <c r="B128" s="252"/>
      <c r="C128" s="177" t="s">
        <v>746</v>
      </c>
      <c r="D128" s="177" t="s">
        <v>746</v>
      </c>
      <c r="E128" s="177" t="s">
        <v>750</v>
      </c>
      <c r="F128" s="177" t="s">
        <v>1317</v>
      </c>
      <c r="G128" s="177" t="s">
        <v>464</v>
      </c>
      <c r="H128" s="253">
        <v>5</v>
      </c>
      <c r="I128" s="254">
        <v>32</v>
      </c>
      <c r="J128"/>
      <c r="K128"/>
    </row>
    <row r="129" spans="2:11" ht="12.75" customHeight="1" x14ac:dyDescent="0.3">
      <c r="B129" s="252"/>
      <c r="C129" s="177"/>
      <c r="D129" s="177" t="s">
        <v>1066</v>
      </c>
      <c r="E129" s="177" t="s">
        <v>1067</v>
      </c>
      <c r="F129" s="177" t="s">
        <v>424</v>
      </c>
      <c r="G129" s="177" t="s">
        <v>466</v>
      </c>
      <c r="H129" s="253">
        <v>123</v>
      </c>
      <c r="I129" s="254">
        <v>637</v>
      </c>
      <c r="J129"/>
      <c r="K129"/>
    </row>
    <row r="130" spans="2:11" ht="12.75" customHeight="1" x14ac:dyDescent="0.3">
      <c r="B130" s="252"/>
      <c r="C130" s="177"/>
      <c r="D130" s="177" t="s">
        <v>1068</v>
      </c>
      <c r="E130" s="177" t="s">
        <v>1069</v>
      </c>
      <c r="F130" s="177" t="s">
        <v>424</v>
      </c>
      <c r="G130" s="177" t="s">
        <v>466</v>
      </c>
      <c r="H130" s="253">
        <v>63</v>
      </c>
      <c r="I130" s="254">
        <v>332</v>
      </c>
      <c r="J130"/>
      <c r="K130"/>
    </row>
    <row r="131" spans="2:11" ht="12.75" customHeight="1" x14ac:dyDescent="0.3">
      <c r="B131" s="252"/>
      <c r="C131" s="177" t="s">
        <v>1751</v>
      </c>
      <c r="D131" s="177"/>
      <c r="E131" s="177"/>
      <c r="F131" s="177"/>
      <c r="G131" s="177"/>
      <c r="H131" s="253">
        <v>191</v>
      </c>
      <c r="I131" s="254">
        <v>1001</v>
      </c>
      <c r="J131"/>
      <c r="K131"/>
    </row>
    <row r="132" spans="2:11" ht="12.75" customHeight="1" x14ac:dyDescent="0.3">
      <c r="B132" s="252"/>
      <c r="C132" s="177" t="s">
        <v>309</v>
      </c>
      <c r="D132" s="177" t="s">
        <v>333</v>
      </c>
      <c r="E132" s="177" t="s">
        <v>332</v>
      </c>
      <c r="F132" s="177" t="s">
        <v>936</v>
      </c>
      <c r="G132" s="177" t="s">
        <v>466</v>
      </c>
      <c r="H132" s="253">
        <v>124</v>
      </c>
      <c r="I132" s="254">
        <v>471</v>
      </c>
      <c r="J132"/>
      <c r="K132"/>
    </row>
    <row r="133" spans="2:11" ht="12.75" customHeight="1" x14ac:dyDescent="0.3">
      <c r="B133" s="252"/>
      <c r="C133" s="177"/>
      <c r="D133" s="177" t="s">
        <v>312</v>
      </c>
      <c r="E133" s="177" t="s">
        <v>311</v>
      </c>
      <c r="F133" s="177" t="s">
        <v>462</v>
      </c>
      <c r="G133" s="177" t="s">
        <v>464</v>
      </c>
      <c r="H133" s="253">
        <v>92</v>
      </c>
      <c r="I133" s="254">
        <v>447</v>
      </c>
      <c r="J133"/>
      <c r="K133"/>
    </row>
    <row r="134" spans="2:11" ht="12.75" customHeight="1" x14ac:dyDescent="0.3">
      <c r="B134" s="252"/>
      <c r="C134" s="177"/>
      <c r="D134" s="177" t="s">
        <v>335</v>
      </c>
      <c r="E134" s="177" t="s">
        <v>334</v>
      </c>
      <c r="F134" s="177" t="s">
        <v>424</v>
      </c>
      <c r="G134" s="177" t="s">
        <v>466</v>
      </c>
      <c r="H134" s="253">
        <v>136</v>
      </c>
      <c r="I134" s="254">
        <v>986</v>
      </c>
      <c r="J134"/>
      <c r="K134"/>
    </row>
    <row r="135" spans="2:11" ht="12.75" customHeight="1" x14ac:dyDescent="0.3">
      <c r="B135" s="252"/>
      <c r="C135" s="177"/>
      <c r="D135" s="177" t="s">
        <v>751</v>
      </c>
      <c r="E135" s="177" t="s">
        <v>752</v>
      </c>
      <c r="F135" s="177" t="s">
        <v>1317</v>
      </c>
      <c r="G135" s="177" t="s">
        <v>466</v>
      </c>
      <c r="H135" s="253"/>
      <c r="I135" s="254">
        <v>872</v>
      </c>
      <c r="J135"/>
      <c r="K135"/>
    </row>
    <row r="136" spans="2:11" ht="12.75" customHeight="1" x14ac:dyDescent="0.3">
      <c r="B136" s="252"/>
      <c r="C136" s="177"/>
      <c r="D136" s="306" t="s">
        <v>319</v>
      </c>
      <c r="E136" s="177" t="s">
        <v>318</v>
      </c>
      <c r="F136" s="177" t="s">
        <v>424</v>
      </c>
      <c r="G136" s="177" t="s">
        <v>464</v>
      </c>
      <c r="H136" s="253">
        <v>31</v>
      </c>
      <c r="I136" s="254">
        <v>181</v>
      </c>
      <c r="J136"/>
      <c r="K136"/>
    </row>
    <row r="137" spans="2:11" x14ac:dyDescent="0.3">
      <c r="B137" s="252"/>
      <c r="C137" s="177"/>
      <c r="D137" s="306" t="s">
        <v>321</v>
      </c>
      <c r="E137" s="177" t="s">
        <v>320</v>
      </c>
      <c r="F137" s="177" t="s">
        <v>936</v>
      </c>
      <c r="G137" s="177" t="s">
        <v>466</v>
      </c>
      <c r="H137" s="253">
        <v>411</v>
      </c>
      <c r="I137" s="254">
        <v>1545</v>
      </c>
      <c r="J137"/>
      <c r="K137"/>
    </row>
    <row r="138" spans="2:11" ht="12.75" customHeight="1" x14ac:dyDescent="0.3">
      <c r="B138" s="252"/>
      <c r="C138" s="177"/>
      <c r="D138" s="306" t="s">
        <v>327</v>
      </c>
      <c r="E138" s="177" t="s">
        <v>326</v>
      </c>
      <c r="F138" s="177" t="s">
        <v>462</v>
      </c>
      <c r="G138" s="177" t="s">
        <v>464</v>
      </c>
      <c r="H138" s="253">
        <v>347</v>
      </c>
      <c r="I138" s="254">
        <v>2039</v>
      </c>
      <c r="J138"/>
      <c r="K138"/>
    </row>
    <row r="139" spans="2:11" ht="12.75" customHeight="1" x14ac:dyDescent="0.3">
      <c r="B139" s="252"/>
      <c r="C139" s="177"/>
      <c r="D139" s="306" t="s">
        <v>329</v>
      </c>
      <c r="E139" s="177" t="s">
        <v>328</v>
      </c>
      <c r="F139" s="177" t="s">
        <v>936</v>
      </c>
      <c r="G139" s="177" t="s">
        <v>464</v>
      </c>
      <c r="H139" s="253">
        <v>335</v>
      </c>
      <c r="I139" s="254">
        <v>1774</v>
      </c>
      <c r="J139"/>
      <c r="K139"/>
    </row>
    <row r="140" spans="2:11" ht="12.75" customHeight="1" x14ac:dyDescent="0.3">
      <c r="B140" s="252"/>
      <c r="C140" s="177"/>
      <c r="D140" s="306" t="s">
        <v>323</v>
      </c>
      <c r="E140" s="177" t="s">
        <v>322</v>
      </c>
      <c r="F140" s="177" t="s">
        <v>424</v>
      </c>
      <c r="G140" s="177" t="s">
        <v>464</v>
      </c>
      <c r="H140" s="253">
        <v>523</v>
      </c>
      <c r="I140" s="254">
        <v>2768</v>
      </c>
      <c r="J140"/>
      <c r="K140"/>
    </row>
    <row r="141" spans="2:11" ht="12.75" customHeight="1" x14ac:dyDescent="0.3">
      <c r="B141" s="252"/>
      <c r="C141" s="177"/>
      <c r="D141" s="306" t="s">
        <v>325</v>
      </c>
      <c r="E141" s="177" t="s">
        <v>324</v>
      </c>
      <c r="F141" s="177" t="s">
        <v>424</v>
      </c>
      <c r="G141" s="177" t="s">
        <v>464</v>
      </c>
      <c r="H141" s="253">
        <v>52</v>
      </c>
      <c r="I141" s="254">
        <v>234</v>
      </c>
      <c r="J141"/>
      <c r="K141"/>
    </row>
    <row r="142" spans="2:11" ht="12.75" customHeight="1" x14ac:dyDescent="0.3">
      <c r="B142" s="252"/>
      <c r="C142" s="177"/>
      <c r="D142" s="306" t="s">
        <v>342</v>
      </c>
      <c r="E142" s="177" t="s">
        <v>341</v>
      </c>
      <c r="F142" s="177" t="s">
        <v>462</v>
      </c>
      <c r="G142" s="177" t="s">
        <v>464</v>
      </c>
      <c r="H142" s="253">
        <v>20</v>
      </c>
      <c r="I142" s="254">
        <v>86</v>
      </c>
      <c r="J142"/>
      <c r="K142"/>
    </row>
    <row r="143" spans="2:11" ht="12.75" customHeight="1" x14ac:dyDescent="0.3">
      <c r="B143" s="252"/>
      <c r="C143" s="177"/>
      <c r="D143" s="306" t="s">
        <v>353</v>
      </c>
      <c r="E143" s="177" t="s">
        <v>352</v>
      </c>
      <c r="F143" s="177" t="s">
        <v>936</v>
      </c>
      <c r="G143" s="177" t="s">
        <v>466</v>
      </c>
      <c r="H143" s="253">
        <v>82</v>
      </c>
      <c r="I143" s="254">
        <v>518</v>
      </c>
      <c r="J143"/>
      <c r="K143"/>
    </row>
    <row r="144" spans="2:11" ht="12.75" customHeight="1" x14ac:dyDescent="0.3">
      <c r="B144" s="252"/>
      <c r="C144" s="177"/>
      <c r="D144" s="306" t="s">
        <v>317</v>
      </c>
      <c r="E144" s="177" t="s">
        <v>316</v>
      </c>
      <c r="F144" s="177" t="s">
        <v>462</v>
      </c>
      <c r="G144" s="177" t="s">
        <v>464</v>
      </c>
      <c r="H144" s="253">
        <v>122</v>
      </c>
      <c r="I144" s="254">
        <v>515</v>
      </c>
      <c r="J144"/>
      <c r="K144"/>
    </row>
    <row r="145" spans="2:11" ht="12.75" customHeight="1" x14ac:dyDescent="0.3">
      <c r="B145" s="252"/>
      <c r="C145" s="177"/>
      <c r="D145" s="306" t="s">
        <v>340</v>
      </c>
      <c r="E145" s="177" t="s">
        <v>339</v>
      </c>
      <c r="F145" s="177" t="s">
        <v>424</v>
      </c>
      <c r="G145" s="177" t="s">
        <v>464</v>
      </c>
      <c r="H145" s="253">
        <v>66</v>
      </c>
      <c r="I145" s="254">
        <v>338</v>
      </c>
      <c r="J145"/>
      <c r="K145"/>
    </row>
    <row r="146" spans="2:11" ht="12.75" customHeight="1" x14ac:dyDescent="0.3">
      <c r="B146" s="252"/>
      <c r="C146" s="177"/>
      <c r="D146" s="306" t="s">
        <v>337</v>
      </c>
      <c r="E146" s="177" t="s">
        <v>336</v>
      </c>
      <c r="F146" s="177" t="s">
        <v>462</v>
      </c>
      <c r="G146" s="177" t="s">
        <v>464</v>
      </c>
      <c r="H146" s="253">
        <v>35</v>
      </c>
      <c r="I146" s="254">
        <v>185</v>
      </c>
      <c r="J146"/>
      <c r="K146"/>
    </row>
    <row r="147" spans="2:11" ht="12.75" customHeight="1" x14ac:dyDescent="0.3">
      <c r="B147" s="252"/>
      <c r="C147" s="177"/>
      <c r="D147" s="306" t="s">
        <v>345</v>
      </c>
      <c r="E147" s="177" t="s">
        <v>344</v>
      </c>
      <c r="F147" s="177" t="s">
        <v>424</v>
      </c>
      <c r="G147" s="177" t="s">
        <v>464</v>
      </c>
      <c r="H147" s="253">
        <v>182</v>
      </c>
      <c r="I147" s="254">
        <v>1027</v>
      </c>
      <c r="J147"/>
      <c r="K147"/>
    </row>
    <row r="148" spans="2:11" ht="12.75" customHeight="1" x14ac:dyDescent="0.3">
      <c r="B148" s="252"/>
      <c r="C148" s="177"/>
      <c r="D148" s="306" t="s">
        <v>347</v>
      </c>
      <c r="E148" s="177" t="s">
        <v>346</v>
      </c>
      <c r="F148" s="177" t="s">
        <v>462</v>
      </c>
      <c r="G148" s="177" t="s">
        <v>464</v>
      </c>
      <c r="H148" s="253">
        <v>45</v>
      </c>
      <c r="I148" s="254">
        <v>187</v>
      </c>
      <c r="J148"/>
      <c r="K148"/>
    </row>
    <row r="149" spans="2:11" ht="12.75" customHeight="1" x14ac:dyDescent="0.3">
      <c r="B149" s="252"/>
      <c r="C149" s="177"/>
      <c r="D149" s="306" t="s">
        <v>315</v>
      </c>
      <c r="E149" s="177" t="s">
        <v>314</v>
      </c>
      <c r="F149" s="177" t="s">
        <v>462</v>
      </c>
      <c r="G149" s="177" t="s">
        <v>464</v>
      </c>
      <c r="H149" s="253">
        <v>66</v>
      </c>
      <c r="I149" s="254">
        <v>274</v>
      </c>
      <c r="J149"/>
      <c r="K149"/>
    </row>
    <row r="150" spans="2:11" ht="12.75" customHeight="1" x14ac:dyDescent="0.3">
      <c r="B150" s="252"/>
      <c r="C150" s="177"/>
      <c r="D150" s="177" t="s">
        <v>351</v>
      </c>
      <c r="E150" s="177" t="s">
        <v>350</v>
      </c>
      <c r="F150" s="177" t="s">
        <v>936</v>
      </c>
      <c r="G150" s="177" t="s">
        <v>466</v>
      </c>
      <c r="H150" s="253">
        <v>1426</v>
      </c>
      <c r="I150" s="254">
        <v>7119</v>
      </c>
      <c r="J150"/>
      <c r="K150"/>
    </row>
    <row r="151" spans="2:11" ht="12.75" customHeight="1" x14ac:dyDescent="0.3">
      <c r="B151" s="252"/>
      <c r="C151" s="177"/>
      <c r="D151" s="177" t="s">
        <v>1030</v>
      </c>
      <c r="E151" s="177" t="s">
        <v>343</v>
      </c>
      <c r="F151" s="177" t="s">
        <v>424</v>
      </c>
      <c r="G151" s="177" t="s">
        <v>466</v>
      </c>
      <c r="H151" s="253">
        <v>185</v>
      </c>
      <c r="I151" s="254">
        <v>868</v>
      </c>
      <c r="J151"/>
      <c r="K151"/>
    </row>
    <row r="152" spans="2:11" ht="12.75" customHeight="1" x14ac:dyDescent="0.3">
      <c r="B152" s="252"/>
      <c r="C152" s="177"/>
      <c r="D152" s="177" t="s">
        <v>1255</v>
      </c>
      <c r="E152" s="177" t="s">
        <v>1252</v>
      </c>
      <c r="F152" s="177" t="s">
        <v>1317</v>
      </c>
      <c r="G152" s="177" t="s">
        <v>464</v>
      </c>
      <c r="H152" s="253">
        <v>62</v>
      </c>
      <c r="I152" s="254">
        <v>410</v>
      </c>
      <c r="J152"/>
      <c r="K152"/>
    </row>
    <row r="153" spans="2:11" ht="12.75" customHeight="1" x14ac:dyDescent="0.3">
      <c r="B153" s="252"/>
      <c r="C153" s="177"/>
      <c r="D153" s="177" t="s">
        <v>1266</v>
      </c>
      <c r="E153" s="177" t="s">
        <v>1264</v>
      </c>
      <c r="F153" s="177" t="s">
        <v>424</v>
      </c>
      <c r="G153" s="177" t="s">
        <v>466</v>
      </c>
      <c r="H153" s="253">
        <v>405</v>
      </c>
      <c r="I153" s="254">
        <v>1818</v>
      </c>
      <c r="J153"/>
      <c r="K153"/>
    </row>
    <row r="154" spans="2:11" x14ac:dyDescent="0.3">
      <c r="B154" s="252"/>
      <c r="C154" s="177"/>
      <c r="D154" s="177" t="s">
        <v>1260</v>
      </c>
      <c r="E154" s="177" t="s">
        <v>1548</v>
      </c>
      <c r="F154" s="177" t="s">
        <v>1317</v>
      </c>
      <c r="G154" s="177" t="s">
        <v>464</v>
      </c>
      <c r="H154" s="253">
        <v>80</v>
      </c>
      <c r="I154" s="254">
        <v>449</v>
      </c>
      <c r="J154"/>
      <c r="K154"/>
    </row>
    <row r="155" spans="2:11" ht="12.75" customHeight="1" x14ac:dyDescent="0.3">
      <c r="B155" s="252"/>
      <c r="C155" s="177"/>
      <c r="D155" s="177" t="s">
        <v>1750</v>
      </c>
      <c r="E155" s="177" t="s">
        <v>1698</v>
      </c>
      <c r="F155" s="177" t="s">
        <v>424</v>
      </c>
      <c r="G155" s="177" t="s">
        <v>464</v>
      </c>
      <c r="H155" s="253">
        <v>79</v>
      </c>
      <c r="I155" s="254">
        <v>303</v>
      </c>
      <c r="J155"/>
      <c r="K155"/>
    </row>
    <row r="156" spans="2:11" ht="12.75" customHeight="1" x14ac:dyDescent="0.3">
      <c r="B156" s="252"/>
      <c r="C156" s="177" t="s">
        <v>954</v>
      </c>
      <c r="D156" s="177"/>
      <c r="E156" s="177"/>
      <c r="F156" s="177"/>
      <c r="G156" s="177"/>
      <c r="H156" s="253">
        <v>4906</v>
      </c>
      <c r="I156" s="254">
        <v>25414</v>
      </c>
      <c r="J156"/>
      <c r="K156"/>
    </row>
    <row r="157" spans="2:11" x14ac:dyDescent="0.3">
      <c r="B157" s="252"/>
      <c r="C157" s="177" t="s">
        <v>1136</v>
      </c>
      <c r="D157" s="177" t="s">
        <v>1394</v>
      </c>
      <c r="E157" s="177" t="s">
        <v>1407</v>
      </c>
      <c r="F157" s="177" t="s">
        <v>1317</v>
      </c>
      <c r="G157" s="177" t="s">
        <v>464</v>
      </c>
      <c r="H157" s="253">
        <v>42</v>
      </c>
      <c r="I157" s="254">
        <v>190</v>
      </c>
      <c r="J157"/>
      <c r="K157"/>
    </row>
    <row r="158" spans="2:11" ht="12.75" customHeight="1" x14ac:dyDescent="0.3">
      <c r="B158" s="252"/>
      <c r="C158" s="177"/>
      <c r="D158" s="177" t="s">
        <v>1396</v>
      </c>
      <c r="E158" s="177" t="s">
        <v>1409</v>
      </c>
      <c r="F158" s="177" t="s">
        <v>936</v>
      </c>
      <c r="G158" s="177" t="s">
        <v>464</v>
      </c>
      <c r="H158" s="253">
        <v>34</v>
      </c>
      <c r="I158" s="254">
        <v>143</v>
      </c>
      <c r="J158"/>
      <c r="K158"/>
    </row>
    <row r="159" spans="2:11" ht="12.75" customHeight="1" x14ac:dyDescent="0.3">
      <c r="B159" s="252"/>
      <c r="C159" s="177"/>
      <c r="D159" s="177" t="s">
        <v>1732</v>
      </c>
      <c r="E159" s="177" t="s">
        <v>1408</v>
      </c>
      <c r="F159" s="177" t="s">
        <v>424</v>
      </c>
      <c r="G159" s="177" t="s">
        <v>464</v>
      </c>
      <c r="H159" s="253">
        <v>101</v>
      </c>
      <c r="I159" s="254">
        <v>380</v>
      </c>
      <c r="J159"/>
      <c r="K159"/>
    </row>
    <row r="160" spans="2:11" ht="12.75" customHeight="1" x14ac:dyDescent="0.3">
      <c r="B160" s="252"/>
      <c r="C160" s="177"/>
      <c r="D160" s="177" t="s">
        <v>1904</v>
      </c>
      <c r="E160" s="177" t="s">
        <v>1406</v>
      </c>
      <c r="F160" s="177" t="s">
        <v>936</v>
      </c>
      <c r="G160" s="177" t="s">
        <v>464</v>
      </c>
      <c r="H160" s="253">
        <v>139</v>
      </c>
      <c r="I160" s="254">
        <v>572</v>
      </c>
      <c r="J160"/>
      <c r="K160"/>
    </row>
    <row r="161" spans="2:11" ht="12.75" customHeight="1" x14ac:dyDescent="0.3">
      <c r="B161" s="252"/>
      <c r="C161" s="177" t="s">
        <v>1752</v>
      </c>
      <c r="D161" s="177"/>
      <c r="E161" s="177"/>
      <c r="F161" s="177"/>
      <c r="G161" s="177"/>
      <c r="H161" s="253">
        <v>316</v>
      </c>
      <c r="I161" s="254">
        <v>1285</v>
      </c>
      <c r="J161"/>
      <c r="K161"/>
    </row>
    <row r="162" spans="2:11" ht="12.75" customHeight="1" x14ac:dyDescent="0.3">
      <c r="B162" s="252" t="s">
        <v>779</v>
      </c>
      <c r="C162" s="177"/>
      <c r="D162" s="177"/>
      <c r="E162" s="177"/>
      <c r="F162" s="177"/>
      <c r="G162" s="177"/>
      <c r="H162" s="253">
        <v>19065</v>
      </c>
      <c r="I162" s="254">
        <v>98431</v>
      </c>
      <c r="J162"/>
      <c r="K162"/>
    </row>
    <row r="163" spans="2:11" ht="12.75" customHeight="1" x14ac:dyDescent="0.3">
      <c r="B163" s="252" t="s">
        <v>506</v>
      </c>
      <c r="C163" s="177" t="s">
        <v>719</v>
      </c>
      <c r="D163" s="177" t="s">
        <v>1060</v>
      </c>
      <c r="E163" s="177" t="s">
        <v>1044</v>
      </c>
      <c r="F163" s="177" t="s">
        <v>424</v>
      </c>
      <c r="G163" s="177" t="s">
        <v>464</v>
      </c>
      <c r="H163" s="253">
        <v>32</v>
      </c>
      <c r="I163" s="254">
        <v>170</v>
      </c>
      <c r="J163"/>
      <c r="K163"/>
    </row>
    <row r="164" spans="2:11" ht="12.75" customHeight="1" x14ac:dyDescent="0.3">
      <c r="B164" s="252"/>
      <c r="C164" s="177" t="s">
        <v>1610</v>
      </c>
      <c r="D164" s="177"/>
      <c r="E164" s="177"/>
      <c r="F164" s="177"/>
      <c r="G164" s="177"/>
      <c r="H164" s="253">
        <v>32</v>
      </c>
      <c r="I164" s="254">
        <v>170</v>
      </c>
      <c r="J164"/>
      <c r="K164"/>
    </row>
    <row r="165" spans="2:11" ht="12.75" customHeight="1" x14ac:dyDescent="0.3">
      <c r="B165" s="252"/>
      <c r="C165" s="177" t="s">
        <v>146</v>
      </c>
      <c r="D165" s="177" t="s">
        <v>367</v>
      </c>
      <c r="E165" s="177" t="s">
        <v>381</v>
      </c>
      <c r="F165" s="177" t="s">
        <v>424</v>
      </c>
      <c r="G165" s="177" t="s">
        <v>464</v>
      </c>
      <c r="H165" s="253">
        <v>53</v>
      </c>
      <c r="I165" s="254">
        <v>256</v>
      </c>
      <c r="J165"/>
      <c r="K165"/>
    </row>
    <row r="166" spans="2:11" ht="12.75" customHeight="1" x14ac:dyDescent="0.3">
      <c r="B166" s="252"/>
      <c r="C166" s="177"/>
      <c r="D166" s="177" t="s">
        <v>368</v>
      </c>
      <c r="E166" s="177" t="s">
        <v>382</v>
      </c>
      <c r="F166" s="177" t="s">
        <v>1048</v>
      </c>
      <c r="G166" s="177" t="s">
        <v>464</v>
      </c>
      <c r="H166" s="253">
        <v>28</v>
      </c>
      <c r="I166" s="254">
        <v>132</v>
      </c>
      <c r="J166"/>
      <c r="K166"/>
    </row>
    <row r="167" spans="2:11" ht="12.75" customHeight="1" x14ac:dyDescent="0.3">
      <c r="B167" s="252"/>
      <c r="C167" s="177"/>
      <c r="D167" s="177" t="s">
        <v>369</v>
      </c>
      <c r="E167" s="177" t="s">
        <v>147</v>
      </c>
      <c r="F167" s="177" t="s">
        <v>424</v>
      </c>
      <c r="G167" s="177" t="s">
        <v>464</v>
      </c>
      <c r="H167" s="253">
        <v>41</v>
      </c>
      <c r="I167" s="254">
        <v>231</v>
      </c>
      <c r="J167"/>
      <c r="K167"/>
    </row>
    <row r="168" spans="2:11" ht="12.75" customHeight="1" x14ac:dyDescent="0.3">
      <c r="B168" s="252"/>
      <c r="C168" s="177"/>
      <c r="D168" s="177" t="s">
        <v>149</v>
      </c>
      <c r="E168" s="177" t="s">
        <v>148</v>
      </c>
      <c r="F168" s="177" t="s">
        <v>424</v>
      </c>
      <c r="G168" s="177" t="s">
        <v>464</v>
      </c>
      <c r="H168" s="253">
        <v>57</v>
      </c>
      <c r="I168" s="254">
        <v>267</v>
      </c>
      <c r="J168"/>
      <c r="K168"/>
    </row>
    <row r="169" spans="2:11" ht="12.75" customHeight="1" x14ac:dyDescent="0.3">
      <c r="B169" s="252"/>
      <c r="C169" s="177"/>
      <c r="D169" s="177" t="s">
        <v>371</v>
      </c>
      <c r="E169" s="177" t="s">
        <v>385</v>
      </c>
      <c r="F169" s="177" t="s">
        <v>424</v>
      </c>
      <c r="G169" s="177" t="s">
        <v>464</v>
      </c>
      <c r="H169" s="253">
        <v>204</v>
      </c>
      <c r="I169" s="254">
        <v>1023</v>
      </c>
      <c r="J169"/>
      <c r="K169"/>
    </row>
    <row r="170" spans="2:11" ht="12.75" customHeight="1" x14ac:dyDescent="0.3">
      <c r="B170" s="252"/>
      <c r="C170" s="177"/>
      <c r="D170" s="177" t="s">
        <v>943</v>
      </c>
      <c r="E170" s="177" t="s">
        <v>942</v>
      </c>
      <c r="F170" s="177" t="s">
        <v>1048</v>
      </c>
      <c r="G170" s="177" t="s">
        <v>464</v>
      </c>
      <c r="H170" s="253">
        <v>22</v>
      </c>
      <c r="I170" s="254">
        <v>95</v>
      </c>
      <c r="J170"/>
      <c r="K170"/>
    </row>
    <row r="171" spans="2:11" ht="12.75" customHeight="1" x14ac:dyDescent="0.3">
      <c r="B171" s="252"/>
      <c r="C171" s="177"/>
      <c r="D171" s="177" t="s">
        <v>1082</v>
      </c>
      <c r="E171" s="177" t="s">
        <v>1083</v>
      </c>
      <c r="F171" s="177" t="s">
        <v>1317</v>
      </c>
      <c r="G171" s="177" t="s">
        <v>464</v>
      </c>
      <c r="H171" s="253">
        <v>103</v>
      </c>
      <c r="I171" s="254">
        <v>578</v>
      </c>
      <c r="J171"/>
      <c r="K171"/>
    </row>
    <row r="172" spans="2:11" ht="12.75" customHeight="1" x14ac:dyDescent="0.3">
      <c r="B172" s="252"/>
      <c r="C172" s="177"/>
      <c r="D172" s="177" t="s">
        <v>1146</v>
      </c>
      <c r="E172" s="177" t="s">
        <v>1128</v>
      </c>
      <c r="F172" s="177" t="s">
        <v>1317</v>
      </c>
      <c r="G172" s="177" t="s">
        <v>464</v>
      </c>
      <c r="H172" s="253">
        <v>30</v>
      </c>
      <c r="I172" s="254">
        <v>170</v>
      </c>
      <c r="J172"/>
      <c r="K172"/>
    </row>
    <row r="173" spans="2:11" ht="12.75" customHeight="1" x14ac:dyDescent="0.3">
      <c r="B173" s="252"/>
      <c r="C173" s="177"/>
      <c r="D173" s="177" t="s">
        <v>1232</v>
      </c>
      <c r="E173" s="177" t="s">
        <v>1231</v>
      </c>
      <c r="F173" s="177" t="s">
        <v>424</v>
      </c>
      <c r="G173" s="177" t="s">
        <v>464</v>
      </c>
      <c r="H173" s="253">
        <v>37</v>
      </c>
      <c r="I173" s="254">
        <v>161</v>
      </c>
      <c r="J173"/>
      <c r="K173"/>
    </row>
    <row r="174" spans="2:11" ht="12.75" customHeight="1" x14ac:dyDescent="0.3">
      <c r="B174" s="252"/>
      <c r="C174" s="177"/>
      <c r="D174" s="177" t="s">
        <v>1241</v>
      </c>
      <c r="E174" s="177" t="s">
        <v>1242</v>
      </c>
      <c r="F174" s="177" t="s">
        <v>1317</v>
      </c>
      <c r="G174" s="177" t="s">
        <v>464</v>
      </c>
      <c r="H174" s="253">
        <v>24</v>
      </c>
      <c r="I174" s="254">
        <v>84</v>
      </c>
      <c r="J174"/>
      <c r="K174"/>
    </row>
    <row r="175" spans="2:11" ht="12.75" customHeight="1" x14ac:dyDescent="0.3">
      <c r="B175" s="252"/>
      <c r="C175" s="177"/>
      <c r="D175" s="177" t="s">
        <v>1532</v>
      </c>
      <c r="E175" s="177" t="s">
        <v>1549</v>
      </c>
      <c r="F175" s="177" t="s">
        <v>1317</v>
      </c>
      <c r="G175" s="177" t="s">
        <v>464</v>
      </c>
      <c r="H175" s="253">
        <v>35</v>
      </c>
      <c r="I175" s="254">
        <v>189</v>
      </c>
      <c r="J175"/>
      <c r="K175"/>
    </row>
    <row r="176" spans="2:11" ht="12.75" customHeight="1" x14ac:dyDescent="0.3">
      <c r="B176" s="252"/>
      <c r="C176" s="177"/>
      <c r="D176" s="177" t="s">
        <v>1573</v>
      </c>
      <c r="E176" s="177" t="s">
        <v>1126</v>
      </c>
      <c r="F176" s="177" t="s">
        <v>1048</v>
      </c>
      <c r="G176" s="177" t="s">
        <v>464</v>
      </c>
      <c r="H176" s="253">
        <v>41</v>
      </c>
      <c r="I176" s="254">
        <v>137</v>
      </c>
      <c r="J176"/>
      <c r="K176"/>
    </row>
    <row r="177" spans="2:11" ht="12.75" customHeight="1" x14ac:dyDescent="0.3">
      <c r="B177" s="252"/>
      <c r="C177" s="177"/>
      <c r="D177" s="177" t="s">
        <v>1617</v>
      </c>
      <c r="E177" s="177" t="s">
        <v>383</v>
      </c>
      <c r="F177" s="177" t="s">
        <v>424</v>
      </c>
      <c r="G177" s="177" t="s">
        <v>464</v>
      </c>
      <c r="H177" s="253">
        <v>76</v>
      </c>
      <c r="I177" s="254">
        <v>338</v>
      </c>
      <c r="J177"/>
      <c r="K177"/>
    </row>
    <row r="178" spans="2:11" ht="12.75" customHeight="1" x14ac:dyDescent="0.3">
      <c r="B178" s="252"/>
      <c r="C178" s="177"/>
      <c r="D178" s="177" t="s">
        <v>1618</v>
      </c>
      <c r="E178" s="177" t="s">
        <v>1121</v>
      </c>
      <c r="F178" s="177" t="s">
        <v>424</v>
      </c>
      <c r="G178" s="177" t="s">
        <v>464</v>
      </c>
      <c r="H178" s="253">
        <v>82</v>
      </c>
      <c r="I178" s="254">
        <v>424</v>
      </c>
      <c r="J178"/>
      <c r="K178"/>
    </row>
    <row r="179" spans="2:11" ht="12.75" customHeight="1" x14ac:dyDescent="0.3">
      <c r="B179" s="252"/>
      <c r="C179" s="177" t="s">
        <v>1611</v>
      </c>
      <c r="D179" s="177"/>
      <c r="E179" s="177"/>
      <c r="F179" s="177"/>
      <c r="G179" s="177"/>
      <c r="H179" s="253">
        <v>833</v>
      </c>
      <c r="I179" s="254">
        <v>4085</v>
      </c>
      <c r="J179"/>
      <c r="K179"/>
    </row>
    <row r="180" spans="2:11" ht="12.75" customHeight="1" x14ac:dyDescent="0.3">
      <c r="B180" s="252"/>
      <c r="C180" s="177" t="s">
        <v>166</v>
      </c>
      <c r="D180" s="177" t="s">
        <v>167</v>
      </c>
      <c r="E180" s="177" t="s">
        <v>165</v>
      </c>
      <c r="F180" s="177" t="s">
        <v>424</v>
      </c>
      <c r="G180" s="177" t="s">
        <v>464</v>
      </c>
      <c r="H180" s="253">
        <v>33</v>
      </c>
      <c r="I180" s="254">
        <v>176</v>
      </c>
      <c r="J180"/>
      <c r="K180"/>
    </row>
    <row r="181" spans="2:11" ht="12.75" customHeight="1" x14ac:dyDescent="0.3">
      <c r="B181" s="252"/>
      <c r="C181" s="177"/>
      <c r="D181" s="177" t="s">
        <v>760</v>
      </c>
      <c r="E181" s="177" t="s">
        <v>761</v>
      </c>
      <c r="F181" s="177" t="s">
        <v>1048</v>
      </c>
      <c r="G181" s="177" t="s">
        <v>464</v>
      </c>
      <c r="H181" s="253">
        <v>29</v>
      </c>
      <c r="I181" s="254">
        <v>174</v>
      </c>
      <c r="J181"/>
      <c r="K181"/>
    </row>
    <row r="182" spans="2:11" ht="12.75" customHeight="1" x14ac:dyDescent="0.3">
      <c r="B182" s="252"/>
      <c r="C182" s="177"/>
      <c r="D182" s="177" t="s">
        <v>1140</v>
      </c>
      <c r="E182" s="177" t="s">
        <v>1123</v>
      </c>
      <c r="F182" s="177" t="s">
        <v>1317</v>
      </c>
      <c r="G182" s="177" t="s">
        <v>464</v>
      </c>
      <c r="H182" s="253">
        <v>36</v>
      </c>
      <c r="I182" s="254">
        <v>188</v>
      </c>
      <c r="J182"/>
      <c r="K182"/>
    </row>
    <row r="183" spans="2:11" ht="12.75" customHeight="1" x14ac:dyDescent="0.3">
      <c r="B183" s="252"/>
      <c r="C183" s="177" t="s">
        <v>1753</v>
      </c>
      <c r="D183" s="177"/>
      <c r="E183" s="177"/>
      <c r="F183" s="177"/>
      <c r="G183" s="177"/>
      <c r="H183" s="253">
        <v>98</v>
      </c>
      <c r="I183" s="254">
        <v>538</v>
      </c>
      <c r="J183"/>
      <c r="K183"/>
    </row>
    <row r="184" spans="2:11" ht="12.75" customHeight="1" x14ac:dyDescent="0.3">
      <c r="B184" s="252"/>
      <c r="C184" s="177" t="s">
        <v>230</v>
      </c>
      <c r="D184" s="177" t="s">
        <v>903</v>
      </c>
      <c r="E184" s="177" t="s">
        <v>904</v>
      </c>
      <c r="F184" s="177" t="s">
        <v>424</v>
      </c>
      <c r="G184" s="177" t="s">
        <v>464</v>
      </c>
      <c r="H184" s="253">
        <v>41</v>
      </c>
      <c r="I184" s="254">
        <v>190</v>
      </c>
      <c r="J184"/>
      <c r="K184"/>
    </row>
    <row r="185" spans="2:11" ht="12.75" customHeight="1" x14ac:dyDescent="0.3">
      <c r="B185" s="252"/>
      <c r="C185" s="177"/>
      <c r="D185" s="177" t="s">
        <v>913</v>
      </c>
      <c r="E185" s="177" t="s">
        <v>914</v>
      </c>
      <c r="F185" s="177" t="s">
        <v>1048</v>
      </c>
      <c r="G185" s="177" t="s">
        <v>464</v>
      </c>
      <c r="H185" s="253">
        <v>18</v>
      </c>
      <c r="I185" s="254">
        <v>86</v>
      </c>
      <c r="J185"/>
      <c r="K185"/>
    </row>
    <row r="186" spans="2:11" ht="12.75" customHeight="1" x14ac:dyDescent="0.3">
      <c r="B186" s="252"/>
      <c r="C186" s="177"/>
      <c r="D186" s="177" t="s">
        <v>716</v>
      </c>
      <c r="E186" s="177" t="s">
        <v>1245</v>
      </c>
      <c r="F186" s="177" t="s">
        <v>424</v>
      </c>
      <c r="G186" s="177" t="s">
        <v>464</v>
      </c>
      <c r="H186" s="253">
        <v>153</v>
      </c>
      <c r="I186" s="254">
        <v>782</v>
      </c>
      <c r="J186"/>
      <c r="K186"/>
    </row>
    <row r="187" spans="2:11" ht="12.75" customHeight="1" x14ac:dyDescent="0.3">
      <c r="B187" s="252"/>
      <c r="C187" s="177" t="s">
        <v>1612</v>
      </c>
      <c r="D187" s="177"/>
      <c r="E187" s="177"/>
      <c r="F187" s="177"/>
      <c r="G187" s="177"/>
      <c r="H187" s="253">
        <v>212</v>
      </c>
      <c r="I187" s="254">
        <v>1058</v>
      </c>
      <c r="J187"/>
      <c r="K187"/>
    </row>
    <row r="188" spans="2:11" ht="12.75" customHeight="1" x14ac:dyDescent="0.3">
      <c r="B188" s="252"/>
      <c r="C188" s="177" t="s">
        <v>288</v>
      </c>
      <c r="D188" s="177" t="s">
        <v>291</v>
      </c>
      <c r="E188" s="177" t="s">
        <v>290</v>
      </c>
      <c r="F188" s="177" t="s">
        <v>424</v>
      </c>
      <c r="G188" s="177" t="s">
        <v>464</v>
      </c>
      <c r="H188" s="253">
        <v>76</v>
      </c>
      <c r="I188" s="254">
        <v>373</v>
      </c>
      <c r="J188"/>
      <c r="K188"/>
    </row>
    <row r="189" spans="2:11" ht="12.75" customHeight="1" x14ac:dyDescent="0.3">
      <c r="B189" s="252"/>
      <c r="C189" s="177"/>
      <c r="D189" s="177" t="s">
        <v>289</v>
      </c>
      <c r="E189" s="177" t="s">
        <v>287</v>
      </c>
      <c r="F189" s="177" t="s">
        <v>424</v>
      </c>
      <c r="G189" s="177" t="s">
        <v>464</v>
      </c>
      <c r="H189" s="253">
        <v>67</v>
      </c>
      <c r="I189" s="254">
        <v>343</v>
      </c>
      <c r="J189"/>
      <c r="K189"/>
    </row>
    <row r="190" spans="2:11" ht="12.75" customHeight="1" x14ac:dyDescent="0.3">
      <c r="B190" s="252"/>
      <c r="C190" s="177"/>
      <c r="D190" s="177" t="s">
        <v>372</v>
      </c>
      <c r="E190" s="177" t="s">
        <v>294</v>
      </c>
      <c r="F190" s="177" t="s">
        <v>1048</v>
      </c>
      <c r="G190" s="177" t="s">
        <v>464</v>
      </c>
      <c r="H190" s="253">
        <v>42</v>
      </c>
      <c r="I190" s="254">
        <v>215</v>
      </c>
      <c r="J190"/>
      <c r="K190"/>
    </row>
    <row r="191" spans="2:11" ht="12.75" customHeight="1" x14ac:dyDescent="0.3">
      <c r="B191" s="252"/>
      <c r="C191" s="177"/>
      <c r="D191" s="177" t="s">
        <v>905</v>
      </c>
      <c r="E191" s="177" t="s">
        <v>906</v>
      </c>
      <c r="F191" s="177" t="s">
        <v>424</v>
      </c>
      <c r="G191" s="177" t="s">
        <v>464</v>
      </c>
      <c r="H191" s="253">
        <v>38</v>
      </c>
      <c r="I191" s="254">
        <v>195</v>
      </c>
      <c r="J191"/>
      <c r="K191"/>
    </row>
    <row r="192" spans="2:11" ht="12.75" customHeight="1" x14ac:dyDescent="0.3">
      <c r="B192" s="252"/>
      <c r="C192" s="177"/>
      <c r="D192" s="177" t="s">
        <v>917</v>
      </c>
      <c r="E192" s="177" t="s">
        <v>910</v>
      </c>
      <c r="F192" s="177" t="s">
        <v>424</v>
      </c>
      <c r="G192" s="177" t="s">
        <v>464</v>
      </c>
      <c r="H192" s="253">
        <v>115</v>
      </c>
      <c r="I192" s="254">
        <v>547</v>
      </c>
      <c r="J192"/>
      <c r="K192"/>
    </row>
    <row r="193" spans="2:11" ht="12.75" customHeight="1" x14ac:dyDescent="0.3">
      <c r="B193" s="252"/>
      <c r="C193" s="177"/>
      <c r="D193" s="177" t="s">
        <v>1130</v>
      </c>
      <c r="E193" s="177" t="s">
        <v>1125</v>
      </c>
      <c r="F193" s="177" t="s">
        <v>1317</v>
      </c>
      <c r="G193" s="177" t="s">
        <v>464</v>
      </c>
      <c r="H193" s="253">
        <v>62</v>
      </c>
      <c r="I193" s="254">
        <v>328</v>
      </c>
      <c r="J193"/>
      <c r="K193"/>
    </row>
    <row r="194" spans="2:11" x14ac:dyDescent="0.3">
      <c r="B194" s="252"/>
      <c r="C194" s="177" t="s">
        <v>1613</v>
      </c>
      <c r="D194" s="177"/>
      <c r="E194" s="177"/>
      <c r="F194" s="177"/>
      <c r="G194" s="177"/>
      <c r="H194" s="253">
        <v>400</v>
      </c>
      <c r="I194" s="254">
        <v>2001</v>
      </c>
      <c r="J194"/>
      <c r="K194"/>
    </row>
    <row r="195" spans="2:11" x14ac:dyDescent="0.3">
      <c r="B195" s="252"/>
      <c r="C195" s="177" t="s">
        <v>297</v>
      </c>
      <c r="D195" s="177" t="s">
        <v>759</v>
      </c>
      <c r="E195" s="177" t="s">
        <v>296</v>
      </c>
      <c r="F195" s="177" t="s">
        <v>424</v>
      </c>
      <c r="G195" s="177" t="s">
        <v>464</v>
      </c>
      <c r="H195" s="253">
        <v>40</v>
      </c>
      <c r="I195" s="254">
        <v>170</v>
      </c>
      <c r="J195"/>
      <c r="K195"/>
    </row>
    <row r="196" spans="2:11" x14ac:dyDescent="0.3">
      <c r="B196" s="252"/>
      <c r="C196" s="177"/>
      <c r="D196" s="177" t="s">
        <v>1137</v>
      </c>
      <c r="E196" s="177" t="s">
        <v>1122</v>
      </c>
      <c r="F196" s="177" t="s">
        <v>1317</v>
      </c>
      <c r="G196" s="177" t="s">
        <v>464</v>
      </c>
      <c r="H196" s="253">
        <v>17</v>
      </c>
      <c r="I196" s="254">
        <v>83</v>
      </c>
      <c r="J196"/>
      <c r="K196"/>
    </row>
    <row r="197" spans="2:11" x14ac:dyDescent="0.3">
      <c r="B197" s="252"/>
      <c r="C197" s="177"/>
      <c r="D197" s="177" t="s">
        <v>1191</v>
      </c>
      <c r="E197" s="177" t="s">
        <v>1173</v>
      </c>
      <c r="F197" s="177" t="s">
        <v>1048</v>
      </c>
      <c r="G197" s="177" t="s">
        <v>464</v>
      </c>
      <c r="H197" s="253">
        <v>35</v>
      </c>
      <c r="I197" s="254">
        <v>192</v>
      </c>
      <c r="J197"/>
      <c r="K197"/>
    </row>
    <row r="198" spans="2:11" x14ac:dyDescent="0.3">
      <c r="B198" s="252"/>
      <c r="C198" s="177"/>
      <c r="D198" s="177" t="s">
        <v>1278</v>
      </c>
      <c r="E198" s="177" t="s">
        <v>1277</v>
      </c>
      <c r="F198" s="177" t="s">
        <v>1048</v>
      </c>
      <c r="G198" s="177" t="s">
        <v>464</v>
      </c>
      <c r="H198" s="253">
        <v>61</v>
      </c>
      <c r="I198" s="254">
        <v>286</v>
      </c>
      <c r="J198"/>
      <c r="K198"/>
    </row>
    <row r="199" spans="2:11" x14ac:dyDescent="0.3">
      <c r="B199" s="252"/>
      <c r="C199" s="177" t="s">
        <v>1614</v>
      </c>
      <c r="D199" s="177"/>
      <c r="E199" s="177"/>
      <c r="F199" s="177"/>
      <c r="G199" s="177"/>
      <c r="H199" s="253">
        <v>153</v>
      </c>
      <c r="I199" s="254">
        <v>731</v>
      </c>
      <c r="J199"/>
      <c r="K199"/>
    </row>
    <row r="200" spans="2:11" x14ac:dyDescent="0.3">
      <c r="B200" s="252"/>
      <c r="C200" s="177" t="s">
        <v>1200</v>
      </c>
      <c r="D200" s="177" t="s">
        <v>1197</v>
      </c>
      <c r="E200" s="177" t="s">
        <v>1185</v>
      </c>
      <c r="F200" s="177" t="s">
        <v>1317</v>
      </c>
      <c r="G200" s="177" t="s">
        <v>464</v>
      </c>
      <c r="H200" s="253">
        <v>37</v>
      </c>
      <c r="I200" s="254">
        <v>120</v>
      </c>
      <c r="J200"/>
      <c r="K200"/>
    </row>
    <row r="201" spans="2:11" x14ac:dyDescent="0.3">
      <c r="B201" s="252"/>
      <c r="C201" s="177" t="s">
        <v>1754</v>
      </c>
      <c r="D201" s="177"/>
      <c r="E201" s="177"/>
      <c r="F201" s="177"/>
      <c r="G201" s="177"/>
      <c r="H201" s="253">
        <v>37</v>
      </c>
      <c r="I201" s="254">
        <v>120</v>
      </c>
      <c r="J201"/>
      <c r="K201"/>
    </row>
    <row r="202" spans="2:11" x14ac:dyDescent="0.3">
      <c r="B202" s="252" t="s">
        <v>1615</v>
      </c>
      <c r="C202" s="177"/>
      <c r="D202" s="177"/>
      <c r="E202" s="177"/>
      <c r="F202" s="177"/>
      <c r="G202" s="177"/>
      <c r="H202" s="253">
        <v>1765</v>
      </c>
      <c r="I202" s="254">
        <v>8703</v>
      </c>
      <c r="J202"/>
      <c r="K202"/>
    </row>
    <row r="203" spans="2:11" x14ac:dyDescent="0.3">
      <c r="B203" s="255" t="s">
        <v>411</v>
      </c>
      <c r="C203" s="256"/>
      <c r="D203" s="256"/>
      <c r="E203" s="256"/>
      <c r="F203" s="256"/>
      <c r="G203" s="256"/>
      <c r="H203" s="257">
        <v>20830</v>
      </c>
      <c r="I203" s="258">
        <v>107134</v>
      </c>
      <c r="J203"/>
      <c r="K203"/>
    </row>
    <row r="204" spans="2:1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81"/>
      <c r="I226" s="181"/>
    </row>
    <row r="227" spans="2:11" x14ac:dyDescent="0.3">
      <c r="H227" s="181"/>
      <c r="I227" s="181"/>
    </row>
    <row r="228" spans="2:11" x14ac:dyDescent="0.3">
      <c r="H228" s="181"/>
      <c r="I228" s="181"/>
    </row>
    <row r="229" spans="2:11" x14ac:dyDescent="0.3">
      <c r="H229" s="181"/>
      <c r="I229" s="181"/>
    </row>
    <row r="230" spans="2:11" x14ac:dyDescent="0.3">
      <c r="H230" s="181"/>
      <c r="I230" s="181"/>
    </row>
    <row r="231" spans="2:11" x14ac:dyDescent="0.3">
      <c r="H231" s="181"/>
      <c r="I231" s="181"/>
    </row>
    <row r="232" spans="2:11" x14ac:dyDescent="0.3">
      <c r="H232" s="181"/>
      <c r="I232" s="181"/>
    </row>
    <row r="233" spans="2:11" x14ac:dyDescent="0.3">
      <c r="H233" s="181"/>
      <c r="I233" s="181"/>
    </row>
    <row r="234" spans="2:11" x14ac:dyDescent="0.3">
      <c r="H234" s="181"/>
      <c r="I234" s="181"/>
    </row>
    <row r="235" spans="2:11" x14ac:dyDescent="0.3">
      <c r="H235" s="181"/>
      <c r="I235" s="181"/>
    </row>
    <row r="236" spans="2:11" x14ac:dyDescent="0.3">
      <c r="H236" s="181"/>
      <c r="I236" s="181"/>
    </row>
    <row r="237" spans="2:11" x14ac:dyDescent="0.3">
      <c r="H237" s="181"/>
      <c r="I237" s="181"/>
    </row>
    <row r="238" spans="2:11" x14ac:dyDescent="0.3">
      <c r="H238" s="181"/>
      <c r="I238" s="181"/>
    </row>
    <row r="239" spans="2:11" x14ac:dyDescent="0.3">
      <c r="H239" s="181"/>
      <c r="I239" s="181"/>
    </row>
    <row r="240" spans="2:11" x14ac:dyDescent="0.3">
      <c r="H240" s="181"/>
      <c r="I240" s="181"/>
    </row>
    <row r="241" spans="8:9" x14ac:dyDescent="0.3">
      <c r="H241" s="181"/>
      <c r="I241" s="181"/>
    </row>
    <row r="242" spans="8:9" x14ac:dyDescent="0.3">
      <c r="H242" s="181"/>
      <c r="I242" s="181"/>
    </row>
    <row r="243" spans="8:9" x14ac:dyDescent="0.3">
      <c r="H243" s="181"/>
      <c r="I243" s="181"/>
    </row>
    <row r="244" spans="8:9" x14ac:dyDescent="0.3">
      <c r="H244" s="181"/>
      <c r="I244" s="181"/>
    </row>
    <row r="245" spans="8:9" x14ac:dyDescent="0.3">
      <c r="H245" s="181"/>
      <c r="I245" s="181"/>
    </row>
    <row r="246" spans="8:9" x14ac:dyDescent="0.3">
      <c r="H246" s="181"/>
      <c r="I246" s="181"/>
    </row>
    <row r="247" spans="8:9" x14ac:dyDescent="0.3">
      <c r="H247" s="181"/>
      <c r="I247" s="181"/>
    </row>
    <row r="248" spans="8:9" x14ac:dyDescent="0.3">
      <c r="H248" s="181"/>
      <c r="I248" s="181"/>
    </row>
    <row r="249" spans="8:9" x14ac:dyDescent="0.3">
      <c r="H249" s="181"/>
      <c r="I249" s="181"/>
    </row>
    <row r="250" spans="8:9" x14ac:dyDescent="0.3">
      <c r="H250" s="181"/>
      <c r="I250" s="181"/>
    </row>
    <row r="251" spans="8:9" x14ac:dyDescent="0.3">
      <c r="H251" s="181"/>
      <c r="I251" s="181"/>
    </row>
    <row r="252" spans="8:9" x14ac:dyDescent="0.3">
      <c r="H252" s="181"/>
      <c r="I252" s="181"/>
    </row>
    <row r="253" spans="8:9" x14ac:dyDescent="0.3">
      <c r="H253" s="181"/>
      <c r="I253" s="181"/>
    </row>
    <row r="254" spans="8:9" x14ac:dyDescent="0.3">
      <c r="H254" s="181"/>
      <c r="I254" s="181"/>
    </row>
    <row r="255" spans="8:9" x14ac:dyDescent="0.3">
      <c r="H255" s="181"/>
      <c r="I255" s="181"/>
    </row>
    <row r="256" spans="8:9" x14ac:dyDescent="0.3">
      <c r="H256" s="181"/>
      <c r="I256" s="181"/>
    </row>
    <row r="257" spans="8:9" x14ac:dyDescent="0.3">
      <c r="H257" s="181"/>
      <c r="I257" s="181"/>
    </row>
    <row r="258" spans="8:9" x14ac:dyDescent="0.3">
      <c r="H258" s="181"/>
      <c r="I258" s="181"/>
    </row>
    <row r="259" spans="8:9" x14ac:dyDescent="0.3">
      <c r="H259" s="181"/>
      <c r="I259" s="181"/>
    </row>
    <row r="260" spans="8:9" x14ac:dyDescent="0.3">
      <c r="H260" s="181"/>
      <c r="I260" s="181"/>
    </row>
    <row r="261" spans="8:9" x14ac:dyDescent="0.3">
      <c r="H261" s="181"/>
      <c r="I261" s="181"/>
    </row>
    <row r="262" spans="8:9" x14ac:dyDescent="0.3">
      <c r="H262" s="181"/>
      <c r="I262" s="181"/>
    </row>
    <row r="263" spans="8:9" x14ac:dyDescent="0.3">
      <c r="H263" s="181"/>
      <c r="I263" s="181"/>
    </row>
    <row r="264" spans="8:9" x14ac:dyDescent="0.3">
      <c r="H264" s="181"/>
      <c r="I264" s="181"/>
    </row>
    <row r="265" spans="8:9" x14ac:dyDescent="0.3">
      <c r="H265" s="181"/>
      <c r="I265" s="181"/>
    </row>
    <row r="266" spans="8:9" x14ac:dyDescent="0.3">
      <c r="H266" s="181"/>
      <c r="I266" s="181"/>
    </row>
    <row r="267" spans="8:9" x14ac:dyDescent="0.3">
      <c r="H267" s="181"/>
      <c r="I267" s="181"/>
    </row>
    <row r="268" spans="8:9" x14ac:dyDescent="0.3">
      <c r="H268" s="181"/>
      <c r="I268" s="181"/>
    </row>
    <row r="269" spans="8:9" x14ac:dyDescent="0.3">
      <c r="H269" s="181"/>
      <c r="I269" s="181"/>
    </row>
    <row r="270" spans="8:9" x14ac:dyDescent="0.3">
      <c r="H270" s="181"/>
      <c r="I270" s="181"/>
    </row>
    <row r="271" spans="8:9" x14ac:dyDescent="0.3">
      <c r="H271" s="181"/>
      <c r="I271" s="181"/>
    </row>
    <row r="272" spans="8:9" x14ac:dyDescent="0.3">
      <c r="H272" s="181"/>
      <c r="I272" s="181"/>
    </row>
    <row r="273" spans="8:9" x14ac:dyDescent="0.3">
      <c r="H273" s="181"/>
      <c r="I273" s="181"/>
    </row>
    <row r="274" spans="8:9" x14ac:dyDescent="0.3">
      <c r="H274" s="181"/>
      <c r="I274" s="181"/>
    </row>
    <row r="275" spans="8:9" x14ac:dyDescent="0.3">
      <c r="H275" s="181"/>
      <c r="I275" s="181"/>
    </row>
    <row r="276" spans="8:9" x14ac:dyDescent="0.3">
      <c r="H276" s="181"/>
      <c r="I276" s="181"/>
    </row>
    <row r="277" spans="8:9" x14ac:dyDescent="0.3">
      <c r="H277" s="181"/>
      <c r="I277" s="181"/>
    </row>
    <row r="278" spans="8:9" x14ac:dyDescent="0.3">
      <c r="H278" s="181"/>
      <c r="I278" s="181"/>
    </row>
    <row r="279" spans="8:9" x14ac:dyDescent="0.3">
      <c r="H279" s="181"/>
      <c r="I279" s="181"/>
    </row>
    <row r="280" spans="8:9" x14ac:dyDescent="0.3">
      <c r="H280" s="181"/>
      <c r="I280" s="181"/>
    </row>
    <row r="281" spans="8:9" x14ac:dyDescent="0.3">
      <c r="H281" s="181"/>
      <c r="I281" s="181"/>
    </row>
    <row r="282" spans="8:9" x14ac:dyDescent="0.3">
      <c r="H282" s="181"/>
      <c r="I282" s="181"/>
    </row>
    <row r="283" spans="8:9" x14ac:dyDescent="0.3">
      <c r="H283" s="181"/>
      <c r="I283" s="181"/>
    </row>
    <row r="284" spans="8:9" x14ac:dyDescent="0.3">
      <c r="H284" s="181"/>
      <c r="I284" s="181"/>
    </row>
    <row r="285" spans="8:9" x14ac:dyDescent="0.3">
      <c r="H285" s="181"/>
      <c r="I285" s="181"/>
    </row>
    <row r="286" spans="8:9" x14ac:dyDescent="0.3">
      <c r="H286" s="181"/>
      <c r="I286" s="181"/>
    </row>
    <row r="287" spans="8:9" x14ac:dyDescent="0.3">
      <c r="H287" s="181"/>
      <c r="I287" s="181"/>
    </row>
    <row r="288" spans="8:9" x14ac:dyDescent="0.3">
      <c r="H288" s="181"/>
      <c r="I288" s="181"/>
    </row>
    <row r="289" spans="8:9" x14ac:dyDescent="0.3">
      <c r="H289" s="181"/>
      <c r="I289" s="181"/>
    </row>
    <row r="290" spans="8:9" x14ac:dyDescent="0.3">
      <c r="H290" s="181"/>
      <c r="I290" s="181"/>
    </row>
    <row r="291" spans="8:9" x14ac:dyDescent="0.3">
      <c r="H291" s="181"/>
      <c r="I291" s="181"/>
    </row>
    <row r="292" spans="8:9" x14ac:dyDescent="0.3">
      <c r="H292" s="181"/>
      <c r="I292" s="181"/>
    </row>
    <row r="293" spans="8:9" x14ac:dyDescent="0.3">
      <c r="H293" s="181"/>
      <c r="I293" s="181"/>
    </row>
    <row r="294" spans="8:9" x14ac:dyDescent="0.3">
      <c r="H294" s="181"/>
      <c r="I294" s="181"/>
    </row>
    <row r="295" spans="8:9" x14ac:dyDescent="0.3">
      <c r="H295" s="181"/>
      <c r="I295" s="181"/>
    </row>
    <row r="296" spans="8:9" x14ac:dyDescent="0.3">
      <c r="H296" s="181"/>
      <c r="I296" s="181"/>
    </row>
    <row r="297" spans="8:9" x14ac:dyDescent="0.3">
      <c r="H297" s="181"/>
      <c r="I297" s="181"/>
    </row>
    <row r="298" spans="8:9" x14ac:dyDescent="0.3">
      <c r="H298" s="181"/>
      <c r="I298" s="181"/>
    </row>
    <row r="299" spans="8:9" x14ac:dyDescent="0.3">
      <c r="H299" s="181"/>
      <c r="I299" s="181"/>
    </row>
    <row r="300" spans="8:9" x14ac:dyDescent="0.3">
      <c r="H300" s="181"/>
      <c r="I300" s="181"/>
    </row>
    <row r="301" spans="8:9" x14ac:dyDescent="0.3">
      <c r="H301" s="181"/>
      <c r="I301" s="181"/>
    </row>
    <row r="302" spans="8:9" x14ac:dyDescent="0.3">
      <c r="H302" s="181"/>
      <c r="I302" s="181"/>
    </row>
    <row r="303" spans="8:9" x14ac:dyDescent="0.3">
      <c r="H303" s="181"/>
      <c r="I303" s="181"/>
    </row>
    <row r="304" spans="8:9" x14ac:dyDescent="0.3">
      <c r="H304" s="181"/>
      <c r="I304" s="181"/>
    </row>
    <row r="305" spans="8:9" x14ac:dyDescent="0.3">
      <c r="H305" s="181"/>
      <c r="I305" s="181"/>
    </row>
    <row r="306" spans="8:9" x14ac:dyDescent="0.3">
      <c r="H306" s="181"/>
      <c r="I306" s="181"/>
    </row>
    <row r="307" spans="8:9" x14ac:dyDescent="0.3">
      <c r="H307" s="181"/>
      <c r="I307" s="181"/>
    </row>
    <row r="308" spans="8:9" x14ac:dyDescent="0.3">
      <c r="H308" s="181"/>
      <c r="I308" s="181"/>
    </row>
    <row r="309" spans="8:9" x14ac:dyDescent="0.3">
      <c r="H309" s="181"/>
      <c r="I309" s="181"/>
    </row>
    <row r="310" spans="8:9" x14ac:dyDescent="0.3">
      <c r="H310" s="181"/>
      <c r="I310" s="181"/>
    </row>
    <row r="311" spans="8:9" x14ac:dyDescent="0.3">
      <c r="H311" s="181"/>
      <c r="I311" s="181"/>
    </row>
    <row r="312" spans="8:9" x14ac:dyDescent="0.3">
      <c r="H312" s="181"/>
      <c r="I312" s="181"/>
    </row>
    <row r="313" spans="8:9" x14ac:dyDescent="0.3">
      <c r="H313" s="181"/>
      <c r="I313" s="181"/>
    </row>
    <row r="314" spans="8:9" x14ac:dyDescent="0.3">
      <c r="H314" s="181"/>
      <c r="I314" s="181"/>
    </row>
    <row r="315" spans="8:9" x14ac:dyDescent="0.3">
      <c r="H315" s="181"/>
      <c r="I315" s="181"/>
    </row>
    <row r="316" spans="8:9" x14ac:dyDescent="0.3">
      <c r="H316" s="181"/>
      <c r="I316" s="181"/>
    </row>
    <row r="317" spans="8:9" x14ac:dyDescent="0.3">
      <c r="H317" s="181"/>
      <c r="I317" s="181"/>
    </row>
    <row r="318" spans="8:9" x14ac:dyDescent="0.3">
      <c r="H318" s="181"/>
      <c r="I318" s="181"/>
    </row>
    <row r="319" spans="8:9" x14ac:dyDescent="0.3">
      <c r="H319" s="181"/>
      <c r="I319" s="181"/>
    </row>
    <row r="320" spans="8:9" x14ac:dyDescent="0.3">
      <c r="H320" s="181"/>
      <c r="I320" s="181"/>
    </row>
    <row r="321" spans="8:9" x14ac:dyDescent="0.3">
      <c r="H321" s="181"/>
      <c r="I321" s="181"/>
    </row>
    <row r="322" spans="8:9" x14ac:dyDescent="0.3">
      <c r="H322" s="181"/>
      <c r="I322" s="181"/>
    </row>
    <row r="323" spans="8:9" x14ac:dyDescent="0.3">
      <c r="H323" s="181"/>
      <c r="I323" s="181"/>
    </row>
    <row r="324" spans="8:9" x14ac:dyDescent="0.3">
      <c r="H324" s="181"/>
      <c r="I324" s="181"/>
    </row>
    <row r="325" spans="8:9" x14ac:dyDescent="0.3">
      <c r="H325" s="181"/>
      <c r="I325" s="181"/>
    </row>
    <row r="326" spans="8:9" x14ac:dyDescent="0.3">
      <c r="H326" s="181"/>
      <c r="I326" s="181"/>
    </row>
    <row r="327" spans="8:9" x14ac:dyDescent="0.3">
      <c r="H327" s="181"/>
      <c r="I327" s="181"/>
    </row>
    <row r="328" spans="8:9" x14ac:dyDescent="0.3">
      <c r="H328" s="181"/>
      <c r="I328" s="181"/>
    </row>
    <row r="329" spans="8:9" x14ac:dyDescent="0.3">
      <c r="H329" s="181"/>
      <c r="I329" s="181"/>
    </row>
    <row r="330" spans="8:9" x14ac:dyDescent="0.3">
      <c r="H330" s="181"/>
      <c r="I330" s="181"/>
    </row>
    <row r="331" spans="8:9" x14ac:dyDescent="0.3">
      <c r="H331" s="181"/>
      <c r="I331" s="181"/>
    </row>
    <row r="332" spans="8:9" x14ac:dyDescent="0.3">
      <c r="H332" s="181"/>
      <c r="I332" s="181"/>
    </row>
    <row r="333" spans="8:9" x14ac:dyDescent="0.3">
      <c r="H333" s="181"/>
      <c r="I333" s="181"/>
    </row>
    <row r="334" spans="8:9" x14ac:dyDescent="0.3">
      <c r="H334" s="181"/>
      <c r="I334" s="181"/>
    </row>
    <row r="335" spans="8:9" x14ac:dyDescent="0.3">
      <c r="H335" s="181"/>
      <c r="I335" s="181"/>
    </row>
    <row r="336" spans="8:9" x14ac:dyDescent="0.3">
      <c r="H336" s="181"/>
      <c r="I336" s="181"/>
    </row>
    <row r="337" spans="8:9" x14ac:dyDescent="0.3">
      <c r="H337" s="181"/>
      <c r="I337" s="181"/>
    </row>
    <row r="338" spans="8:9" x14ac:dyDescent="0.3">
      <c r="H338" s="181"/>
      <c r="I338" s="181"/>
    </row>
    <row r="339" spans="8:9" x14ac:dyDescent="0.3">
      <c r="H339" s="181"/>
      <c r="I339" s="181"/>
    </row>
    <row r="340" spans="8:9" x14ac:dyDescent="0.3">
      <c r="H340" s="181"/>
      <c r="I340" s="181"/>
    </row>
    <row r="341" spans="8:9" x14ac:dyDescent="0.3">
      <c r="H341" s="181"/>
      <c r="I341" s="181"/>
    </row>
    <row r="342" spans="8:9" x14ac:dyDescent="0.3">
      <c r="H342" s="181"/>
      <c r="I342" s="181"/>
    </row>
    <row r="343" spans="8:9" x14ac:dyDescent="0.3">
      <c r="H343" s="181"/>
      <c r="I343" s="181"/>
    </row>
    <row r="344" spans="8:9" x14ac:dyDescent="0.3">
      <c r="H344" s="181"/>
      <c r="I344" s="181"/>
    </row>
    <row r="345" spans="8:9" x14ac:dyDescent="0.3">
      <c r="H345" s="181"/>
      <c r="I345" s="181"/>
    </row>
    <row r="346" spans="8:9" x14ac:dyDescent="0.3">
      <c r="H346" s="181"/>
      <c r="I346" s="181"/>
    </row>
    <row r="347" spans="8:9" x14ac:dyDescent="0.3">
      <c r="H347" s="181"/>
      <c r="I347" s="181"/>
    </row>
    <row r="348" spans="8:9" x14ac:dyDescent="0.3">
      <c r="H348" s="181"/>
      <c r="I348" s="181"/>
    </row>
    <row r="349" spans="8:9" x14ac:dyDescent="0.3">
      <c r="H349" s="181"/>
      <c r="I349" s="181"/>
    </row>
    <row r="350" spans="8:9" x14ac:dyDescent="0.3">
      <c r="H350" s="181"/>
      <c r="I350" s="181"/>
    </row>
    <row r="351" spans="8:9" x14ac:dyDescent="0.3">
      <c r="H351" s="181"/>
      <c r="I351" s="181"/>
    </row>
    <row r="352" spans="8:9" x14ac:dyDescent="0.3">
      <c r="H352" s="181"/>
      <c r="I352" s="181"/>
    </row>
    <row r="353" spans="8:9" x14ac:dyDescent="0.3">
      <c r="H353" s="181"/>
      <c r="I353" s="181"/>
    </row>
    <row r="354" spans="8:9" x14ac:dyDescent="0.3">
      <c r="H354" s="181"/>
      <c r="I354" s="181"/>
    </row>
    <row r="355" spans="8:9" x14ac:dyDescent="0.3">
      <c r="H355" s="181"/>
      <c r="I355" s="181"/>
    </row>
    <row r="356" spans="8:9" x14ac:dyDescent="0.3">
      <c r="H356" s="181"/>
      <c r="I356" s="181"/>
    </row>
    <row r="357" spans="8:9" x14ac:dyDescent="0.3">
      <c r="H357" s="181"/>
      <c r="I357" s="181"/>
    </row>
    <row r="358" spans="8:9" x14ac:dyDescent="0.3">
      <c r="H358" s="181"/>
      <c r="I358" s="181"/>
    </row>
    <row r="359" spans="8:9" x14ac:dyDescent="0.3">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0"/>
  <sheetViews>
    <sheetView workbookViewId="0">
      <selection activeCell="C9" sqref="C9"/>
    </sheetView>
  </sheetViews>
  <sheetFormatPr defaultColWidth="9.109375" defaultRowHeight="14.4" x14ac:dyDescent="0.3"/>
  <cols>
    <col min="1" max="1" width="19.109375" style="181" bestFit="1" customWidth="1"/>
    <col min="2" max="2" width="12.109375" style="181" bestFit="1" customWidth="1"/>
    <col min="3" max="3" width="25.33203125" style="181" customWidth="1"/>
    <col min="4" max="4" width="16.109375" style="181" bestFit="1" customWidth="1"/>
    <col min="5" max="5" width="25.5546875" style="181" bestFit="1" customWidth="1"/>
    <col min="6" max="6" width="15.5546875" style="181" customWidth="1"/>
    <col min="7" max="7" width="10" style="181" customWidth="1"/>
    <col min="8" max="8" width="9.33203125" style="181" customWidth="1"/>
    <col min="9" max="9" width="16.44140625" style="181" customWidth="1"/>
    <col min="10" max="16384" width="9.109375" style="181"/>
  </cols>
  <sheetData>
    <row r="1" spans="1:12" ht="19.5" customHeight="1" x14ac:dyDescent="0.3">
      <c r="A1" s="396"/>
      <c r="B1" s="396"/>
      <c r="C1" s="396"/>
      <c r="D1" s="396"/>
      <c r="E1" s="396"/>
      <c r="F1" s="396"/>
      <c r="G1" s="396"/>
      <c r="H1" s="396"/>
      <c r="I1" s="396"/>
      <c r="J1" s="307"/>
      <c r="K1" s="307"/>
      <c r="L1" s="307"/>
    </row>
    <row r="2" spans="1:12" ht="19.5" customHeight="1" x14ac:dyDescent="0.3">
      <c r="A2" s="244" t="s">
        <v>1760</v>
      </c>
      <c r="B2" s="396"/>
      <c r="C2" s="244"/>
      <c r="D2" s="244"/>
      <c r="E2" s="244"/>
      <c r="F2" s="244"/>
      <c r="G2" s="244"/>
      <c r="H2" s="244"/>
      <c r="I2" s="244"/>
      <c r="J2" s="41"/>
      <c r="K2" s="41"/>
      <c r="L2" s="41"/>
    </row>
    <row r="3" spans="1:12" ht="19.5" customHeight="1" x14ac:dyDescent="0.3">
      <c r="A3" s="730">
        <f>Report_Date</f>
        <v>43313</v>
      </c>
      <c r="B3" s="727"/>
      <c r="C3" s="727"/>
      <c r="D3" s="244"/>
      <c r="E3" s="244"/>
      <c r="F3" s="244"/>
      <c r="G3" s="244"/>
      <c r="H3" s="244"/>
      <c r="I3" s="244"/>
      <c r="J3" s="246"/>
      <c r="K3" s="246"/>
      <c r="L3" s="246"/>
    </row>
    <row r="5" spans="1:12" x14ac:dyDescent="0.3">
      <c r="A5" s="726" t="s">
        <v>458</v>
      </c>
      <c r="B5" s="181" t="s">
        <v>1744</v>
      </c>
    </row>
    <row r="6" spans="1:12" x14ac:dyDescent="0.3">
      <c r="A6" s="726" t="s">
        <v>1036</v>
      </c>
      <c r="B6" s="181" t="s">
        <v>537</v>
      </c>
    </row>
    <row r="8" spans="1:12" s="45" customFormat="1" x14ac:dyDescent="0.3">
      <c r="A8" s="729" t="s">
        <v>392</v>
      </c>
      <c r="B8" s="729" t="s">
        <v>0</v>
      </c>
      <c r="C8" s="729" t="s">
        <v>507</v>
      </c>
      <c r="D8" s="729" t="s">
        <v>833</v>
      </c>
      <c r="E8" s="729" t="s">
        <v>398</v>
      </c>
      <c r="F8" s="729" t="s">
        <v>457</v>
      </c>
      <c r="G8" s="45" t="s">
        <v>1410</v>
      </c>
      <c r="H8" s="45" t="s">
        <v>788</v>
      </c>
      <c r="I8"/>
    </row>
    <row r="9" spans="1:12" x14ac:dyDescent="0.3">
      <c r="A9" s="181" t="s">
        <v>378</v>
      </c>
      <c r="B9" s="181" t="s">
        <v>309</v>
      </c>
      <c r="C9" s="181" t="s">
        <v>1747</v>
      </c>
      <c r="D9" s="181" t="s">
        <v>1748</v>
      </c>
      <c r="E9" s="181" t="s">
        <v>1746</v>
      </c>
      <c r="F9" s="181" t="s">
        <v>464</v>
      </c>
      <c r="G9" s="728">
        <v>95</v>
      </c>
      <c r="H9" s="728">
        <v>499</v>
      </c>
      <c r="I9"/>
    </row>
    <row r="10" spans="1:12" x14ac:dyDescent="0.3">
      <c r="A10" s="181" t="s">
        <v>411</v>
      </c>
      <c r="G10" s="728">
        <v>95</v>
      </c>
      <c r="H10" s="728">
        <v>499</v>
      </c>
      <c r="I10"/>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Z182"/>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D184" sqref="D184"/>
    </sheetView>
  </sheetViews>
  <sheetFormatPr defaultColWidth="9.109375" defaultRowHeight="11.25" customHeight="1" x14ac:dyDescent="0.25"/>
  <cols>
    <col min="1" max="1" width="9.109375" style="352"/>
    <col min="2" max="2" width="10.5546875" style="352" customWidth="1"/>
    <col min="3" max="3" width="9.44140625" style="352" customWidth="1"/>
    <col min="4" max="4" width="29.33203125" style="352" customWidth="1"/>
    <col min="5" max="5" width="15.88671875" style="352" hidden="1" customWidth="1"/>
    <col min="6" max="6" width="7.88671875" style="353" hidden="1" customWidth="1"/>
    <col min="7" max="7" width="8.5546875" style="352" customWidth="1"/>
    <col min="8" max="8" width="9.88671875" style="354" customWidth="1"/>
    <col min="9" max="9" width="10.88671875" style="354" customWidth="1"/>
    <col min="10" max="10" width="10.5546875" style="354" customWidth="1"/>
    <col min="11" max="11" width="6.88671875" style="354" customWidth="1"/>
    <col min="12" max="12" width="12.109375" style="354" customWidth="1"/>
    <col min="13" max="13" width="9.88671875" style="354" customWidth="1"/>
    <col min="14" max="15" width="12" style="354" customWidth="1"/>
    <col min="16" max="16" width="9" style="354" customWidth="1"/>
    <col min="17" max="17" width="12.33203125" style="354" customWidth="1"/>
    <col min="18" max="18" width="14.33203125" style="354" customWidth="1"/>
    <col min="19" max="19" width="10" style="354" customWidth="1"/>
    <col min="20" max="20" width="9.5546875" style="354" customWidth="1"/>
    <col min="21" max="21" width="10.88671875" style="354" customWidth="1"/>
    <col min="22" max="22" width="10.5546875" style="354" customWidth="1"/>
    <col min="23" max="23" width="11.33203125" style="354" customWidth="1"/>
    <col min="24" max="24" width="10.6640625" style="354" customWidth="1"/>
    <col min="25" max="25" width="13.33203125" style="354" customWidth="1"/>
    <col min="26" max="26" width="30.6640625" style="352" customWidth="1"/>
    <col min="27" max="255" width="9.109375" style="352"/>
    <col min="256" max="256" width="9.44140625" style="352" customWidth="1"/>
    <col min="257" max="257" width="31.44140625" style="352" customWidth="1"/>
    <col min="258" max="263" width="0" style="352" hidden="1" customWidth="1"/>
    <col min="264" max="264" width="8.6640625" style="352" customWidth="1"/>
    <col min="265" max="265" width="8.109375" style="352" customWidth="1"/>
    <col min="266" max="266" width="14.44140625" style="352" customWidth="1"/>
    <col min="267" max="267" width="13.33203125" style="352" customWidth="1"/>
    <col min="268" max="268" width="9.6640625" style="352" customWidth="1"/>
    <col min="269" max="269" width="13.5546875" style="352" customWidth="1"/>
    <col min="270" max="270" width="10.5546875" style="352" customWidth="1"/>
    <col min="271" max="271" width="11.33203125" style="352" customWidth="1"/>
    <col min="272" max="272" width="8.6640625" style="352" customWidth="1"/>
    <col min="273" max="273" width="9" style="352" customWidth="1"/>
    <col min="274" max="274" width="6.6640625" style="352" customWidth="1"/>
    <col min="275" max="275" width="11.44140625" style="352" customWidth="1"/>
    <col min="276" max="276" width="12.33203125" style="352" customWidth="1"/>
    <col min="277" max="277" width="11.33203125" style="352" customWidth="1"/>
    <col min="278" max="278" width="12.44140625" style="352" customWidth="1"/>
    <col min="279" max="279" width="13" style="352" customWidth="1"/>
    <col min="280" max="280" width="9.5546875" style="352" customWidth="1"/>
    <col min="281" max="281" width="11.44140625" style="352" customWidth="1"/>
    <col min="282" max="511" width="9.109375" style="352"/>
    <col min="512" max="512" width="9.44140625" style="352" customWidth="1"/>
    <col min="513" max="513" width="31.44140625" style="352" customWidth="1"/>
    <col min="514" max="519" width="0" style="352" hidden="1" customWidth="1"/>
    <col min="520" max="520" width="8.6640625" style="352" customWidth="1"/>
    <col min="521" max="521" width="8.109375" style="352" customWidth="1"/>
    <col min="522" max="522" width="14.44140625" style="352" customWidth="1"/>
    <col min="523" max="523" width="13.33203125" style="352" customWidth="1"/>
    <col min="524" max="524" width="9.6640625" style="352" customWidth="1"/>
    <col min="525" max="525" width="13.5546875" style="352" customWidth="1"/>
    <col min="526" max="526" width="10.5546875" style="352" customWidth="1"/>
    <col min="527" max="527" width="11.33203125" style="352" customWidth="1"/>
    <col min="528" max="528" width="8.6640625" style="352" customWidth="1"/>
    <col min="529" max="529" width="9" style="352" customWidth="1"/>
    <col min="530" max="530" width="6.6640625" style="352" customWidth="1"/>
    <col min="531" max="531" width="11.44140625" style="352" customWidth="1"/>
    <col min="532" max="532" width="12.33203125" style="352" customWidth="1"/>
    <col min="533" max="533" width="11.33203125" style="352" customWidth="1"/>
    <col min="534" max="534" width="12.44140625" style="352" customWidth="1"/>
    <col min="535" max="535" width="13" style="352" customWidth="1"/>
    <col min="536" max="536" width="9.5546875" style="352" customWidth="1"/>
    <col min="537" max="537" width="11.44140625" style="352" customWidth="1"/>
    <col min="538" max="767" width="9.109375" style="352"/>
    <col min="768" max="768" width="9.44140625" style="352" customWidth="1"/>
    <col min="769" max="769" width="31.44140625" style="352" customWidth="1"/>
    <col min="770" max="775" width="0" style="352" hidden="1" customWidth="1"/>
    <col min="776" max="776" width="8.6640625" style="352" customWidth="1"/>
    <col min="777" max="777" width="8.109375" style="352" customWidth="1"/>
    <col min="778" max="778" width="14.44140625" style="352" customWidth="1"/>
    <col min="779" max="779" width="13.33203125" style="352" customWidth="1"/>
    <col min="780" max="780" width="9.6640625" style="352" customWidth="1"/>
    <col min="781" max="781" width="13.5546875" style="352" customWidth="1"/>
    <col min="782" max="782" width="10.5546875" style="352" customWidth="1"/>
    <col min="783" max="783" width="11.33203125" style="352" customWidth="1"/>
    <col min="784" max="784" width="8.6640625" style="352" customWidth="1"/>
    <col min="785" max="785" width="9" style="352" customWidth="1"/>
    <col min="786" max="786" width="6.6640625" style="352" customWidth="1"/>
    <col min="787" max="787" width="11.44140625" style="352" customWidth="1"/>
    <col min="788" max="788" width="12.33203125" style="352" customWidth="1"/>
    <col min="789" max="789" width="11.33203125" style="352" customWidth="1"/>
    <col min="790" max="790" width="12.44140625" style="352" customWidth="1"/>
    <col min="791" max="791" width="13" style="352" customWidth="1"/>
    <col min="792" max="792" width="9.5546875" style="352" customWidth="1"/>
    <col min="793" max="793" width="11.44140625" style="352" customWidth="1"/>
    <col min="794" max="1023" width="9.109375" style="352"/>
    <col min="1024" max="1024" width="9.44140625" style="352" customWidth="1"/>
    <col min="1025" max="1025" width="31.44140625" style="352" customWidth="1"/>
    <col min="1026" max="1031" width="0" style="352" hidden="1" customWidth="1"/>
    <col min="1032" max="1032" width="8.6640625" style="352" customWidth="1"/>
    <col min="1033" max="1033" width="8.109375" style="352" customWidth="1"/>
    <col min="1034" max="1034" width="14.44140625" style="352" customWidth="1"/>
    <col min="1035" max="1035" width="13.33203125" style="352" customWidth="1"/>
    <col min="1036" max="1036" width="9.6640625" style="352" customWidth="1"/>
    <col min="1037" max="1037" width="13.5546875" style="352" customWidth="1"/>
    <col min="1038" max="1038" width="10.5546875" style="352" customWidth="1"/>
    <col min="1039" max="1039" width="11.33203125" style="352" customWidth="1"/>
    <col min="1040" max="1040" width="8.6640625" style="352" customWidth="1"/>
    <col min="1041" max="1041" width="9" style="352" customWidth="1"/>
    <col min="1042" max="1042" width="6.6640625" style="352" customWidth="1"/>
    <col min="1043" max="1043" width="11.44140625" style="352" customWidth="1"/>
    <col min="1044" max="1044" width="12.33203125" style="352" customWidth="1"/>
    <col min="1045" max="1045" width="11.33203125" style="352" customWidth="1"/>
    <col min="1046" max="1046" width="12.44140625" style="352" customWidth="1"/>
    <col min="1047" max="1047" width="13" style="352" customWidth="1"/>
    <col min="1048" max="1048" width="9.5546875" style="352" customWidth="1"/>
    <col min="1049" max="1049" width="11.44140625" style="352" customWidth="1"/>
    <col min="1050" max="1279" width="9.109375" style="352"/>
    <col min="1280" max="1280" width="9.44140625" style="352" customWidth="1"/>
    <col min="1281" max="1281" width="31.44140625" style="352" customWidth="1"/>
    <col min="1282" max="1287" width="0" style="352" hidden="1" customWidth="1"/>
    <col min="1288" max="1288" width="8.6640625" style="352" customWidth="1"/>
    <col min="1289" max="1289" width="8.109375" style="352" customWidth="1"/>
    <col min="1290" max="1290" width="14.44140625" style="352" customWidth="1"/>
    <col min="1291" max="1291" width="13.33203125" style="352" customWidth="1"/>
    <col min="1292" max="1292" width="9.6640625" style="352" customWidth="1"/>
    <col min="1293" max="1293" width="13.5546875" style="352" customWidth="1"/>
    <col min="1294" max="1294" width="10.5546875" style="352" customWidth="1"/>
    <col min="1295" max="1295" width="11.33203125" style="352" customWidth="1"/>
    <col min="1296" max="1296" width="8.6640625" style="352" customWidth="1"/>
    <col min="1297" max="1297" width="9" style="352" customWidth="1"/>
    <col min="1298" max="1298" width="6.6640625" style="352" customWidth="1"/>
    <col min="1299" max="1299" width="11.44140625" style="352" customWidth="1"/>
    <col min="1300" max="1300" width="12.33203125" style="352" customWidth="1"/>
    <col min="1301" max="1301" width="11.33203125" style="352" customWidth="1"/>
    <col min="1302" max="1302" width="12.44140625" style="352" customWidth="1"/>
    <col min="1303" max="1303" width="13" style="352" customWidth="1"/>
    <col min="1304" max="1304" width="9.5546875" style="352" customWidth="1"/>
    <col min="1305" max="1305" width="11.44140625" style="352" customWidth="1"/>
    <col min="1306" max="1535" width="9.109375" style="352"/>
    <col min="1536" max="1536" width="9.44140625" style="352" customWidth="1"/>
    <col min="1537" max="1537" width="31.44140625" style="352" customWidth="1"/>
    <col min="1538" max="1543" width="0" style="352" hidden="1" customWidth="1"/>
    <col min="1544" max="1544" width="8.6640625" style="352" customWidth="1"/>
    <col min="1545" max="1545" width="8.109375" style="352" customWidth="1"/>
    <col min="1546" max="1546" width="14.44140625" style="352" customWidth="1"/>
    <col min="1547" max="1547" width="13.33203125" style="352" customWidth="1"/>
    <col min="1548" max="1548" width="9.6640625" style="352" customWidth="1"/>
    <col min="1549" max="1549" width="13.5546875" style="352" customWidth="1"/>
    <col min="1550" max="1550" width="10.5546875" style="352" customWidth="1"/>
    <col min="1551" max="1551" width="11.33203125" style="352" customWidth="1"/>
    <col min="1552" max="1552" width="8.6640625" style="352" customWidth="1"/>
    <col min="1553" max="1553" width="9" style="352" customWidth="1"/>
    <col min="1554" max="1554" width="6.6640625" style="352" customWidth="1"/>
    <col min="1555" max="1555" width="11.44140625" style="352" customWidth="1"/>
    <col min="1556" max="1556" width="12.33203125" style="352" customWidth="1"/>
    <col min="1557" max="1557" width="11.33203125" style="352" customWidth="1"/>
    <col min="1558" max="1558" width="12.44140625" style="352" customWidth="1"/>
    <col min="1559" max="1559" width="13" style="352" customWidth="1"/>
    <col min="1560" max="1560" width="9.5546875" style="352" customWidth="1"/>
    <col min="1561" max="1561" width="11.44140625" style="352" customWidth="1"/>
    <col min="1562" max="1791" width="9.109375" style="352"/>
    <col min="1792" max="1792" width="9.44140625" style="352" customWidth="1"/>
    <col min="1793" max="1793" width="31.44140625" style="352" customWidth="1"/>
    <col min="1794" max="1799" width="0" style="352" hidden="1" customWidth="1"/>
    <col min="1800" max="1800" width="8.6640625" style="352" customWidth="1"/>
    <col min="1801" max="1801" width="8.109375" style="352" customWidth="1"/>
    <col min="1802" max="1802" width="14.44140625" style="352" customWidth="1"/>
    <col min="1803" max="1803" width="13.33203125" style="352" customWidth="1"/>
    <col min="1804" max="1804" width="9.6640625" style="352" customWidth="1"/>
    <col min="1805" max="1805" width="13.5546875" style="352" customWidth="1"/>
    <col min="1806" max="1806" width="10.5546875" style="352" customWidth="1"/>
    <col min="1807" max="1807" width="11.33203125" style="352" customWidth="1"/>
    <col min="1808" max="1808" width="8.6640625" style="352" customWidth="1"/>
    <col min="1809" max="1809" width="9" style="352" customWidth="1"/>
    <col min="1810" max="1810" width="6.6640625" style="352" customWidth="1"/>
    <col min="1811" max="1811" width="11.44140625" style="352" customWidth="1"/>
    <col min="1812" max="1812" width="12.33203125" style="352" customWidth="1"/>
    <col min="1813" max="1813" width="11.33203125" style="352" customWidth="1"/>
    <col min="1814" max="1814" width="12.44140625" style="352" customWidth="1"/>
    <col min="1815" max="1815" width="13" style="352" customWidth="1"/>
    <col min="1816" max="1816" width="9.5546875" style="352" customWidth="1"/>
    <col min="1817" max="1817" width="11.44140625" style="352" customWidth="1"/>
    <col min="1818" max="2047" width="9.109375" style="352"/>
    <col min="2048" max="2048" width="9.44140625" style="352" customWidth="1"/>
    <col min="2049" max="2049" width="31.44140625" style="352" customWidth="1"/>
    <col min="2050" max="2055" width="0" style="352" hidden="1" customWidth="1"/>
    <col min="2056" max="2056" width="8.6640625" style="352" customWidth="1"/>
    <col min="2057" max="2057" width="8.109375" style="352" customWidth="1"/>
    <col min="2058" max="2058" width="14.44140625" style="352" customWidth="1"/>
    <col min="2059" max="2059" width="13.33203125" style="352" customWidth="1"/>
    <col min="2060" max="2060" width="9.6640625" style="352" customWidth="1"/>
    <col min="2061" max="2061" width="13.5546875" style="352" customWidth="1"/>
    <col min="2062" max="2062" width="10.5546875" style="352" customWidth="1"/>
    <col min="2063" max="2063" width="11.33203125" style="352" customWidth="1"/>
    <col min="2064" max="2064" width="8.6640625" style="352" customWidth="1"/>
    <col min="2065" max="2065" width="9" style="352" customWidth="1"/>
    <col min="2066" max="2066" width="6.6640625" style="352" customWidth="1"/>
    <col min="2067" max="2067" width="11.44140625" style="352" customWidth="1"/>
    <col min="2068" max="2068" width="12.33203125" style="352" customWidth="1"/>
    <col min="2069" max="2069" width="11.33203125" style="352" customWidth="1"/>
    <col min="2070" max="2070" width="12.44140625" style="352" customWidth="1"/>
    <col min="2071" max="2071" width="13" style="352" customWidth="1"/>
    <col min="2072" max="2072" width="9.5546875" style="352" customWidth="1"/>
    <col min="2073" max="2073" width="11.44140625" style="352" customWidth="1"/>
    <col min="2074" max="2303" width="9.109375" style="352"/>
    <col min="2304" max="2304" width="9.44140625" style="352" customWidth="1"/>
    <col min="2305" max="2305" width="31.44140625" style="352" customWidth="1"/>
    <col min="2306" max="2311" width="0" style="352" hidden="1" customWidth="1"/>
    <col min="2312" max="2312" width="8.6640625" style="352" customWidth="1"/>
    <col min="2313" max="2313" width="8.109375" style="352" customWidth="1"/>
    <col min="2314" max="2314" width="14.44140625" style="352" customWidth="1"/>
    <col min="2315" max="2315" width="13.33203125" style="352" customWidth="1"/>
    <col min="2316" max="2316" width="9.6640625" style="352" customWidth="1"/>
    <col min="2317" max="2317" width="13.5546875" style="352" customWidth="1"/>
    <col min="2318" max="2318" width="10.5546875" style="352" customWidth="1"/>
    <col min="2319" max="2319" width="11.33203125" style="352" customWidth="1"/>
    <col min="2320" max="2320" width="8.6640625" style="352" customWidth="1"/>
    <col min="2321" max="2321" width="9" style="352" customWidth="1"/>
    <col min="2322" max="2322" width="6.6640625" style="352" customWidth="1"/>
    <col min="2323" max="2323" width="11.44140625" style="352" customWidth="1"/>
    <col min="2324" max="2324" width="12.33203125" style="352" customWidth="1"/>
    <col min="2325" max="2325" width="11.33203125" style="352" customWidth="1"/>
    <col min="2326" max="2326" width="12.44140625" style="352" customWidth="1"/>
    <col min="2327" max="2327" width="13" style="352" customWidth="1"/>
    <col min="2328" max="2328" width="9.5546875" style="352" customWidth="1"/>
    <col min="2329" max="2329" width="11.44140625" style="352" customWidth="1"/>
    <col min="2330" max="2559" width="9.109375" style="352"/>
    <col min="2560" max="2560" width="9.44140625" style="352" customWidth="1"/>
    <col min="2561" max="2561" width="31.44140625" style="352" customWidth="1"/>
    <col min="2562" max="2567" width="0" style="352" hidden="1" customWidth="1"/>
    <col min="2568" max="2568" width="8.6640625" style="352" customWidth="1"/>
    <col min="2569" max="2569" width="8.109375" style="352" customWidth="1"/>
    <col min="2570" max="2570" width="14.44140625" style="352" customWidth="1"/>
    <col min="2571" max="2571" width="13.33203125" style="352" customWidth="1"/>
    <col min="2572" max="2572" width="9.6640625" style="352" customWidth="1"/>
    <col min="2573" max="2573" width="13.5546875" style="352" customWidth="1"/>
    <col min="2574" max="2574" width="10.5546875" style="352" customWidth="1"/>
    <col min="2575" max="2575" width="11.33203125" style="352" customWidth="1"/>
    <col min="2576" max="2576" width="8.6640625" style="352" customWidth="1"/>
    <col min="2577" max="2577" width="9" style="352" customWidth="1"/>
    <col min="2578" max="2578" width="6.6640625" style="352" customWidth="1"/>
    <col min="2579" max="2579" width="11.44140625" style="352" customWidth="1"/>
    <col min="2580" max="2580" width="12.33203125" style="352" customWidth="1"/>
    <col min="2581" max="2581" width="11.33203125" style="352" customWidth="1"/>
    <col min="2582" max="2582" width="12.44140625" style="352" customWidth="1"/>
    <col min="2583" max="2583" width="13" style="352" customWidth="1"/>
    <col min="2584" max="2584" width="9.5546875" style="352" customWidth="1"/>
    <col min="2585" max="2585" width="11.44140625" style="352" customWidth="1"/>
    <col min="2586" max="2815" width="9.109375" style="352"/>
    <col min="2816" max="2816" width="9.44140625" style="352" customWidth="1"/>
    <col min="2817" max="2817" width="31.44140625" style="352" customWidth="1"/>
    <col min="2818" max="2823" width="0" style="352" hidden="1" customWidth="1"/>
    <col min="2824" max="2824" width="8.6640625" style="352" customWidth="1"/>
    <col min="2825" max="2825" width="8.109375" style="352" customWidth="1"/>
    <col min="2826" max="2826" width="14.44140625" style="352" customWidth="1"/>
    <col min="2827" max="2827" width="13.33203125" style="352" customWidth="1"/>
    <col min="2828" max="2828" width="9.6640625" style="352" customWidth="1"/>
    <col min="2829" max="2829" width="13.5546875" style="352" customWidth="1"/>
    <col min="2830" max="2830" width="10.5546875" style="352" customWidth="1"/>
    <col min="2831" max="2831" width="11.33203125" style="352" customWidth="1"/>
    <col min="2832" max="2832" width="8.6640625" style="352" customWidth="1"/>
    <col min="2833" max="2833" width="9" style="352" customWidth="1"/>
    <col min="2834" max="2834" width="6.6640625" style="352" customWidth="1"/>
    <col min="2835" max="2835" width="11.44140625" style="352" customWidth="1"/>
    <col min="2836" max="2836" width="12.33203125" style="352" customWidth="1"/>
    <col min="2837" max="2837" width="11.33203125" style="352" customWidth="1"/>
    <col min="2838" max="2838" width="12.44140625" style="352" customWidth="1"/>
    <col min="2839" max="2839" width="13" style="352" customWidth="1"/>
    <col min="2840" max="2840" width="9.5546875" style="352" customWidth="1"/>
    <col min="2841" max="2841" width="11.44140625" style="352" customWidth="1"/>
    <col min="2842" max="3071" width="9.109375" style="352"/>
    <col min="3072" max="3072" width="9.44140625" style="352" customWidth="1"/>
    <col min="3073" max="3073" width="31.44140625" style="352" customWidth="1"/>
    <col min="3074" max="3079" width="0" style="352" hidden="1" customWidth="1"/>
    <col min="3080" max="3080" width="8.6640625" style="352" customWidth="1"/>
    <col min="3081" max="3081" width="8.109375" style="352" customWidth="1"/>
    <col min="3082" max="3082" width="14.44140625" style="352" customWidth="1"/>
    <col min="3083" max="3083" width="13.33203125" style="352" customWidth="1"/>
    <col min="3084" max="3084" width="9.6640625" style="352" customWidth="1"/>
    <col min="3085" max="3085" width="13.5546875" style="352" customWidth="1"/>
    <col min="3086" max="3086" width="10.5546875" style="352" customWidth="1"/>
    <col min="3087" max="3087" width="11.33203125" style="352" customWidth="1"/>
    <col min="3088" max="3088" width="8.6640625" style="352" customWidth="1"/>
    <col min="3089" max="3089" width="9" style="352" customWidth="1"/>
    <col min="3090" max="3090" width="6.6640625" style="352" customWidth="1"/>
    <col min="3091" max="3091" width="11.44140625" style="352" customWidth="1"/>
    <col min="3092" max="3092" width="12.33203125" style="352" customWidth="1"/>
    <col min="3093" max="3093" width="11.33203125" style="352" customWidth="1"/>
    <col min="3094" max="3094" width="12.44140625" style="352" customWidth="1"/>
    <col min="3095" max="3095" width="13" style="352" customWidth="1"/>
    <col min="3096" max="3096" width="9.5546875" style="352" customWidth="1"/>
    <col min="3097" max="3097" width="11.44140625" style="352" customWidth="1"/>
    <col min="3098" max="3327" width="9.109375" style="352"/>
    <col min="3328" max="3328" width="9.44140625" style="352" customWidth="1"/>
    <col min="3329" max="3329" width="31.44140625" style="352" customWidth="1"/>
    <col min="3330" max="3335" width="0" style="352" hidden="1" customWidth="1"/>
    <col min="3336" max="3336" width="8.6640625" style="352" customWidth="1"/>
    <col min="3337" max="3337" width="8.109375" style="352" customWidth="1"/>
    <col min="3338" max="3338" width="14.44140625" style="352" customWidth="1"/>
    <col min="3339" max="3339" width="13.33203125" style="352" customWidth="1"/>
    <col min="3340" max="3340" width="9.6640625" style="352" customWidth="1"/>
    <col min="3341" max="3341" width="13.5546875" style="352" customWidth="1"/>
    <col min="3342" max="3342" width="10.5546875" style="352" customWidth="1"/>
    <col min="3343" max="3343" width="11.33203125" style="352" customWidth="1"/>
    <col min="3344" max="3344" width="8.6640625" style="352" customWidth="1"/>
    <col min="3345" max="3345" width="9" style="352" customWidth="1"/>
    <col min="3346" max="3346" width="6.6640625" style="352" customWidth="1"/>
    <col min="3347" max="3347" width="11.44140625" style="352" customWidth="1"/>
    <col min="3348" max="3348" width="12.33203125" style="352" customWidth="1"/>
    <col min="3349" max="3349" width="11.33203125" style="352" customWidth="1"/>
    <col min="3350" max="3350" width="12.44140625" style="352" customWidth="1"/>
    <col min="3351" max="3351" width="13" style="352" customWidth="1"/>
    <col min="3352" max="3352" width="9.5546875" style="352" customWidth="1"/>
    <col min="3353" max="3353" width="11.44140625" style="352" customWidth="1"/>
    <col min="3354" max="3583" width="9.109375" style="352"/>
    <col min="3584" max="3584" width="9.44140625" style="352" customWidth="1"/>
    <col min="3585" max="3585" width="31.44140625" style="352" customWidth="1"/>
    <col min="3586" max="3591" width="0" style="352" hidden="1" customWidth="1"/>
    <col min="3592" max="3592" width="8.6640625" style="352" customWidth="1"/>
    <col min="3593" max="3593" width="8.109375" style="352" customWidth="1"/>
    <col min="3594" max="3594" width="14.44140625" style="352" customWidth="1"/>
    <col min="3595" max="3595" width="13.33203125" style="352" customWidth="1"/>
    <col min="3596" max="3596" width="9.6640625" style="352" customWidth="1"/>
    <col min="3597" max="3597" width="13.5546875" style="352" customWidth="1"/>
    <col min="3598" max="3598" width="10.5546875" style="352" customWidth="1"/>
    <col min="3599" max="3599" width="11.33203125" style="352" customWidth="1"/>
    <col min="3600" max="3600" width="8.6640625" style="352" customWidth="1"/>
    <col min="3601" max="3601" width="9" style="352" customWidth="1"/>
    <col min="3602" max="3602" width="6.6640625" style="352" customWidth="1"/>
    <col min="3603" max="3603" width="11.44140625" style="352" customWidth="1"/>
    <col min="3604" max="3604" width="12.33203125" style="352" customWidth="1"/>
    <col min="3605" max="3605" width="11.33203125" style="352" customWidth="1"/>
    <col min="3606" max="3606" width="12.44140625" style="352" customWidth="1"/>
    <col min="3607" max="3607" width="13" style="352" customWidth="1"/>
    <col min="3608" max="3608" width="9.5546875" style="352" customWidth="1"/>
    <col min="3609" max="3609" width="11.44140625" style="352" customWidth="1"/>
    <col min="3610" max="3839" width="9.109375" style="352"/>
    <col min="3840" max="3840" width="9.44140625" style="352" customWidth="1"/>
    <col min="3841" max="3841" width="31.44140625" style="352" customWidth="1"/>
    <col min="3842" max="3847" width="0" style="352" hidden="1" customWidth="1"/>
    <col min="3848" max="3848" width="8.6640625" style="352" customWidth="1"/>
    <col min="3849" max="3849" width="8.109375" style="352" customWidth="1"/>
    <col min="3850" max="3850" width="14.44140625" style="352" customWidth="1"/>
    <col min="3851" max="3851" width="13.33203125" style="352" customWidth="1"/>
    <col min="3852" max="3852" width="9.6640625" style="352" customWidth="1"/>
    <col min="3853" max="3853" width="13.5546875" style="352" customWidth="1"/>
    <col min="3854" max="3854" width="10.5546875" style="352" customWidth="1"/>
    <col min="3855" max="3855" width="11.33203125" style="352" customWidth="1"/>
    <col min="3856" max="3856" width="8.6640625" style="352" customWidth="1"/>
    <col min="3857" max="3857" width="9" style="352" customWidth="1"/>
    <col min="3858" max="3858" width="6.6640625" style="352" customWidth="1"/>
    <col min="3859" max="3859" width="11.44140625" style="352" customWidth="1"/>
    <col min="3860" max="3860" width="12.33203125" style="352" customWidth="1"/>
    <col min="3861" max="3861" width="11.33203125" style="352" customWidth="1"/>
    <col min="3862" max="3862" width="12.44140625" style="352" customWidth="1"/>
    <col min="3863" max="3863" width="13" style="352" customWidth="1"/>
    <col min="3864" max="3864" width="9.5546875" style="352" customWidth="1"/>
    <col min="3865" max="3865" width="11.44140625" style="352" customWidth="1"/>
    <col min="3866" max="4095" width="9.109375" style="352"/>
    <col min="4096" max="4096" width="9.44140625" style="352" customWidth="1"/>
    <col min="4097" max="4097" width="31.44140625" style="352" customWidth="1"/>
    <col min="4098" max="4103" width="0" style="352" hidden="1" customWidth="1"/>
    <col min="4104" max="4104" width="8.6640625" style="352" customWidth="1"/>
    <col min="4105" max="4105" width="8.109375" style="352" customWidth="1"/>
    <col min="4106" max="4106" width="14.44140625" style="352" customWidth="1"/>
    <col min="4107" max="4107" width="13.33203125" style="352" customWidth="1"/>
    <col min="4108" max="4108" width="9.6640625" style="352" customWidth="1"/>
    <col min="4109" max="4109" width="13.5546875" style="352" customWidth="1"/>
    <col min="4110" max="4110" width="10.5546875" style="352" customWidth="1"/>
    <col min="4111" max="4111" width="11.33203125" style="352" customWidth="1"/>
    <col min="4112" max="4112" width="8.6640625" style="352" customWidth="1"/>
    <col min="4113" max="4113" width="9" style="352" customWidth="1"/>
    <col min="4114" max="4114" width="6.6640625" style="352" customWidth="1"/>
    <col min="4115" max="4115" width="11.44140625" style="352" customWidth="1"/>
    <col min="4116" max="4116" width="12.33203125" style="352" customWidth="1"/>
    <col min="4117" max="4117" width="11.33203125" style="352" customWidth="1"/>
    <col min="4118" max="4118" width="12.44140625" style="352" customWidth="1"/>
    <col min="4119" max="4119" width="13" style="352" customWidth="1"/>
    <col min="4120" max="4120" width="9.5546875" style="352" customWidth="1"/>
    <col min="4121" max="4121" width="11.44140625" style="352" customWidth="1"/>
    <col min="4122" max="4351" width="9.109375" style="352"/>
    <col min="4352" max="4352" width="9.44140625" style="352" customWidth="1"/>
    <col min="4353" max="4353" width="31.44140625" style="352" customWidth="1"/>
    <col min="4354" max="4359" width="0" style="352" hidden="1" customWidth="1"/>
    <col min="4360" max="4360" width="8.6640625" style="352" customWidth="1"/>
    <col min="4361" max="4361" width="8.109375" style="352" customWidth="1"/>
    <col min="4362" max="4362" width="14.44140625" style="352" customWidth="1"/>
    <col min="4363" max="4363" width="13.33203125" style="352" customWidth="1"/>
    <col min="4364" max="4364" width="9.6640625" style="352" customWidth="1"/>
    <col min="4365" max="4365" width="13.5546875" style="352" customWidth="1"/>
    <col min="4366" max="4366" width="10.5546875" style="352" customWidth="1"/>
    <col min="4367" max="4367" width="11.33203125" style="352" customWidth="1"/>
    <col min="4368" max="4368" width="8.6640625" style="352" customWidth="1"/>
    <col min="4369" max="4369" width="9" style="352" customWidth="1"/>
    <col min="4370" max="4370" width="6.6640625" style="352" customWidth="1"/>
    <col min="4371" max="4371" width="11.44140625" style="352" customWidth="1"/>
    <col min="4372" max="4372" width="12.33203125" style="352" customWidth="1"/>
    <col min="4373" max="4373" width="11.33203125" style="352" customWidth="1"/>
    <col min="4374" max="4374" width="12.44140625" style="352" customWidth="1"/>
    <col min="4375" max="4375" width="13" style="352" customWidth="1"/>
    <col min="4376" max="4376" width="9.5546875" style="352" customWidth="1"/>
    <col min="4377" max="4377" width="11.44140625" style="352" customWidth="1"/>
    <col min="4378" max="4607" width="9.109375" style="352"/>
    <col min="4608" max="4608" width="9.44140625" style="352" customWidth="1"/>
    <col min="4609" max="4609" width="31.44140625" style="352" customWidth="1"/>
    <col min="4610" max="4615" width="0" style="352" hidden="1" customWidth="1"/>
    <col min="4616" max="4616" width="8.6640625" style="352" customWidth="1"/>
    <col min="4617" max="4617" width="8.109375" style="352" customWidth="1"/>
    <col min="4618" max="4618" width="14.44140625" style="352" customWidth="1"/>
    <col min="4619" max="4619" width="13.33203125" style="352" customWidth="1"/>
    <col min="4620" max="4620" width="9.6640625" style="352" customWidth="1"/>
    <col min="4621" max="4621" width="13.5546875" style="352" customWidth="1"/>
    <col min="4622" max="4622" width="10.5546875" style="352" customWidth="1"/>
    <col min="4623" max="4623" width="11.33203125" style="352" customWidth="1"/>
    <col min="4624" max="4624" width="8.6640625" style="352" customWidth="1"/>
    <col min="4625" max="4625" width="9" style="352" customWidth="1"/>
    <col min="4626" max="4626" width="6.6640625" style="352" customWidth="1"/>
    <col min="4627" max="4627" width="11.44140625" style="352" customWidth="1"/>
    <col min="4628" max="4628" width="12.33203125" style="352" customWidth="1"/>
    <col min="4629" max="4629" width="11.33203125" style="352" customWidth="1"/>
    <col min="4630" max="4630" width="12.44140625" style="352" customWidth="1"/>
    <col min="4631" max="4631" width="13" style="352" customWidth="1"/>
    <col min="4632" max="4632" width="9.5546875" style="352" customWidth="1"/>
    <col min="4633" max="4633" width="11.44140625" style="352" customWidth="1"/>
    <col min="4634" max="4863" width="9.109375" style="352"/>
    <col min="4864" max="4864" width="9.44140625" style="352" customWidth="1"/>
    <col min="4865" max="4865" width="31.44140625" style="352" customWidth="1"/>
    <col min="4866" max="4871" width="0" style="352" hidden="1" customWidth="1"/>
    <col min="4872" max="4872" width="8.6640625" style="352" customWidth="1"/>
    <col min="4873" max="4873" width="8.109375" style="352" customWidth="1"/>
    <col min="4874" max="4874" width="14.44140625" style="352" customWidth="1"/>
    <col min="4875" max="4875" width="13.33203125" style="352" customWidth="1"/>
    <col min="4876" max="4876" width="9.6640625" style="352" customWidth="1"/>
    <col min="4877" max="4877" width="13.5546875" style="352" customWidth="1"/>
    <col min="4878" max="4878" width="10.5546875" style="352" customWidth="1"/>
    <col min="4879" max="4879" width="11.33203125" style="352" customWidth="1"/>
    <col min="4880" max="4880" width="8.6640625" style="352" customWidth="1"/>
    <col min="4881" max="4881" width="9" style="352" customWidth="1"/>
    <col min="4882" max="4882" width="6.6640625" style="352" customWidth="1"/>
    <col min="4883" max="4883" width="11.44140625" style="352" customWidth="1"/>
    <col min="4884" max="4884" width="12.33203125" style="352" customWidth="1"/>
    <col min="4885" max="4885" width="11.33203125" style="352" customWidth="1"/>
    <col min="4886" max="4886" width="12.44140625" style="352" customWidth="1"/>
    <col min="4887" max="4887" width="13" style="352" customWidth="1"/>
    <col min="4888" max="4888" width="9.5546875" style="352" customWidth="1"/>
    <col min="4889" max="4889" width="11.44140625" style="352" customWidth="1"/>
    <col min="4890" max="5119" width="9.109375" style="352"/>
    <col min="5120" max="5120" width="9.44140625" style="352" customWidth="1"/>
    <col min="5121" max="5121" width="31.44140625" style="352" customWidth="1"/>
    <col min="5122" max="5127" width="0" style="352" hidden="1" customWidth="1"/>
    <col min="5128" max="5128" width="8.6640625" style="352" customWidth="1"/>
    <col min="5129" max="5129" width="8.109375" style="352" customWidth="1"/>
    <col min="5130" max="5130" width="14.44140625" style="352" customWidth="1"/>
    <col min="5131" max="5131" width="13.33203125" style="352" customWidth="1"/>
    <col min="5132" max="5132" width="9.6640625" style="352" customWidth="1"/>
    <col min="5133" max="5133" width="13.5546875" style="352" customWidth="1"/>
    <col min="5134" max="5134" width="10.5546875" style="352" customWidth="1"/>
    <col min="5135" max="5135" width="11.33203125" style="352" customWidth="1"/>
    <col min="5136" max="5136" width="8.6640625" style="352" customWidth="1"/>
    <col min="5137" max="5137" width="9" style="352" customWidth="1"/>
    <col min="5138" max="5138" width="6.6640625" style="352" customWidth="1"/>
    <col min="5139" max="5139" width="11.44140625" style="352" customWidth="1"/>
    <col min="5140" max="5140" width="12.33203125" style="352" customWidth="1"/>
    <col min="5141" max="5141" width="11.33203125" style="352" customWidth="1"/>
    <col min="5142" max="5142" width="12.44140625" style="352" customWidth="1"/>
    <col min="5143" max="5143" width="13" style="352" customWidth="1"/>
    <col min="5144" max="5144" width="9.5546875" style="352" customWidth="1"/>
    <col min="5145" max="5145" width="11.44140625" style="352" customWidth="1"/>
    <col min="5146" max="5375" width="9.109375" style="352"/>
    <col min="5376" max="5376" width="9.44140625" style="352" customWidth="1"/>
    <col min="5377" max="5377" width="31.44140625" style="352" customWidth="1"/>
    <col min="5378" max="5383" width="0" style="352" hidden="1" customWidth="1"/>
    <col min="5384" max="5384" width="8.6640625" style="352" customWidth="1"/>
    <col min="5385" max="5385" width="8.109375" style="352" customWidth="1"/>
    <col min="5386" max="5386" width="14.44140625" style="352" customWidth="1"/>
    <col min="5387" max="5387" width="13.33203125" style="352" customWidth="1"/>
    <col min="5388" max="5388" width="9.6640625" style="352" customWidth="1"/>
    <col min="5389" max="5389" width="13.5546875" style="352" customWidth="1"/>
    <col min="5390" max="5390" width="10.5546875" style="352" customWidth="1"/>
    <col min="5391" max="5391" width="11.33203125" style="352" customWidth="1"/>
    <col min="5392" max="5392" width="8.6640625" style="352" customWidth="1"/>
    <col min="5393" max="5393" width="9" style="352" customWidth="1"/>
    <col min="5394" max="5394" width="6.6640625" style="352" customWidth="1"/>
    <col min="5395" max="5395" width="11.44140625" style="352" customWidth="1"/>
    <col min="5396" max="5396" width="12.33203125" style="352" customWidth="1"/>
    <col min="5397" max="5397" width="11.33203125" style="352" customWidth="1"/>
    <col min="5398" max="5398" width="12.44140625" style="352" customWidth="1"/>
    <col min="5399" max="5399" width="13" style="352" customWidth="1"/>
    <col min="5400" max="5400" width="9.5546875" style="352" customWidth="1"/>
    <col min="5401" max="5401" width="11.44140625" style="352" customWidth="1"/>
    <col min="5402" max="5631" width="9.109375" style="352"/>
    <col min="5632" max="5632" width="9.44140625" style="352" customWidth="1"/>
    <col min="5633" max="5633" width="31.44140625" style="352" customWidth="1"/>
    <col min="5634" max="5639" width="0" style="352" hidden="1" customWidth="1"/>
    <col min="5640" max="5640" width="8.6640625" style="352" customWidth="1"/>
    <col min="5641" max="5641" width="8.109375" style="352" customWidth="1"/>
    <col min="5642" max="5642" width="14.44140625" style="352" customWidth="1"/>
    <col min="5643" max="5643" width="13.33203125" style="352" customWidth="1"/>
    <col min="5644" max="5644" width="9.6640625" style="352" customWidth="1"/>
    <col min="5645" max="5645" width="13.5546875" style="352" customWidth="1"/>
    <col min="5646" max="5646" width="10.5546875" style="352" customWidth="1"/>
    <col min="5647" max="5647" width="11.33203125" style="352" customWidth="1"/>
    <col min="5648" max="5648" width="8.6640625" style="352" customWidth="1"/>
    <col min="5649" max="5649" width="9" style="352" customWidth="1"/>
    <col min="5650" max="5650" width="6.6640625" style="352" customWidth="1"/>
    <col min="5651" max="5651" width="11.44140625" style="352" customWidth="1"/>
    <col min="5652" max="5652" width="12.33203125" style="352" customWidth="1"/>
    <col min="5653" max="5653" width="11.33203125" style="352" customWidth="1"/>
    <col min="5654" max="5654" width="12.44140625" style="352" customWidth="1"/>
    <col min="5655" max="5655" width="13" style="352" customWidth="1"/>
    <col min="5656" max="5656" width="9.5546875" style="352" customWidth="1"/>
    <col min="5657" max="5657" width="11.44140625" style="352" customWidth="1"/>
    <col min="5658" max="5887" width="9.109375" style="352"/>
    <col min="5888" max="5888" width="9.44140625" style="352" customWidth="1"/>
    <col min="5889" max="5889" width="31.44140625" style="352" customWidth="1"/>
    <col min="5890" max="5895" width="0" style="352" hidden="1" customWidth="1"/>
    <col min="5896" max="5896" width="8.6640625" style="352" customWidth="1"/>
    <col min="5897" max="5897" width="8.109375" style="352" customWidth="1"/>
    <col min="5898" max="5898" width="14.44140625" style="352" customWidth="1"/>
    <col min="5899" max="5899" width="13.33203125" style="352" customWidth="1"/>
    <col min="5900" max="5900" width="9.6640625" style="352" customWidth="1"/>
    <col min="5901" max="5901" width="13.5546875" style="352" customWidth="1"/>
    <col min="5902" max="5902" width="10.5546875" style="352" customWidth="1"/>
    <col min="5903" max="5903" width="11.33203125" style="352" customWidth="1"/>
    <col min="5904" max="5904" width="8.6640625" style="352" customWidth="1"/>
    <col min="5905" max="5905" width="9" style="352" customWidth="1"/>
    <col min="5906" max="5906" width="6.6640625" style="352" customWidth="1"/>
    <col min="5907" max="5907" width="11.44140625" style="352" customWidth="1"/>
    <col min="5908" max="5908" width="12.33203125" style="352" customWidth="1"/>
    <col min="5909" max="5909" width="11.33203125" style="352" customWidth="1"/>
    <col min="5910" max="5910" width="12.44140625" style="352" customWidth="1"/>
    <col min="5911" max="5911" width="13" style="352" customWidth="1"/>
    <col min="5912" max="5912" width="9.5546875" style="352" customWidth="1"/>
    <col min="5913" max="5913" width="11.44140625" style="352" customWidth="1"/>
    <col min="5914" max="6143" width="9.109375" style="352"/>
    <col min="6144" max="6144" width="9.44140625" style="352" customWidth="1"/>
    <col min="6145" max="6145" width="31.44140625" style="352" customWidth="1"/>
    <col min="6146" max="6151" width="0" style="352" hidden="1" customWidth="1"/>
    <col min="6152" max="6152" width="8.6640625" style="352" customWidth="1"/>
    <col min="6153" max="6153" width="8.109375" style="352" customWidth="1"/>
    <col min="6154" max="6154" width="14.44140625" style="352" customWidth="1"/>
    <col min="6155" max="6155" width="13.33203125" style="352" customWidth="1"/>
    <col min="6156" max="6156" width="9.6640625" style="352" customWidth="1"/>
    <col min="6157" max="6157" width="13.5546875" style="352" customWidth="1"/>
    <col min="6158" max="6158" width="10.5546875" style="352" customWidth="1"/>
    <col min="6159" max="6159" width="11.33203125" style="352" customWidth="1"/>
    <col min="6160" max="6160" width="8.6640625" style="352" customWidth="1"/>
    <col min="6161" max="6161" width="9" style="352" customWidth="1"/>
    <col min="6162" max="6162" width="6.6640625" style="352" customWidth="1"/>
    <col min="6163" max="6163" width="11.44140625" style="352" customWidth="1"/>
    <col min="6164" max="6164" width="12.33203125" style="352" customWidth="1"/>
    <col min="6165" max="6165" width="11.33203125" style="352" customWidth="1"/>
    <col min="6166" max="6166" width="12.44140625" style="352" customWidth="1"/>
    <col min="6167" max="6167" width="13" style="352" customWidth="1"/>
    <col min="6168" max="6168" width="9.5546875" style="352" customWidth="1"/>
    <col min="6169" max="6169" width="11.44140625" style="352" customWidth="1"/>
    <col min="6170" max="6399" width="9.109375" style="352"/>
    <col min="6400" max="6400" width="9.44140625" style="352" customWidth="1"/>
    <col min="6401" max="6401" width="31.44140625" style="352" customWidth="1"/>
    <col min="6402" max="6407" width="0" style="352" hidden="1" customWidth="1"/>
    <col min="6408" max="6408" width="8.6640625" style="352" customWidth="1"/>
    <col min="6409" max="6409" width="8.109375" style="352" customWidth="1"/>
    <col min="6410" max="6410" width="14.44140625" style="352" customWidth="1"/>
    <col min="6411" max="6411" width="13.33203125" style="352" customWidth="1"/>
    <col min="6412" max="6412" width="9.6640625" style="352" customWidth="1"/>
    <col min="6413" max="6413" width="13.5546875" style="352" customWidth="1"/>
    <col min="6414" max="6414" width="10.5546875" style="352" customWidth="1"/>
    <col min="6415" max="6415" width="11.33203125" style="352" customWidth="1"/>
    <col min="6416" max="6416" width="8.6640625" style="352" customWidth="1"/>
    <col min="6417" max="6417" width="9" style="352" customWidth="1"/>
    <col min="6418" max="6418" width="6.6640625" style="352" customWidth="1"/>
    <col min="6419" max="6419" width="11.44140625" style="352" customWidth="1"/>
    <col min="6420" max="6420" width="12.33203125" style="352" customWidth="1"/>
    <col min="6421" max="6421" width="11.33203125" style="352" customWidth="1"/>
    <col min="6422" max="6422" width="12.44140625" style="352" customWidth="1"/>
    <col min="6423" max="6423" width="13" style="352" customWidth="1"/>
    <col min="6424" max="6424" width="9.5546875" style="352" customWidth="1"/>
    <col min="6425" max="6425" width="11.44140625" style="352" customWidth="1"/>
    <col min="6426" max="6655" width="9.109375" style="352"/>
    <col min="6656" max="6656" width="9.44140625" style="352" customWidth="1"/>
    <col min="6657" max="6657" width="31.44140625" style="352" customWidth="1"/>
    <col min="6658" max="6663" width="0" style="352" hidden="1" customWidth="1"/>
    <col min="6664" max="6664" width="8.6640625" style="352" customWidth="1"/>
    <col min="6665" max="6665" width="8.109375" style="352" customWidth="1"/>
    <col min="6666" max="6666" width="14.44140625" style="352" customWidth="1"/>
    <col min="6667" max="6667" width="13.33203125" style="352" customWidth="1"/>
    <col min="6668" max="6668" width="9.6640625" style="352" customWidth="1"/>
    <col min="6669" max="6669" width="13.5546875" style="352" customWidth="1"/>
    <col min="6670" max="6670" width="10.5546875" style="352" customWidth="1"/>
    <col min="6671" max="6671" width="11.33203125" style="352" customWidth="1"/>
    <col min="6672" max="6672" width="8.6640625" style="352" customWidth="1"/>
    <col min="6673" max="6673" width="9" style="352" customWidth="1"/>
    <col min="6674" max="6674" width="6.6640625" style="352" customWidth="1"/>
    <col min="6675" max="6675" width="11.44140625" style="352" customWidth="1"/>
    <col min="6676" max="6676" width="12.33203125" style="352" customWidth="1"/>
    <col min="6677" max="6677" width="11.33203125" style="352" customWidth="1"/>
    <col min="6678" max="6678" width="12.44140625" style="352" customWidth="1"/>
    <col min="6679" max="6679" width="13" style="352" customWidth="1"/>
    <col min="6680" max="6680" width="9.5546875" style="352" customWidth="1"/>
    <col min="6681" max="6681" width="11.44140625" style="352" customWidth="1"/>
    <col min="6682" max="6911" width="9.109375" style="352"/>
    <col min="6912" max="6912" width="9.44140625" style="352" customWidth="1"/>
    <col min="6913" max="6913" width="31.44140625" style="352" customWidth="1"/>
    <col min="6914" max="6919" width="0" style="352" hidden="1" customWidth="1"/>
    <col min="6920" max="6920" width="8.6640625" style="352" customWidth="1"/>
    <col min="6921" max="6921" width="8.109375" style="352" customWidth="1"/>
    <col min="6922" max="6922" width="14.44140625" style="352" customWidth="1"/>
    <col min="6923" max="6923" width="13.33203125" style="352" customWidth="1"/>
    <col min="6924" max="6924" width="9.6640625" style="352" customWidth="1"/>
    <col min="6925" max="6925" width="13.5546875" style="352" customWidth="1"/>
    <col min="6926" max="6926" width="10.5546875" style="352" customWidth="1"/>
    <col min="6927" max="6927" width="11.33203125" style="352" customWidth="1"/>
    <col min="6928" max="6928" width="8.6640625" style="352" customWidth="1"/>
    <col min="6929" max="6929" width="9" style="352" customWidth="1"/>
    <col min="6930" max="6930" width="6.6640625" style="352" customWidth="1"/>
    <col min="6931" max="6931" width="11.44140625" style="352" customWidth="1"/>
    <col min="6932" max="6932" width="12.33203125" style="352" customWidth="1"/>
    <col min="6933" max="6933" width="11.33203125" style="352" customWidth="1"/>
    <col min="6934" max="6934" width="12.44140625" style="352" customWidth="1"/>
    <col min="6935" max="6935" width="13" style="352" customWidth="1"/>
    <col min="6936" max="6936" width="9.5546875" style="352" customWidth="1"/>
    <col min="6937" max="6937" width="11.44140625" style="352" customWidth="1"/>
    <col min="6938" max="7167" width="9.109375" style="352"/>
    <col min="7168" max="7168" width="9.44140625" style="352" customWidth="1"/>
    <col min="7169" max="7169" width="31.44140625" style="352" customWidth="1"/>
    <col min="7170" max="7175" width="0" style="352" hidden="1" customWidth="1"/>
    <col min="7176" max="7176" width="8.6640625" style="352" customWidth="1"/>
    <col min="7177" max="7177" width="8.109375" style="352" customWidth="1"/>
    <col min="7178" max="7178" width="14.44140625" style="352" customWidth="1"/>
    <col min="7179" max="7179" width="13.33203125" style="352" customWidth="1"/>
    <col min="7180" max="7180" width="9.6640625" style="352" customWidth="1"/>
    <col min="7181" max="7181" width="13.5546875" style="352" customWidth="1"/>
    <col min="7182" max="7182" width="10.5546875" style="352" customWidth="1"/>
    <col min="7183" max="7183" width="11.33203125" style="352" customWidth="1"/>
    <col min="7184" max="7184" width="8.6640625" style="352" customWidth="1"/>
    <col min="7185" max="7185" width="9" style="352" customWidth="1"/>
    <col min="7186" max="7186" width="6.6640625" style="352" customWidth="1"/>
    <col min="7187" max="7187" width="11.44140625" style="352" customWidth="1"/>
    <col min="7188" max="7188" width="12.33203125" style="352" customWidth="1"/>
    <col min="7189" max="7189" width="11.33203125" style="352" customWidth="1"/>
    <col min="7190" max="7190" width="12.44140625" style="352" customWidth="1"/>
    <col min="7191" max="7191" width="13" style="352" customWidth="1"/>
    <col min="7192" max="7192" width="9.5546875" style="352" customWidth="1"/>
    <col min="7193" max="7193" width="11.44140625" style="352" customWidth="1"/>
    <col min="7194" max="7423" width="9.109375" style="352"/>
    <col min="7424" max="7424" width="9.44140625" style="352" customWidth="1"/>
    <col min="7425" max="7425" width="31.44140625" style="352" customWidth="1"/>
    <col min="7426" max="7431" width="0" style="352" hidden="1" customWidth="1"/>
    <col min="7432" max="7432" width="8.6640625" style="352" customWidth="1"/>
    <col min="7433" max="7433" width="8.109375" style="352" customWidth="1"/>
    <col min="7434" max="7434" width="14.44140625" style="352" customWidth="1"/>
    <col min="7435" max="7435" width="13.33203125" style="352" customWidth="1"/>
    <col min="7436" max="7436" width="9.6640625" style="352" customWidth="1"/>
    <col min="7437" max="7437" width="13.5546875" style="352" customWidth="1"/>
    <col min="7438" max="7438" width="10.5546875" style="352" customWidth="1"/>
    <col min="7439" max="7439" width="11.33203125" style="352" customWidth="1"/>
    <col min="7440" max="7440" width="8.6640625" style="352" customWidth="1"/>
    <col min="7441" max="7441" width="9" style="352" customWidth="1"/>
    <col min="7442" max="7442" width="6.6640625" style="352" customWidth="1"/>
    <col min="7443" max="7443" width="11.44140625" style="352" customWidth="1"/>
    <col min="7444" max="7444" width="12.33203125" style="352" customWidth="1"/>
    <col min="7445" max="7445" width="11.33203125" style="352" customWidth="1"/>
    <col min="7446" max="7446" width="12.44140625" style="352" customWidth="1"/>
    <col min="7447" max="7447" width="13" style="352" customWidth="1"/>
    <col min="7448" max="7448" width="9.5546875" style="352" customWidth="1"/>
    <col min="7449" max="7449" width="11.44140625" style="352" customWidth="1"/>
    <col min="7450" max="7679" width="9.109375" style="352"/>
    <col min="7680" max="7680" width="9.44140625" style="352" customWidth="1"/>
    <col min="7681" max="7681" width="31.44140625" style="352" customWidth="1"/>
    <col min="7682" max="7687" width="0" style="352" hidden="1" customWidth="1"/>
    <col min="7688" max="7688" width="8.6640625" style="352" customWidth="1"/>
    <col min="7689" max="7689" width="8.109375" style="352" customWidth="1"/>
    <col min="7690" max="7690" width="14.44140625" style="352" customWidth="1"/>
    <col min="7691" max="7691" width="13.33203125" style="352" customWidth="1"/>
    <col min="7692" max="7692" width="9.6640625" style="352" customWidth="1"/>
    <col min="7693" max="7693" width="13.5546875" style="352" customWidth="1"/>
    <col min="7694" max="7694" width="10.5546875" style="352" customWidth="1"/>
    <col min="7695" max="7695" width="11.33203125" style="352" customWidth="1"/>
    <col min="7696" max="7696" width="8.6640625" style="352" customWidth="1"/>
    <col min="7697" max="7697" width="9" style="352" customWidth="1"/>
    <col min="7698" max="7698" width="6.6640625" style="352" customWidth="1"/>
    <col min="7699" max="7699" width="11.44140625" style="352" customWidth="1"/>
    <col min="7700" max="7700" width="12.33203125" style="352" customWidth="1"/>
    <col min="7701" max="7701" width="11.33203125" style="352" customWidth="1"/>
    <col min="7702" max="7702" width="12.44140625" style="352" customWidth="1"/>
    <col min="7703" max="7703" width="13" style="352" customWidth="1"/>
    <col min="7704" max="7704" width="9.5546875" style="352" customWidth="1"/>
    <col min="7705" max="7705" width="11.44140625" style="352" customWidth="1"/>
    <col min="7706" max="7935" width="9.109375" style="352"/>
    <col min="7936" max="7936" width="9.44140625" style="352" customWidth="1"/>
    <col min="7937" max="7937" width="31.44140625" style="352" customWidth="1"/>
    <col min="7938" max="7943" width="0" style="352" hidden="1" customWidth="1"/>
    <col min="7944" max="7944" width="8.6640625" style="352" customWidth="1"/>
    <col min="7945" max="7945" width="8.109375" style="352" customWidth="1"/>
    <col min="7946" max="7946" width="14.44140625" style="352" customWidth="1"/>
    <col min="7947" max="7947" width="13.33203125" style="352" customWidth="1"/>
    <col min="7948" max="7948" width="9.6640625" style="352" customWidth="1"/>
    <col min="7949" max="7949" width="13.5546875" style="352" customWidth="1"/>
    <col min="7950" max="7950" width="10.5546875" style="352" customWidth="1"/>
    <col min="7951" max="7951" width="11.33203125" style="352" customWidth="1"/>
    <col min="7952" max="7952" width="8.6640625" style="352" customWidth="1"/>
    <col min="7953" max="7953" width="9" style="352" customWidth="1"/>
    <col min="7954" max="7954" width="6.6640625" style="352" customWidth="1"/>
    <col min="7955" max="7955" width="11.44140625" style="352" customWidth="1"/>
    <col min="7956" max="7956" width="12.33203125" style="352" customWidth="1"/>
    <col min="7957" max="7957" width="11.33203125" style="352" customWidth="1"/>
    <col min="7958" max="7958" width="12.44140625" style="352" customWidth="1"/>
    <col min="7959" max="7959" width="13" style="352" customWidth="1"/>
    <col min="7960" max="7960" width="9.5546875" style="352" customWidth="1"/>
    <col min="7961" max="7961" width="11.44140625" style="352" customWidth="1"/>
    <col min="7962" max="8191" width="9.109375" style="352"/>
    <col min="8192" max="8192" width="9.44140625" style="352" customWidth="1"/>
    <col min="8193" max="8193" width="31.44140625" style="352" customWidth="1"/>
    <col min="8194" max="8199" width="0" style="352" hidden="1" customWidth="1"/>
    <col min="8200" max="8200" width="8.6640625" style="352" customWidth="1"/>
    <col min="8201" max="8201" width="8.109375" style="352" customWidth="1"/>
    <col min="8202" max="8202" width="14.44140625" style="352" customWidth="1"/>
    <col min="8203" max="8203" width="13.33203125" style="352" customWidth="1"/>
    <col min="8204" max="8204" width="9.6640625" style="352" customWidth="1"/>
    <col min="8205" max="8205" width="13.5546875" style="352" customWidth="1"/>
    <col min="8206" max="8206" width="10.5546875" style="352" customWidth="1"/>
    <col min="8207" max="8207" width="11.33203125" style="352" customWidth="1"/>
    <col min="8208" max="8208" width="8.6640625" style="352" customWidth="1"/>
    <col min="8209" max="8209" width="9" style="352" customWidth="1"/>
    <col min="8210" max="8210" width="6.6640625" style="352" customWidth="1"/>
    <col min="8211" max="8211" width="11.44140625" style="352" customWidth="1"/>
    <col min="8212" max="8212" width="12.33203125" style="352" customWidth="1"/>
    <col min="8213" max="8213" width="11.33203125" style="352" customWidth="1"/>
    <col min="8214" max="8214" width="12.44140625" style="352" customWidth="1"/>
    <col min="8215" max="8215" width="13" style="352" customWidth="1"/>
    <col min="8216" max="8216" width="9.5546875" style="352" customWidth="1"/>
    <col min="8217" max="8217" width="11.44140625" style="352" customWidth="1"/>
    <col min="8218" max="8447" width="9.109375" style="352"/>
    <col min="8448" max="8448" width="9.44140625" style="352" customWidth="1"/>
    <col min="8449" max="8449" width="31.44140625" style="352" customWidth="1"/>
    <col min="8450" max="8455" width="0" style="352" hidden="1" customWidth="1"/>
    <col min="8456" max="8456" width="8.6640625" style="352" customWidth="1"/>
    <col min="8457" max="8457" width="8.109375" style="352" customWidth="1"/>
    <col min="8458" max="8458" width="14.44140625" style="352" customWidth="1"/>
    <col min="8459" max="8459" width="13.33203125" style="352" customWidth="1"/>
    <col min="8460" max="8460" width="9.6640625" style="352" customWidth="1"/>
    <col min="8461" max="8461" width="13.5546875" style="352" customWidth="1"/>
    <col min="8462" max="8462" width="10.5546875" style="352" customWidth="1"/>
    <col min="8463" max="8463" width="11.33203125" style="352" customWidth="1"/>
    <col min="8464" max="8464" width="8.6640625" style="352" customWidth="1"/>
    <col min="8465" max="8465" width="9" style="352" customWidth="1"/>
    <col min="8466" max="8466" width="6.6640625" style="352" customWidth="1"/>
    <col min="8467" max="8467" width="11.44140625" style="352" customWidth="1"/>
    <col min="8468" max="8468" width="12.33203125" style="352" customWidth="1"/>
    <col min="8469" max="8469" width="11.33203125" style="352" customWidth="1"/>
    <col min="8470" max="8470" width="12.44140625" style="352" customWidth="1"/>
    <col min="8471" max="8471" width="13" style="352" customWidth="1"/>
    <col min="8472" max="8472" width="9.5546875" style="352" customWidth="1"/>
    <col min="8473" max="8473" width="11.44140625" style="352" customWidth="1"/>
    <col min="8474" max="8703" width="9.109375" style="352"/>
    <col min="8704" max="8704" width="9.44140625" style="352" customWidth="1"/>
    <col min="8705" max="8705" width="31.44140625" style="352" customWidth="1"/>
    <col min="8706" max="8711" width="0" style="352" hidden="1" customWidth="1"/>
    <col min="8712" max="8712" width="8.6640625" style="352" customWidth="1"/>
    <col min="8713" max="8713" width="8.109375" style="352" customWidth="1"/>
    <col min="8714" max="8714" width="14.44140625" style="352" customWidth="1"/>
    <col min="8715" max="8715" width="13.33203125" style="352" customWidth="1"/>
    <col min="8716" max="8716" width="9.6640625" style="352" customWidth="1"/>
    <col min="8717" max="8717" width="13.5546875" style="352" customWidth="1"/>
    <col min="8718" max="8718" width="10.5546875" style="352" customWidth="1"/>
    <col min="8719" max="8719" width="11.33203125" style="352" customWidth="1"/>
    <col min="8720" max="8720" width="8.6640625" style="352" customWidth="1"/>
    <col min="8721" max="8721" width="9" style="352" customWidth="1"/>
    <col min="8722" max="8722" width="6.6640625" style="352" customWidth="1"/>
    <col min="8723" max="8723" width="11.44140625" style="352" customWidth="1"/>
    <col min="8724" max="8724" width="12.33203125" style="352" customWidth="1"/>
    <col min="8725" max="8725" width="11.33203125" style="352" customWidth="1"/>
    <col min="8726" max="8726" width="12.44140625" style="352" customWidth="1"/>
    <col min="8727" max="8727" width="13" style="352" customWidth="1"/>
    <col min="8728" max="8728" width="9.5546875" style="352" customWidth="1"/>
    <col min="8729" max="8729" width="11.44140625" style="352" customWidth="1"/>
    <col min="8730" max="8959" width="9.109375" style="352"/>
    <col min="8960" max="8960" width="9.44140625" style="352" customWidth="1"/>
    <col min="8961" max="8961" width="31.44140625" style="352" customWidth="1"/>
    <col min="8962" max="8967" width="0" style="352" hidden="1" customWidth="1"/>
    <col min="8968" max="8968" width="8.6640625" style="352" customWidth="1"/>
    <col min="8969" max="8969" width="8.109375" style="352" customWidth="1"/>
    <col min="8970" max="8970" width="14.44140625" style="352" customWidth="1"/>
    <col min="8971" max="8971" width="13.33203125" style="352" customWidth="1"/>
    <col min="8972" max="8972" width="9.6640625" style="352" customWidth="1"/>
    <col min="8973" max="8973" width="13.5546875" style="352" customWidth="1"/>
    <col min="8974" max="8974" width="10.5546875" style="352" customWidth="1"/>
    <col min="8975" max="8975" width="11.33203125" style="352" customWidth="1"/>
    <col min="8976" max="8976" width="8.6640625" style="352" customWidth="1"/>
    <col min="8977" max="8977" width="9" style="352" customWidth="1"/>
    <col min="8978" max="8978" width="6.6640625" style="352" customWidth="1"/>
    <col min="8979" max="8979" width="11.44140625" style="352" customWidth="1"/>
    <col min="8980" max="8980" width="12.33203125" style="352" customWidth="1"/>
    <col min="8981" max="8981" width="11.33203125" style="352" customWidth="1"/>
    <col min="8982" max="8982" width="12.44140625" style="352" customWidth="1"/>
    <col min="8983" max="8983" width="13" style="352" customWidth="1"/>
    <col min="8984" max="8984" width="9.5546875" style="352" customWidth="1"/>
    <col min="8985" max="8985" width="11.44140625" style="352" customWidth="1"/>
    <col min="8986" max="9215" width="9.109375" style="352"/>
    <col min="9216" max="9216" width="9.44140625" style="352" customWidth="1"/>
    <col min="9217" max="9217" width="31.44140625" style="352" customWidth="1"/>
    <col min="9218" max="9223" width="0" style="352" hidden="1" customWidth="1"/>
    <col min="9224" max="9224" width="8.6640625" style="352" customWidth="1"/>
    <col min="9225" max="9225" width="8.109375" style="352" customWidth="1"/>
    <col min="9226" max="9226" width="14.44140625" style="352" customWidth="1"/>
    <col min="9227" max="9227" width="13.33203125" style="352" customWidth="1"/>
    <col min="9228" max="9228" width="9.6640625" style="352" customWidth="1"/>
    <col min="9229" max="9229" width="13.5546875" style="352" customWidth="1"/>
    <col min="9230" max="9230" width="10.5546875" style="352" customWidth="1"/>
    <col min="9231" max="9231" width="11.33203125" style="352" customWidth="1"/>
    <col min="9232" max="9232" width="8.6640625" style="352" customWidth="1"/>
    <col min="9233" max="9233" width="9" style="352" customWidth="1"/>
    <col min="9234" max="9234" width="6.6640625" style="352" customWidth="1"/>
    <col min="9235" max="9235" width="11.44140625" style="352" customWidth="1"/>
    <col min="9236" max="9236" width="12.33203125" style="352" customWidth="1"/>
    <col min="9237" max="9237" width="11.33203125" style="352" customWidth="1"/>
    <col min="9238" max="9238" width="12.44140625" style="352" customWidth="1"/>
    <col min="9239" max="9239" width="13" style="352" customWidth="1"/>
    <col min="9240" max="9240" width="9.5546875" style="352" customWidth="1"/>
    <col min="9241" max="9241" width="11.44140625" style="352" customWidth="1"/>
    <col min="9242" max="9471" width="9.109375" style="352"/>
    <col min="9472" max="9472" width="9.44140625" style="352" customWidth="1"/>
    <col min="9473" max="9473" width="31.44140625" style="352" customWidth="1"/>
    <col min="9474" max="9479" width="0" style="352" hidden="1" customWidth="1"/>
    <col min="9480" max="9480" width="8.6640625" style="352" customWidth="1"/>
    <col min="9481" max="9481" width="8.109375" style="352" customWidth="1"/>
    <col min="9482" max="9482" width="14.44140625" style="352" customWidth="1"/>
    <col min="9483" max="9483" width="13.33203125" style="352" customWidth="1"/>
    <col min="9484" max="9484" width="9.6640625" style="352" customWidth="1"/>
    <col min="9485" max="9485" width="13.5546875" style="352" customWidth="1"/>
    <col min="9486" max="9486" width="10.5546875" style="352" customWidth="1"/>
    <col min="9487" max="9487" width="11.33203125" style="352" customWidth="1"/>
    <col min="9488" max="9488" width="8.6640625" style="352" customWidth="1"/>
    <col min="9489" max="9489" width="9" style="352" customWidth="1"/>
    <col min="9490" max="9490" width="6.6640625" style="352" customWidth="1"/>
    <col min="9491" max="9491" width="11.44140625" style="352" customWidth="1"/>
    <col min="9492" max="9492" width="12.33203125" style="352" customWidth="1"/>
    <col min="9493" max="9493" width="11.33203125" style="352" customWidth="1"/>
    <col min="9494" max="9494" width="12.44140625" style="352" customWidth="1"/>
    <col min="9495" max="9495" width="13" style="352" customWidth="1"/>
    <col min="9496" max="9496" width="9.5546875" style="352" customWidth="1"/>
    <col min="9497" max="9497" width="11.44140625" style="352" customWidth="1"/>
    <col min="9498" max="9727" width="9.109375" style="352"/>
    <col min="9728" max="9728" width="9.44140625" style="352" customWidth="1"/>
    <col min="9729" max="9729" width="31.44140625" style="352" customWidth="1"/>
    <col min="9730" max="9735" width="0" style="352" hidden="1" customWidth="1"/>
    <col min="9736" max="9736" width="8.6640625" style="352" customWidth="1"/>
    <col min="9737" max="9737" width="8.109375" style="352" customWidth="1"/>
    <col min="9738" max="9738" width="14.44140625" style="352" customWidth="1"/>
    <col min="9739" max="9739" width="13.33203125" style="352" customWidth="1"/>
    <col min="9740" max="9740" width="9.6640625" style="352" customWidth="1"/>
    <col min="9741" max="9741" width="13.5546875" style="352" customWidth="1"/>
    <col min="9742" max="9742" width="10.5546875" style="352" customWidth="1"/>
    <col min="9743" max="9743" width="11.33203125" style="352" customWidth="1"/>
    <col min="9744" max="9744" width="8.6640625" style="352" customWidth="1"/>
    <col min="9745" max="9745" width="9" style="352" customWidth="1"/>
    <col min="9746" max="9746" width="6.6640625" style="352" customWidth="1"/>
    <col min="9747" max="9747" width="11.44140625" style="352" customWidth="1"/>
    <col min="9748" max="9748" width="12.33203125" style="352" customWidth="1"/>
    <col min="9749" max="9749" width="11.33203125" style="352" customWidth="1"/>
    <col min="9750" max="9750" width="12.44140625" style="352" customWidth="1"/>
    <col min="9751" max="9751" width="13" style="352" customWidth="1"/>
    <col min="9752" max="9752" width="9.5546875" style="352" customWidth="1"/>
    <col min="9753" max="9753" width="11.44140625" style="352" customWidth="1"/>
    <col min="9754" max="9983" width="9.109375" style="352"/>
    <col min="9984" max="9984" width="9.44140625" style="352" customWidth="1"/>
    <col min="9985" max="9985" width="31.44140625" style="352" customWidth="1"/>
    <col min="9986" max="9991" width="0" style="352" hidden="1" customWidth="1"/>
    <col min="9992" max="9992" width="8.6640625" style="352" customWidth="1"/>
    <col min="9993" max="9993" width="8.109375" style="352" customWidth="1"/>
    <col min="9994" max="9994" width="14.44140625" style="352" customWidth="1"/>
    <col min="9995" max="9995" width="13.33203125" style="352" customWidth="1"/>
    <col min="9996" max="9996" width="9.6640625" style="352" customWidth="1"/>
    <col min="9997" max="9997" width="13.5546875" style="352" customWidth="1"/>
    <col min="9998" max="9998" width="10.5546875" style="352" customWidth="1"/>
    <col min="9999" max="9999" width="11.33203125" style="352" customWidth="1"/>
    <col min="10000" max="10000" width="8.6640625" style="352" customWidth="1"/>
    <col min="10001" max="10001" width="9" style="352" customWidth="1"/>
    <col min="10002" max="10002" width="6.6640625" style="352" customWidth="1"/>
    <col min="10003" max="10003" width="11.44140625" style="352" customWidth="1"/>
    <col min="10004" max="10004" width="12.33203125" style="352" customWidth="1"/>
    <col min="10005" max="10005" width="11.33203125" style="352" customWidth="1"/>
    <col min="10006" max="10006" width="12.44140625" style="352" customWidth="1"/>
    <col min="10007" max="10007" width="13" style="352" customWidth="1"/>
    <col min="10008" max="10008" width="9.5546875" style="352" customWidth="1"/>
    <col min="10009" max="10009" width="11.44140625" style="352" customWidth="1"/>
    <col min="10010" max="10239" width="9.109375" style="352"/>
    <col min="10240" max="10240" width="9.44140625" style="352" customWidth="1"/>
    <col min="10241" max="10241" width="31.44140625" style="352" customWidth="1"/>
    <col min="10242" max="10247" width="0" style="352" hidden="1" customWidth="1"/>
    <col min="10248" max="10248" width="8.6640625" style="352" customWidth="1"/>
    <col min="10249" max="10249" width="8.109375" style="352" customWidth="1"/>
    <col min="10250" max="10250" width="14.44140625" style="352" customWidth="1"/>
    <col min="10251" max="10251" width="13.33203125" style="352" customWidth="1"/>
    <col min="10252" max="10252" width="9.6640625" style="352" customWidth="1"/>
    <col min="10253" max="10253" width="13.5546875" style="352" customWidth="1"/>
    <col min="10254" max="10254" width="10.5546875" style="352" customWidth="1"/>
    <col min="10255" max="10255" width="11.33203125" style="352" customWidth="1"/>
    <col min="10256" max="10256" width="8.6640625" style="352" customWidth="1"/>
    <col min="10257" max="10257" width="9" style="352" customWidth="1"/>
    <col min="10258" max="10258" width="6.6640625" style="352" customWidth="1"/>
    <col min="10259" max="10259" width="11.44140625" style="352" customWidth="1"/>
    <col min="10260" max="10260" width="12.33203125" style="352" customWidth="1"/>
    <col min="10261" max="10261" width="11.33203125" style="352" customWidth="1"/>
    <col min="10262" max="10262" width="12.44140625" style="352" customWidth="1"/>
    <col min="10263" max="10263" width="13" style="352" customWidth="1"/>
    <col min="10264" max="10264" width="9.5546875" style="352" customWidth="1"/>
    <col min="10265" max="10265" width="11.44140625" style="352" customWidth="1"/>
    <col min="10266" max="10495" width="9.109375" style="352"/>
    <col min="10496" max="10496" width="9.44140625" style="352" customWidth="1"/>
    <col min="10497" max="10497" width="31.44140625" style="352" customWidth="1"/>
    <col min="10498" max="10503" width="0" style="352" hidden="1" customWidth="1"/>
    <col min="10504" max="10504" width="8.6640625" style="352" customWidth="1"/>
    <col min="10505" max="10505" width="8.109375" style="352" customWidth="1"/>
    <col min="10506" max="10506" width="14.44140625" style="352" customWidth="1"/>
    <col min="10507" max="10507" width="13.33203125" style="352" customWidth="1"/>
    <col min="10508" max="10508" width="9.6640625" style="352" customWidth="1"/>
    <col min="10509" max="10509" width="13.5546875" style="352" customWidth="1"/>
    <col min="10510" max="10510" width="10.5546875" style="352" customWidth="1"/>
    <col min="10511" max="10511" width="11.33203125" style="352" customWidth="1"/>
    <col min="10512" max="10512" width="8.6640625" style="352" customWidth="1"/>
    <col min="10513" max="10513" width="9" style="352" customWidth="1"/>
    <col min="10514" max="10514" width="6.6640625" style="352" customWidth="1"/>
    <col min="10515" max="10515" width="11.44140625" style="352" customWidth="1"/>
    <col min="10516" max="10516" width="12.33203125" style="352" customWidth="1"/>
    <col min="10517" max="10517" width="11.33203125" style="352" customWidth="1"/>
    <col min="10518" max="10518" width="12.44140625" style="352" customWidth="1"/>
    <col min="10519" max="10519" width="13" style="352" customWidth="1"/>
    <col min="10520" max="10520" width="9.5546875" style="352" customWidth="1"/>
    <col min="10521" max="10521" width="11.44140625" style="352" customWidth="1"/>
    <col min="10522" max="10751" width="9.109375" style="352"/>
    <col min="10752" max="10752" width="9.44140625" style="352" customWidth="1"/>
    <col min="10753" max="10753" width="31.44140625" style="352" customWidth="1"/>
    <col min="10754" max="10759" width="0" style="352" hidden="1" customWidth="1"/>
    <col min="10760" max="10760" width="8.6640625" style="352" customWidth="1"/>
    <col min="10761" max="10761" width="8.109375" style="352" customWidth="1"/>
    <col min="10762" max="10762" width="14.44140625" style="352" customWidth="1"/>
    <col min="10763" max="10763" width="13.33203125" style="352" customWidth="1"/>
    <col min="10764" max="10764" width="9.6640625" style="352" customWidth="1"/>
    <col min="10765" max="10765" width="13.5546875" style="352" customWidth="1"/>
    <col min="10766" max="10766" width="10.5546875" style="352" customWidth="1"/>
    <col min="10767" max="10767" width="11.33203125" style="352" customWidth="1"/>
    <col min="10768" max="10768" width="8.6640625" style="352" customWidth="1"/>
    <col min="10769" max="10769" width="9" style="352" customWidth="1"/>
    <col min="10770" max="10770" width="6.6640625" style="352" customWidth="1"/>
    <col min="10771" max="10771" width="11.44140625" style="352" customWidth="1"/>
    <col min="10772" max="10772" width="12.33203125" style="352" customWidth="1"/>
    <col min="10773" max="10773" width="11.33203125" style="352" customWidth="1"/>
    <col min="10774" max="10774" width="12.44140625" style="352" customWidth="1"/>
    <col min="10775" max="10775" width="13" style="352" customWidth="1"/>
    <col min="10776" max="10776" width="9.5546875" style="352" customWidth="1"/>
    <col min="10777" max="10777" width="11.44140625" style="352" customWidth="1"/>
    <col min="10778" max="11007" width="9.109375" style="352"/>
    <col min="11008" max="11008" width="9.44140625" style="352" customWidth="1"/>
    <col min="11009" max="11009" width="31.44140625" style="352" customWidth="1"/>
    <col min="11010" max="11015" width="0" style="352" hidden="1" customWidth="1"/>
    <col min="11016" max="11016" width="8.6640625" style="352" customWidth="1"/>
    <col min="11017" max="11017" width="8.109375" style="352" customWidth="1"/>
    <col min="11018" max="11018" width="14.44140625" style="352" customWidth="1"/>
    <col min="11019" max="11019" width="13.33203125" style="352" customWidth="1"/>
    <col min="11020" max="11020" width="9.6640625" style="352" customWidth="1"/>
    <col min="11021" max="11021" width="13.5546875" style="352" customWidth="1"/>
    <col min="11022" max="11022" width="10.5546875" style="352" customWidth="1"/>
    <col min="11023" max="11023" width="11.33203125" style="352" customWidth="1"/>
    <col min="11024" max="11024" width="8.6640625" style="352" customWidth="1"/>
    <col min="11025" max="11025" width="9" style="352" customWidth="1"/>
    <col min="11026" max="11026" width="6.6640625" style="352" customWidth="1"/>
    <col min="11027" max="11027" width="11.44140625" style="352" customWidth="1"/>
    <col min="11028" max="11028" width="12.33203125" style="352" customWidth="1"/>
    <col min="11029" max="11029" width="11.33203125" style="352" customWidth="1"/>
    <col min="11030" max="11030" width="12.44140625" style="352" customWidth="1"/>
    <col min="11031" max="11031" width="13" style="352" customWidth="1"/>
    <col min="11032" max="11032" width="9.5546875" style="352" customWidth="1"/>
    <col min="11033" max="11033" width="11.44140625" style="352" customWidth="1"/>
    <col min="11034" max="11263" width="9.109375" style="352"/>
    <col min="11264" max="11264" width="9.44140625" style="352" customWidth="1"/>
    <col min="11265" max="11265" width="31.44140625" style="352" customWidth="1"/>
    <col min="11266" max="11271" width="0" style="352" hidden="1" customWidth="1"/>
    <col min="11272" max="11272" width="8.6640625" style="352" customWidth="1"/>
    <col min="11273" max="11273" width="8.109375" style="352" customWidth="1"/>
    <col min="11274" max="11274" width="14.44140625" style="352" customWidth="1"/>
    <col min="11275" max="11275" width="13.33203125" style="352" customWidth="1"/>
    <col min="11276" max="11276" width="9.6640625" style="352" customWidth="1"/>
    <col min="11277" max="11277" width="13.5546875" style="352" customWidth="1"/>
    <col min="11278" max="11278" width="10.5546875" style="352" customWidth="1"/>
    <col min="11279" max="11279" width="11.33203125" style="352" customWidth="1"/>
    <col min="11280" max="11280" width="8.6640625" style="352" customWidth="1"/>
    <col min="11281" max="11281" width="9" style="352" customWidth="1"/>
    <col min="11282" max="11282" width="6.6640625" style="352" customWidth="1"/>
    <col min="11283" max="11283" width="11.44140625" style="352" customWidth="1"/>
    <col min="11284" max="11284" width="12.33203125" style="352" customWidth="1"/>
    <col min="11285" max="11285" width="11.33203125" style="352" customWidth="1"/>
    <col min="11286" max="11286" width="12.44140625" style="352" customWidth="1"/>
    <col min="11287" max="11287" width="13" style="352" customWidth="1"/>
    <col min="11288" max="11288" width="9.5546875" style="352" customWidth="1"/>
    <col min="11289" max="11289" width="11.44140625" style="352" customWidth="1"/>
    <col min="11290" max="11519" width="9.109375" style="352"/>
    <col min="11520" max="11520" width="9.44140625" style="352" customWidth="1"/>
    <col min="11521" max="11521" width="31.44140625" style="352" customWidth="1"/>
    <col min="11522" max="11527" width="0" style="352" hidden="1" customWidth="1"/>
    <col min="11528" max="11528" width="8.6640625" style="352" customWidth="1"/>
    <col min="11529" max="11529" width="8.109375" style="352" customWidth="1"/>
    <col min="11530" max="11530" width="14.44140625" style="352" customWidth="1"/>
    <col min="11531" max="11531" width="13.33203125" style="352" customWidth="1"/>
    <col min="11532" max="11532" width="9.6640625" style="352" customWidth="1"/>
    <col min="11533" max="11533" width="13.5546875" style="352" customWidth="1"/>
    <col min="11534" max="11534" width="10.5546875" style="352" customWidth="1"/>
    <col min="11535" max="11535" width="11.33203125" style="352" customWidth="1"/>
    <col min="11536" max="11536" width="8.6640625" style="352" customWidth="1"/>
    <col min="11537" max="11537" width="9" style="352" customWidth="1"/>
    <col min="11538" max="11538" width="6.6640625" style="352" customWidth="1"/>
    <col min="11539" max="11539" width="11.44140625" style="352" customWidth="1"/>
    <col min="11540" max="11540" width="12.33203125" style="352" customWidth="1"/>
    <col min="11541" max="11541" width="11.33203125" style="352" customWidth="1"/>
    <col min="11542" max="11542" width="12.44140625" style="352" customWidth="1"/>
    <col min="11543" max="11543" width="13" style="352" customWidth="1"/>
    <col min="11544" max="11544" width="9.5546875" style="352" customWidth="1"/>
    <col min="11545" max="11545" width="11.44140625" style="352" customWidth="1"/>
    <col min="11546" max="11775" width="9.109375" style="352"/>
    <col min="11776" max="11776" width="9.44140625" style="352" customWidth="1"/>
    <col min="11777" max="11777" width="31.44140625" style="352" customWidth="1"/>
    <col min="11778" max="11783" width="0" style="352" hidden="1" customWidth="1"/>
    <col min="11784" max="11784" width="8.6640625" style="352" customWidth="1"/>
    <col min="11785" max="11785" width="8.109375" style="352" customWidth="1"/>
    <col min="11786" max="11786" width="14.44140625" style="352" customWidth="1"/>
    <col min="11787" max="11787" width="13.33203125" style="352" customWidth="1"/>
    <col min="11788" max="11788" width="9.6640625" style="352" customWidth="1"/>
    <col min="11789" max="11789" width="13.5546875" style="352" customWidth="1"/>
    <col min="11790" max="11790" width="10.5546875" style="352" customWidth="1"/>
    <col min="11791" max="11791" width="11.33203125" style="352" customWidth="1"/>
    <col min="11792" max="11792" width="8.6640625" style="352" customWidth="1"/>
    <col min="11793" max="11793" width="9" style="352" customWidth="1"/>
    <col min="11794" max="11794" width="6.6640625" style="352" customWidth="1"/>
    <col min="11795" max="11795" width="11.44140625" style="352" customWidth="1"/>
    <col min="11796" max="11796" width="12.33203125" style="352" customWidth="1"/>
    <col min="11797" max="11797" width="11.33203125" style="352" customWidth="1"/>
    <col min="11798" max="11798" width="12.44140625" style="352" customWidth="1"/>
    <col min="11799" max="11799" width="13" style="352" customWidth="1"/>
    <col min="11800" max="11800" width="9.5546875" style="352" customWidth="1"/>
    <col min="11801" max="11801" width="11.44140625" style="352" customWidth="1"/>
    <col min="11802" max="12031" width="9.109375" style="352"/>
    <col min="12032" max="12032" width="9.44140625" style="352" customWidth="1"/>
    <col min="12033" max="12033" width="31.44140625" style="352" customWidth="1"/>
    <col min="12034" max="12039" width="0" style="352" hidden="1" customWidth="1"/>
    <col min="12040" max="12040" width="8.6640625" style="352" customWidth="1"/>
    <col min="12041" max="12041" width="8.109375" style="352" customWidth="1"/>
    <col min="12042" max="12042" width="14.44140625" style="352" customWidth="1"/>
    <col min="12043" max="12043" width="13.33203125" style="352" customWidth="1"/>
    <col min="12044" max="12044" width="9.6640625" style="352" customWidth="1"/>
    <col min="12045" max="12045" width="13.5546875" style="352" customWidth="1"/>
    <col min="12046" max="12046" width="10.5546875" style="352" customWidth="1"/>
    <col min="12047" max="12047" width="11.33203125" style="352" customWidth="1"/>
    <col min="12048" max="12048" width="8.6640625" style="352" customWidth="1"/>
    <col min="12049" max="12049" width="9" style="352" customWidth="1"/>
    <col min="12050" max="12050" width="6.6640625" style="352" customWidth="1"/>
    <col min="12051" max="12051" width="11.44140625" style="352" customWidth="1"/>
    <col min="12052" max="12052" width="12.33203125" style="352" customWidth="1"/>
    <col min="12053" max="12053" width="11.33203125" style="352" customWidth="1"/>
    <col min="12054" max="12054" width="12.44140625" style="352" customWidth="1"/>
    <col min="12055" max="12055" width="13" style="352" customWidth="1"/>
    <col min="12056" max="12056" width="9.5546875" style="352" customWidth="1"/>
    <col min="12057" max="12057" width="11.44140625" style="352" customWidth="1"/>
    <col min="12058" max="12287" width="9.109375" style="352"/>
    <col min="12288" max="12288" width="9.44140625" style="352" customWidth="1"/>
    <col min="12289" max="12289" width="31.44140625" style="352" customWidth="1"/>
    <col min="12290" max="12295" width="0" style="352" hidden="1" customWidth="1"/>
    <col min="12296" max="12296" width="8.6640625" style="352" customWidth="1"/>
    <col min="12297" max="12297" width="8.109375" style="352" customWidth="1"/>
    <col min="12298" max="12298" width="14.44140625" style="352" customWidth="1"/>
    <col min="12299" max="12299" width="13.33203125" style="352" customWidth="1"/>
    <col min="12300" max="12300" width="9.6640625" style="352" customWidth="1"/>
    <col min="12301" max="12301" width="13.5546875" style="352" customWidth="1"/>
    <col min="12302" max="12302" width="10.5546875" style="352" customWidth="1"/>
    <col min="12303" max="12303" width="11.33203125" style="352" customWidth="1"/>
    <col min="12304" max="12304" width="8.6640625" style="352" customWidth="1"/>
    <col min="12305" max="12305" width="9" style="352" customWidth="1"/>
    <col min="12306" max="12306" width="6.6640625" style="352" customWidth="1"/>
    <col min="12307" max="12307" width="11.44140625" style="352" customWidth="1"/>
    <col min="12308" max="12308" width="12.33203125" style="352" customWidth="1"/>
    <col min="12309" max="12309" width="11.33203125" style="352" customWidth="1"/>
    <col min="12310" max="12310" width="12.44140625" style="352" customWidth="1"/>
    <col min="12311" max="12311" width="13" style="352" customWidth="1"/>
    <col min="12312" max="12312" width="9.5546875" style="352" customWidth="1"/>
    <col min="12313" max="12313" width="11.44140625" style="352" customWidth="1"/>
    <col min="12314" max="12543" width="9.109375" style="352"/>
    <col min="12544" max="12544" width="9.44140625" style="352" customWidth="1"/>
    <col min="12545" max="12545" width="31.44140625" style="352" customWidth="1"/>
    <col min="12546" max="12551" width="0" style="352" hidden="1" customWidth="1"/>
    <col min="12552" max="12552" width="8.6640625" style="352" customWidth="1"/>
    <col min="12553" max="12553" width="8.109375" style="352" customWidth="1"/>
    <col min="12554" max="12554" width="14.44140625" style="352" customWidth="1"/>
    <col min="12555" max="12555" width="13.33203125" style="352" customWidth="1"/>
    <col min="12556" max="12556" width="9.6640625" style="352" customWidth="1"/>
    <col min="12557" max="12557" width="13.5546875" style="352" customWidth="1"/>
    <col min="12558" max="12558" width="10.5546875" style="352" customWidth="1"/>
    <col min="12559" max="12559" width="11.33203125" style="352" customWidth="1"/>
    <col min="12560" max="12560" width="8.6640625" style="352" customWidth="1"/>
    <col min="12561" max="12561" width="9" style="352" customWidth="1"/>
    <col min="12562" max="12562" width="6.6640625" style="352" customWidth="1"/>
    <col min="12563" max="12563" width="11.44140625" style="352" customWidth="1"/>
    <col min="12564" max="12564" width="12.33203125" style="352" customWidth="1"/>
    <col min="12565" max="12565" width="11.33203125" style="352" customWidth="1"/>
    <col min="12566" max="12566" width="12.44140625" style="352" customWidth="1"/>
    <col min="12567" max="12567" width="13" style="352" customWidth="1"/>
    <col min="12568" max="12568" width="9.5546875" style="352" customWidth="1"/>
    <col min="12569" max="12569" width="11.44140625" style="352" customWidth="1"/>
    <col min="12570" max="12799" width="9.109375" style="352"/>
    <col min="12800" max="12800" width="9.44140625" style="352" customWidth="1"/>
    <col min="12801" max="12801" width="31.44140625" style="352" customWidth="1"/>
    <col min="12802" max="12807" width="0" style="352" hidden="1" customWidth="1"/>
    <col min="12808" max="12808" width="8.6640625" style="352" customWidth="1"/>
    <col min="12809" max="12809" width="8.109375" style="352" customWidth="1"/>
    <col min="12810" max="12810" width="14.44140625" style="352" customWidth="1"/>
    <col min="12811" max="12811" width="13.33203125" style="352" customWidth="1"/>
    <col min="12812" max="12812" width="9.6640625" style="352" customWidth="1"/>
    <col min="12813" max="12813" width="13.5546875" style="352" customWidth="1"/>
    <col min="12814" max="12814" width="10.5546875" style="352" customWidth="1"/>
    <col min="12815" max="12815" width="11.33203125" style="352" customWidth="1"/>
    <col min="12816" max="12816" width="8.6640625" style="352" customWidth="1"/>
    <col min="12817" max="12817" width="9" style="352" customWidth="1"/>
    <col min="12818" max="12818" width="6.6640625" style="352" customWidth="1"/>
    <col min="12819" max="12819" width="11.44140625" style="352" customWidth="1"/>
    <col min="12820" max="12820" width="12.33203125" style="352" customWidth="1"/>
    <col min="12821" max="12821" width="11.33203125" style="352" customWidth="1"/>
    <col min="12822" max="12822" width="12.44140625" style="352" customWidth="1"/>
    <col min="12823" max="12823" width="13" style="352" customWidth="1"/>
    <col min="12824" max="12824" width="9.5546875" style="352" customWidth="1"/>
    <col min="12825" max="12825" width="11.44140625" style="352" customWidth="1"/>
    <col min="12826" max="13055" width="9.109375" style="352"/>
    <col min="13056" max="13056" width="9.44140625" style="352" customWidth="1"/>
    <col min="13057" max="13057" width="31.44140625" style="352" customWidth="1"/>
    <col min="13058" max="13063" width="0" style="352" hidden="1" customWidth="1"/>
    <col min="13064" max="13064" width="8.6640625" style="352" customWidth="1"/>
    <col min="13065" max="13065" width="8.109375" style="352" customWidth="1"/>
    <col min="13066" max="13066" width="14.44140625" style="352" customWidth="1"/>
    <col min="13067" max="13067" width="13.33203125" style="352" customWidth="1"/>
    <col min="13068" max="13068" width="9.6640625" style="352" customWidth="1"/>
    <col min="13069" max="13069" width="13.5546875" style="352" customWidth="1"/>
    <col min="13070" max="13070" width="10.5546875" style="352" customWidth="1"/>
    <col min="13071" max="13071" width="11.33203125" style="352" customWidth="1"/>
    <col min="13072" max="13072" width="8.6640625" style="352" customWidth="1"/>
    <col min="13073" max="13073" width="9" style="352" customWidth="1"/>
    <col min="13074" max="13074" width="6.6640625" style="352" customWidth="1"/>
    <col min="13075" max="13075" width="11.44140625" style="352" customWidth="1"/>
    <col min="13076" max="13076" width="12.33203125" style="352" customWidth="1"/>
    <col min="13077" max="13077" width="11.33203125" style="352" customWidth="1"/>
    <col min="13078" max="13078" width="12.44140625" style="352" customWidth="1"/>
    <col min="13079" max="13079" width="13" style="352" customWidth="1"/>
    <col min="13080" max="13080" width="9.5546875" style="352" customWidth="1"/>
    <col min="13081" max="13081" width="11.44140625" style="352" customWidth="1"/>
    <col min="13082" max="13311" width="9.109375" style="352"/>
    <col min="13312" max="13312" width="9.44140625" style="352" customWidth="1"/>
    <col min="13313" max="13313" width="31.44140625" style="352" customWidth="1"/>
    <col min="13314" max="13319" width="0" style="352" hidden="1" customWidth="1"/>
    <col min="13320" max="13320" width="8.6640625" style="352" customWidth="1"/>
    <col min="13321" max="13321" width="8.109375" style="352" customWidth="1"/>
    <col min="13322" max="13322" width="14.44140625" style="352" customWidth="1"/>
    <col min="13323" max="13323" width="13.33203125" style="352" customWidth="1"/>
    <col min="13324" max="13324" width="9.6640625" style="352" customWidth="1"/>
    <col min="13325" max="13325" width="13.5546875" style="352" customWidth="1"/>
    <col min="13326" max="13326" width="10.5546875" style="352" customWidth="1"/>
    <col min="13327" max="13327" width="11.33203125" style="352" customWidth="1"/>
    <col min="13328" max="13328" width="8.6640625" style="352" customWidth="1"/>
    <col min="13329" max="13329" width="9" style="352" customWidth="1"/>
    <col min="13330" max="13330" width="6.6640625" style="352" customWidth="1"/>
    <col min="13331" max="13331" width="11.44140625" style="352" customWidth="1"/>
    <col min="13332" max="13332" width="12.33203125" style="352" customWidth="1"/>
    <col min="13333" max="13333" width="11.33203125" style="352" customWidth="1"/>
    <col min="13334" max="13334" width="12.44140625" style="352" customWidth="1"/>
    <col min="13335" max="13335" width="13" style="352" customWidth="1"/>
    <col min="13336" max="13336" width="9.5546875" style="352" customWidth="1"/>
    <col min="13337" max="13337" width="11.44140625" style="352" customWidth="1"/>
    <col min="13338" max="13567" width="9.109375" style="352"/>
    <col min="13568" max="13568" width="9.44140625" style="352" customWidth="1"/>
    <col min="13569" max="13569" width="31.44140625" style="352" customWidth="1"/>
    <col min="13570" max="13575" width="0" style="352" hidden="1" customWidth="1"/>
    <col min="13576" max="13576" width="8.6640625" style="352" customWidth="1"/>
    <col min="13577" max="13577" width="8.109375" style="352" customWidth="1"/>
    <col min="13578" max="13578" width="14.44140625" style="352" customWidth="1"/>
    <col min="13579" max="13579" width="13.33203125" style="352" customWidth="1"/>
    <col min="13580" max="13580" width="9.6640625" style="352" customWidth="1"/>
    <col min="13581" max="13581" width="13.5546875" style="352" customWidth="1"/>
    <col min="13582" max="13582" width="10.5546875" style="352" customWidth="1"/>
    <col min="13583" max="13583" width="11.33203125" style="352" customWidth="1"/>
    <col min="13584" max="13584" width="8.6640625" style="352" customWidth="1"/>
    <col min="13585" max="13585" width="9" style="352" customWidth="1"/>
    <col min="13586" max="13586" width="6.6640625" style="352" customWidth="1"/>
    <col min="13587" max="13587" width="11.44140625" style="352" customWidth="1"/>
    <col min="13588" max="13588" width="12.33203125" style="352" customWidth="1"/>
    <col min="13589" max="13589" width="11.33203125" style="352" customWidth="1"/>
    <col min="13590" max="13590" width="12.44140625" style="352" customWidth="1"/>
    <col min="13591" max="13591" width="13" style="352" customWidth="1"/>
    <col min="13592" max="13592" width="9.5546875" style="352" customWidth="1"/>
    <col min="13593" max="13593" width="11.44140625" style="352" customWidth="1"/>
    <col min="13594" max="13823" width="9.109375" style="352"/>
    <col min="13824" max="13824" width="9.44140625" style="352" customWidth="1"/>
    <col min="13825" max="13825" width="31.44140625" style="352" customWidth="1"/>
    <col min="13826" max="13831" width="0" style="352" hidden="1" customWidth="1"/>
    <col min="13832" max="13832" width="8.6640625" style="352" customWidth="1"/>
    <col min="13833" max="13833" width="8.109375" style="352" customWidth="1"/>
    <col min="13834" max="13834" width="14.44140625" style="352" customWidth="1"/>
    <col min="13835" max="13835" width="13.33203125" style="352" customWidth="1"/>
    <col min="13836" max="13836" width="9.6640625" style="352" customWidth="1"/>
    <col min="13837" max="13837" width="13.5546875" style="352" customWidth="1"/>
    <col min="13838" max="13838" width="10.5546875" style="352" customWidth="1"/>
    <col min="13839" max="13839" width="11.33203125" style="352" customWidth="1"/>
    <col min="13840" max="13840" width="8.6640625" style="352" customWidth="1"/>
    <col min="13841" max="13841" width="9" style="352" customWidth="1"/>
    <col min="13842" max="13842" width="6.6640625" style="352" customWidth="1"/>
    <col min="13843" max="13843" width="11.44140625" style="352" customWidth="1"/>
    <col min="13844" max="13844" width="12.33203125" style="352" customWidth="1"/>
    <col min="13845" max="13845" width="11.33203125" style="352" customWidth="1"/>
    <col min="13846" max="13846" width="12.44140625" style="352" customWidth="1"/>
    <col min="13847" max="13847" width="13" style="352" customWidth="1"/>
    <col min="13848" max="13848" width="9.5546875" style="352" customWidth="1"/>
    <col min="13849" max="13849" width="11.44140625" style="352" customWidth="1"/>
    <col min="13850" max="14079" width="9.109375" style="352"/>
    <col min="14080" max="14080" width="9.44140625" style="352" customWidth="1"/>
    <col min="14081" max="14081" width="31.44140625" style="352" customWidth="1"/>
    <col min="14082" max="14087" width="0" style="352" hidden="1" customWidth="1"/>
    <col min="14088" max="14088" width="8.6640625" style="352" customWidth="1"/>
    <col min="14089" max="14089" width="8.109375" style="352" customWidth="1"/>
    <col min="14090" max="14090" width="14.44140625" style="352" customWidth="1"/>
    <col min="14091" max="14091" width="13.33203125" style="352" customWidth="1"/>
    <col min="14092" max="14092" width="9.6640625" style="352" customWidth="1"/>
    <col min="14093" max="14093" width="13.5546875" style="352" customWidth="1"/>
    <col min="14094" max="14094" width="10.5546875" style="352" customWidth="1"/>
    <col min="14095" max="14095" width="11.33203125" style="352" customWidth="1"/>
    <col min="14096" max="14096" width="8.6640625" style="352" customWidth="1"/>
    <col min="14097" max="14097" width="9" style="352" customWidth="1"/>
    <col min="14098" max="14098" width="6.6640625" style="352" customWidth="1"/>
    <col min="14099" max="14099" width="11.44140625" style="352" customWidth="1"/>
    <col min="14100" max="14100" width="12.33203125" style="352" customWidth="1"/>
    <col min="14101" max="14101" width="11.33203125" style="352" customWidth="1"/>
    <col min="14102" max="14102" width="12.44140625" style="352" customWidth="1"/>
    <col min="14103" max="14103" width="13" style="352" customWidth="1"/>
    <col min="14104" max="14104" width="9.5546875" style="352" customWidth="1"/>
    <col min="14105" max="14105" width="11.44140625" style="352" customWidth="1"/>
    <col min="14106" max="14335" width="9.109375" style="352"/>
    <col min="14336" max="14336" width="9.44140625" style="352" customWidth="1"/>
    <col min="14337" max="14337" width="31.44140625" style="352" customWidth="1"/>
    <col min="14338" max="14343" width="0" style="352" hidden="1" customWidth="1"/>
    <col min="14344" max="14344" width="8.6640625" style="352" customWidth="1"/>
    <col min="14345" max="14345" width="8.109375" style="352" customWidth="1"/>
    <col min="14346" max="14346" width="14.44140625" style="352" customWidth="1"/>
    <col min="14347" max="14347" width="13.33203125" style="352" customWidth="1"/>
    <col min="14348" max="14348" width="9.6640625" style="352" customWidth="1"/>
    <col min="14349" max="14349" width="13.5546875" style="352" customWidth="1"/>
    <col min="14350" max="14350" width="10.5546875" style="352" customWidth="1"/>
    <col min="14351" max="14351" width="11.33203125" style="352" customWidth="1"/>
    <col min="14352" max="14352" width="8.6640625" style="352" customWidth="1"/>
    <col min="14353" max="14353" width="9" style="352" customWidth="1"/>
    <col min="14354" max="14354" width="6.6640625" style="352" customWidth="1"/>
    <col min="14355" max="14355" width="11.44140625" style="352" customWidth="1"/>
    <col min="14356" max="14356" width="12.33203125" style="352" customWidth="1"/>
    <col min="14357" max="14357" width="11.33203125" style="352" customWidth="1"/>
    <col min="14358" max="14358" width="12.44140625" style="352" customWidth="1"/>
    <col min="14359" max="14359" width="13" style="352" customWidth="1"/>
    <col min="14360" max="14360" width="9.5546875" style="352" customWidth="1"/>
    <col min="14361" max="14361" width="11.44140625" style="352" customWidth="1"/>
    <col min="14362" max="14591" width="9.109375" style="352"/>
    <col min="14592" max="14592" width="9.44140625" style="352" customWidth="1"/>
    <col min="14593" max="14593" width="31.44140625" style="352" customWidth="1"/>
    <col min="14594" max="14599" width="0" style="352" hidden="1" customWidth="1"/>
    <col min="14600" max="14600" width="8.6640625" style="352" customWidth="1"/>
    <col min="14601" max="14601" width="8.109375" style="352" customWidth="1"/>
    <col min="14602" max="14602" width="14.44140625" style="352" customWidth="1"/>
    <col min="14603" max="14603" width="13.33203125" style="352" customWidth="1"/>
    <col min="14604" max="14604" width="9.6640625" style="352" customWidth="1"/>
    <col min="14605" max="14605" width="13.5546875" style="352" customWidth="1"/>
    <col min="14606" max="14606" width="10.5546875" style="352" customWidth="1"/>
    <col min="14607" max="14607" width="11.33203125" style="352" customWidth="1"/>
    <col min="14608" max="14608" width="8.6640625" style="352" customWidth="1"/>
    <col min="14609" max="14609" width="9" style="352" customWidth="1"/>
    <col min="14610" max="14610" width="6.6640625" style="352" customWidth="1"/>
    <col min="14611" max="14611" width="11.44140625" style="352" customWidth="1"/>
    <col min="14612" max="14612" width="12.33203125" style="352" customWidth="1"/>
    <col min="14613" max="14613" width="11.33203125" style="352" customWidth="1"/>
    <col min="14614" max="14614" width="12.44140625" style="352" customWidth="1"/>
    <col min="14615" max="14615" width="13" style="352" customWidth="1"/>
    <col min="14616" max="14616" width="9.5546875" style="352" customWidth="1"/>
    <col min="14617" max="14617" width="11.44140625" style="352" customWidth="1"/>
    <col min="14618" max="14847" width="9.109375" style="352"/>
    <col min="14848" max="14848" width="9.44140625" style="352" customWidth="1"/>
    <col min="14849" max="14849" width="31.44140625" style="352" customWidth="1"/>
    <col min="14850" max="14855" width="0" style="352" hidden="1" customWidth="1"/>
    <col min="14856" max="14856" width="8.6640625" style="352" customWidth="1"/>
    <col min="14857" max="14857" width="8.109375" style="352" customWidth="1"/>
    <col min="14858" max="14858" width="14.44140625" style="352" customWidth="1"/>
    <col min="14859" max="14859" width="13.33203125" style="352" customWidth="1"/>
    <col min="14860" max="14860" width="9.6640625" style="352" customWidth="1"/>
    <col min="14861" max="14861" width="13.5546875" style="352" customWidth="1"/>
    <col min="14862" max="14862" width="10.5546875" style="352" customWidth="1"/>
    <col min="14863" max="14863" width="11.33203125" style="352" customWidth="1"/>
    <col min="14864" max="14864" width="8.6640625" style="352" customWidth="1"/>
    <col min="14865" max="14865" width="9" style="352" customWidth="1"/>
    <col min="14866" max="14866" width="6.6640625" style="352" customWidth="1"/>
    <col min="14867" max="14867" width="11.44140625" style="352" customWidth="1"/>
    <col min="14868" max="14868" width="12.33203125" style="352" customWidth="1"/>
    <col min="14869" max="14869" width="11.33203125" style="352" customWidth="1"/>
    <col min="14870" max="14870" width="12.44140625" style="352" customWidth="1"/>
    <col min="14871" max="14871" width="13" style="352" customWidth="1"/>
    <col min="14872" max="14872" width="9.5546875" style="352" customWidth="1"/>
    <col min="14873" max="14873" width="11.44140625" style="352" customWidth="1"/>
    <col min="14874" max="15103" width="9.109375" style="352"/>
    <col min="15104" max="15104" width="9.44140625" style="352" customWidth="1"/>
    <col min="15105" max="15105" width="31.44140625" style="352" customWidth="1"/>
    <col min="15106" max="15111" width="0" style="352" hidden="1" customWidth="1"/>
    <col min="15112" max="15112" width="8.6640625" style="352" customWidth="1"/>
    <col min="15113" max="15113" width="8.109375" style="352" customWidth="1"/>
    <col min="15114" max="15114" width="14.44140625" style="352" customWidth="1"/>
    <col min="15115" max="15115" width="13.33203125" style="352" customWidth="1"/>
    <col min="15116" max="15116" width="9.6640625" style="352" customWidth="1"/>
    <col min="15117" max="15117" width="13.5546875" style="352" customWidth="1"/>
    <col min="15118" max="15118" width="10.5546875" style="352" customWidth="1"/>
    <col min="15119" max="15119" width="11.33203125" style="352" customWidth="1"/>
    <col min="15120" max="15120" width="8.6640625" style="352" customWidth="1"/>
    <col min="15121" max="15121" width="9" style="352" customWidth="1"/>
    <col min="15122" max="15122" width="6.6640625" style="352" customWidth="1"/>
    <col min="15123" max="15123" width="11.44140625" style="352" customWidth="1"/>
    <col min="15124" max="15124" width="12.33203125" style="352" customWidth="1"/>
    <col min="15125" max="15125" width="11.33203125" style="352" customWidth="1"/>
    <col min="15126" max="15126" width="12.44140625" style="352" customWidth="1"/>
    <col min="15127" max="15127" width="13" style="352" customWidth="1"/>
    <col min="15128" max="15128" width="9.5546875" style="352" customWidth="1"/>
    <col min="15129" max="15129" width="11.44140625" style="352" customWidth="1"/>
    <col min="15130" max="15359" width="9.109375" style="352"/>
    <col min="15360" max="15360" width="9.44140625" style="352" customWidth="1"/>
    <col min="15361" max="15361" width="31.44140625" style="352" customWidth="1"/>
    <col min="15362" max="15367" width="0" style="352" hidden="1" customWidth="1"/>
    <col min="15368" max="15368" width="8.6640625" style="352" customWidth="1"/>
    <col min="15369" max="15369" width="8.109375" style="352" customWidth="1"/>
    <col min="15370" max="15370" width="14.44140625" style="352" customWidth="1"/>
    <col min="15371" max="15371" width="13.33203125" style="352" customWidth="1"/>
    <col min="15372" max="15372" width="9.6640625" style="352" customWidth="1"/>
    <col min="15373" max="15373" width="13.5546875" style="352" customWidth="1"/>
    <col min="15374" max="15374" width="10.5546875" style="352" customWidth="1"/>
    <col min="15375" max="15375" width="11.33203125" style="352" customWidth="1"/>
    <col min="15376" max="15376" width="8.6640625" style="352" customWidth="1"/>
    <col min="15377" max="15377" width="9" style="352" customWidth="1"/>
    <col min="15378" max="15378" width="6.6640625" style="352" customWidth="1"/>
    <col min="15379" max="15379" width="11.44140625" style="352" customWidth="1"/>
    <col min="15380" max="15380" width="12.33203125" style="352" customWidth="1"/>
    <col min="15381" max="15381" width="11.33203125" style="352" customWidth="1"/>
    <col min="15382" max="15382" width="12.44140625" style="352" customWidth="1"/>
    <col min="15383" max="15383" width="13" style="352" customWidth="1"/>
    <col min="15384" max="15384" width="9.5546875" style="352" customWidth="1"/>
    <col min="15385" max="15385" width="11.44140625" style="352" customWidth="1"/>
    <col min="15386" max="15615" width="9.109375" style="352"/>
    <col min="15616" max="15616" width="9.44140625" style="352" customWidth="1"/>
    <col min="15617" max="15617" width="31.44140625" style="352" customWidth="1"/>
    <col min="15618" max="15623" width="0" style="352" hidden="1" customWidth="1"/>
    <col min="15624" max="15624" width="8.6640625" style="352" customWidth="1"/>
    <col min="15625" max="15625" width="8.109375" style="352" customWidth="1"/>
    <col min="15626" max="15626" width="14.44140625" style="352" customWidth="1"/>
    <col min="15627" max="15627" width="13.33203125" style="352" customWidth="1"/>
    <col min="15628" max="15628" width="9.6640625" style="352" customWidth="1"/>
    <col min="15629" max="15629" width="13.5546875" style="352" customWidth="1"/>
    <col min="15630" max="15630" width="10.5546875" style="352" customWidth="1"/>
    <col min="15631" max="15631" width="11.33203125" style="352" customWidth="1"/>
    <col min="15632" max="15632" width="8.6640625" style="352" customWidth="1"/>
    <col min="15633" max="15633" width="9" style="352" customWidth="1"/>
    <col min="15634" max="15634" width="6.6640625" style="352" customWidth="1"/>
    <col min="15635" max="15635" width="11.44140625" style="352" customWidth="1"/>
    <col min="15636" max="15636" width="12.33203125" style="352" customWidth="1"/>
    <col min="15637" max="15637" width="11.33203125" style="352" customWidth="1"/>
    <col min="15638" max="15638" width="12.44140625" style="352" customWidth="1"/>
    <col min="15639" max="15639" width="13" style="352" customWidth="1"/>
    <col min="15640" max="15640" width="9.5546875" style="352" customWidth="1"/>
    <col min="15641" max="15641" width="11.44140625" style="352" customWidth="1"/>
    <col min="15642" max="15871" width="9.109375" style="352"/>
    <col min="15872" max="15872" width="9.44140625" style="352" customWidth="1"/>
    <col min="15873" max="15873" width="31.44140625" style="352" customWidth="1"/>
    <col min="15874" max="15879" width="0" style="352" hidden="1" customWidth="1"/>
    <col min="15880" max="15880" width="8.6640625" style="352" customWidth="1"/>
    <col min="15881" max="15881" width="8.109375" style="352" customWidth="1"/>
    <col min="15882" max="15882" width="14.44140625" style="352" customWidth="1"/>
    <col min="15883" max="15883" width="13.33203125" style="352" customWidth="1"/>
    <col min="15884" max="15884" width="9.6640625" style="352" customWidth="1"/>
    <col min="15885" max="15885" width="13.5546875" style="352" customWidth="1"/>
    <col min="15886" max="15886" width="10.5546875" style="352" customWidth="1"/>
    <col min="15887" max="15887" width="11.33203125" style="352" customWidth="1"/>
    <col min="15888" max="15888" width="8.6640625" style="352" customWidth="1"/>
    <col min="15889" max="15889" width="9" style="352" customWidth="1"/>
    <col min="15890" max="15890" width="6.6640625" style="352" customWidth="1"/>
    <col min="15891" max="15891" width="11.44140625" style="352" customWidth="1"/>
    <col min="15892" max="15892" width="12.33203125" style="352" customWidth="1"/>
    <col min="15893" max="15893" width="11.33203125" style="352" customWidth="1"/>
    <col min="15894" max="15894" width="12.44140625" style="352" customWidth="1"/>
    <col min="15895" max="15895" width="13" style="352" customWidth="1"/>
    <col min="15896" max="15896" width="9.5546875" style="352" customWidth="1"/>
    <col min="15897" max="15897" width="11.44140625" style="352" customWidth="1"/>
    <col min="15898" max="16127" width="9.109375" style="352"/>
    <col min="16128" max="16128" width="9.44140625" style="352" customWidth="1"/>
    <col min="16129" max="16129" width="31.44140625" style="352" customWidth="1"/>
    <col min="16130" max="16135" width="0" style="352" hidden="1" customWidth="1"/>
    <col min="16136" max="16136" width="8.6640625" style="352" customWidth="1"/>
    <col min="16137" max="16137" width="8.109375" style="352" customWidth="1"/>
    <col min="16138" max="16138" width="14.44140625" style="352" customWidth="1"/>
    <col min="16139" max="16139" width="13.33203125" style="352" customWidth="1"/>
    <col min="16140" max="16140" width="9.6640625" style="352" customWidth="1"/>
    <col min="16141" max="16141" width="13.5546875" style="352" customWidth="1"/>
    <col min="16142" max="16142" width="10.5546875" style="352" customWidth="1"/>
    <col min="16143" max="16143" width="11.33203125" style="352" customWidth="1"/>
    <col min="16144" max="16144" width="8.6640625" style="352" customWidth="1"/>
    <col min="16145" max="16145" width="9" style="352" customWidth="1"/>
    <col min="16146" max="16146" width="6.6640625" style="352" customWidth="1"/>
    <col min="16147" max="16147" width="11.44140625" style="352" customWidth="1"/>
    <col min="16148" max="16148" width="12.33203125" style="352" customWidth="1"/>
    <col min="16149" max="16149" width="11.33203125" style="352" customWidth="1"/>
    <col min="16150" max="16150" width="12.44140625" style="352" customWidth="1"/>
    <col min="16151" max="16151" width="13" style="352" customWidth="1"/>
    <col min="16152" max="16152" width="9.5546875" style="352" customWidth="1"/>
    <col min="16153" max="16153" width="11.44140625" style="352" customWidth="1"/>
    <col min="16154" max="16384" width="9.109375" style="352"/>
  </cols>
  <sheetData>
    <row r="1" spans="1:26" s="325" customFormat="1" ht="60" customHeight="1" thickBot="1" x14ac:dyDescent="0.3">
      <c r="A1" s="779" t="s">
        <v>1778</v>
      </c>
      <c r="B1" s="779"/>
      <c r="C1" s="779"/>
      <c r="D1" s="779"/>
      <c r="E1" s="779"/>
      <c r="F1" s="779"/>
      <c r="G1" s="779"/>
      <c r="H1" s="779"/>
      <c r="I1" s="779"/>
      <c r="J1" s="779"/>
      <c r="K1" s="779"/>
      <c r="L1" s="779"/>
      <c r="M1" s="779"/>
      <c r="N1" s="779"/>
      <c r="O1" s="779"/>
      <c r="P1" s="779"/>
      <c r="Q1" s="779"/>
      <c r="R1" s="779"/>
      <c r="S1" s="779"/>
      <c r="T1" s="779"/>
      <c r="U1" s="779"/>
      <c r="V1" s="779"/>
      <c r="W1" s="780"/>
      <c r="X1" s="687"/>
      <c r="Y1" s="687"/>
    </row>
    <row r="2" spans="1:26" s="325" customFormat="1" ht="17.25" customHeight="1" thickBot="1" x14ac:dyDescent="0.3">
      <c r="A2" s="781" t="s">
        <v>392</v>
      </c>
      <c r="B2" s="783" t="s">
        <v>1292</v>
      </c>
      <c r="C2" s="783" t="s">
        <v>0</v>
      </c>
      <c r="D2" s="783" t="s">
        <v>507</v>
      </c>
      <c r="E2" s="783" t="s">
        <v>1293</v>
      </c>
      <c r="F2" s="783" t="s">
        <v>1511</v>
      </c>
      <c r="G2" s="785" t="s">
        <v>1294</v>
      </c>
      <c r="H2" s="787" t="s">
        <v>1578</v>
      </c>
      <c r="I2" s="788"/>
      <c r="J2" s="788"/>
      <c r="K2" s="788"/>
      <c r="L2" s="789"/>
      <c r="M2" s="790" t="s">
        <v>1743</v>
      </c>
      <c r="N2" s="791"/>
      <c r="O2" s="791"/>
      <c r="P2" s="791"/>
      <c r="Q2" s="791"/>
      <c r="R2" s="792"/>
      <c r="S2" s="776" t="s">
        <v>1579</v>
      </c>
      <c r="T2" s="777"/>
      <c r="U2" s="777"/>
      <c r="V2" s="777"/>
      <c r="W2" s="778"/>
      <c r="X2" s="774" t="s">
        <v>1719</v>
      </c>
      <c r="Y2" s="774" t="s">
        <v>1718</v>
      </c>
      <c r="Z2" s="326" t="s">
        <v>895</v>
      </c>
    </row>
    <row r="3" spans="1:26" s="325" customFormat="1" ht="17.25" customHeight="1" x14ac:dyDescent="0.25">
      <c r="A3" s="782"/>
      <c r="B3" s="784"/>
      <c r="C3" s="784"/>
      <c r="D3" s="784"/>
      <c r="E3" s="784"/>
      <c r="F3" s="784"/>
      <c r="G3" s="786"/>
      <c r="H3" s="654" t="s">
        <v>1295</v>
      </c>
      <c r="I3" s="655" t="s">
        <v>1296</v>
      </c>
      <c r="J3" s="655" t="s">
        <v>1297</v>
      </c>
      <c r="K3" s="655" t="s">
        <v>1298</v>
      </c>
      <c r="L3" s="656" t="s">
        <v>1299</v>
      </c>
      <c r="M3" s="627" t="s">
        <v>1295</v>
      </c>
      <c r="N3" s="628" t="s">
        <v>1296</v>
      </c>
      <c r="O3" s="628" t="s">
        <v>1297</v>
      </c>
      <c r="P3" s="628" t="s">
        <v>1298</v>
      </c>
      <c r="Q3" s="628" t="s">
        <v>1299</v>
      </c>
      <c r="R3" s="629" t="s">
        <v>1300</v>
      </c>
      <c r="S3" s="630" t="s">
        <v>1295</v>
      </c>
      <c r="T3" s="631" t="s">
        <v>1296</v>
      </c>
      <c r="U3" s="631" t="s">
        <v>1297</v>
      </c>
      <c r="V3" s="631" t="s">
        <v>1298</v>
      </c>
      <c r="W3" s="632" t="s">
        <v>1299</v>
      </c>
      <c r="X3" s="775"/>
      <c r="Y3" s="775"/>
      <c r="Z3" s="469"/>
    </row>
    <row r="4" spans="1:26" s="325" customFormat="1" ht="17.25" customHeight="1" x14ac:dyDescent="0.25">
      <c r="A4" s="782"/>
      <c r="B4" s="784"/>
      <c r="C4" s="784"/>
      <c r="D4" s="784"/>
      <c r="E4" s="784"/>
      <c r="F4" s="784"/>
      <c r="G4" s="786"/>
      <c r="H4" s="633" t="s">
        <v>1301</v>
      </c>
      <c r="I4" s="634" t="s">
        <v>1301</v>
      </c>
      <c r="J4" s="634" t="s">
        <v>1301</v>
      </c>
      <c r="K4" s="634" t="s">
        <v>1301</v>
      </c>
      <c r="L4" s="635" t="s">
        <v>1301</v>
      </c>
      <c r="M4" s="633" t="s">
        <v>1301</v>
      </c>
      <c r="N4" s="634" t="s">
        <v>1301</v>
      </c>
      <c r="O4" s="634" t="s">
        <v>1301</v>
      </c>
      <c r="P4" s="634" t="s">
        <v>1301</v>
      </c>
      <c r="Q4" s="634" t="s">
        <v>1301</v>
      </c>
      <c r="R4" s="635" t="s">
        <v>1302</v>
      </c>
      <c r="S4" s="636" t="s">
        <v>1301</v>
      </c>
      <c r="T4" s="637" t="s">
        <v>1301</v>
      </c>
      <c r="U4" s="637" t="s">
        <v>1301</v>
      </c>
      <c r="V4" s="637" t="s">
        <v>1301</v>
      </c>
      <c r="W4" s="638" t="s">
        <v>1301</v>
      </c>
      <c r="X4" s="775"/>
      <c r="Y4" s="775"/>
      <c r="Z4" s="469"/>
    </row>
    <row r="5" spans="1:26" s="325" customFormat="1" ht="11.25" customHeight="1" x14ac:dyDescent="0.25">
      <c r="A5" s="328" t="s">
        <v>378</v>
      </c>
      <c r="B5" s="329" t="s">
        <v>1303</v>
      </c>
      <c r="C5" s="329" t="s">
        <v>5</v>
      </c>
      <c r="D5" s="329" t="s">
        <v>6</v>
      </c>
      <c r="E5" s="329" t="s">
        <v>4</v>
      </c>
      <c r="F5" s="330" t="s">
        <v>464</v>
      </c>
      <c r="G5" s="344"/>
      <c r="H5" s="639">
        <v>30</v>
      </c>
      <c r="I5" s="640">
        <v>0</v>
      </c>
      <c r="J5" s="640">
        <v>0</v>
      </c>
      <c r="K5" s="640">
        <v>0</v>
      </c>
      <c r="L5" s="641">
        <v>0</v>
      </c>
      <c r="M5" s="639"/>
      <c r="N5" s="338"/>
      <c r="O5" s="338"/>
      <c r="P5" s="338"/>
      <c r="Q5" s="338"/>
      <c r="R5" s="642"/>
      <c r="S5" s="643">
        <f>H5-M5</f>
        <v>30</v>
      </c>
      <c r="T5" s="643">
        <f>I5-N5</f>
        <v>0</v>
      </c>
      <c r="U5" s="643">
        <f t="shared" ref="U5:W19" si="0">J5-O5</f>
        <v>0</v>
      </c>
      <c r="V5" s="643">
        <f t="shared" si="0"/>
        <v>0</v>
      </c>
      <c r="W5" s="688">
        <f t="shared" si="0"/>
        <v>0</v>
      </c>
      <c r="X5" s="346"/>
      <c r="Y5" s="346"/>
      <c r="Z5" s="469"/>
    </row>
    <row r="6" spans="1:26" s="325" customFormat="1" ht="11.25" customHeight="1" x14ac:dyDescent="0.25">
      <c r="A6" s="328" t="s">
        <v>378</v>
      </c>
      <c r="B6" s="329" t="s">
        <v>424</v>
      </c>
      <c r="C6" s="329" t="s">
        <v>5</v>
      </c>
      <c r="D6" s="329" t="s">
        <v>465</v>
      </c>
      <c r="E6" s="329" t="s">
        <v>375</v>
      </c>
      <c r="F6" s="330" t="s">
        <v>464</v>
      </c>
      <c r="G6" s="465"/>
      <c r="H6" s="748">
        <v>0</v>
      </c>
      <c r="I6" s="742">
        <v>0</v>
      </c>
      <c r="J6" s="742"/>
      <c r="K6" s="741"/>
      <c r="L6" s="641">
        <v>0</v>
      </c>
      <c r="M6" s="639"/>
      <c r="N6" s="338"/>
      <c r="O6" s="338"/>
      <c r="P6" s="338"/>
      <c r="Q6" s="338"/>
      <c r="R6" s="642"/>
      <c r="S6" s="643">
        <f t="shared" ref="S6:T70" si="1">H6-M6</f>
        <v>0</v>
      </c>
      <c r="T6" s="643">
        <f t="shared" si="1"/>
        <v>0</v>
      </c>
      <c r="U6" s="643">
        <f t="shared" si="0"/>
        <v>0</v>
      </c>
      <c r="V6" s="643">
        <f t="shared" si="0"/>
        <v>0</v>
      </c>
      <c r="W6" s="688">
        <f t="shared" si="0"/>
        <v>0</v>
      </c>
      <c r="X6" s="346"/>
      <c r="Y6" s="346"/>
      <c r="Z6" s="469"/>
    </row>
    <row r="7" spans="1:26" s="325" customFormat="1" ht="11.25" customHeight="1" x14ac:dyDescent="0.25">
      <c r="A7" s="328" t="s">
        <v>378</v>
      </c>
      <c r="B7" s="329" t="s">
        <v>424</v>
      </c>
      <c r="C7" s="329" t="s">
        <v>5</v>
      </c>
      <c r="D7" s="329" t="s">
        <v>14</v>
      </c>
      <c r="E7" s="329" t="s">
        <v>13</v>
      </c>
      <c r="F7" s="330" t="s">
        <v>464</v>
      </c>
      <c r="G7" s="465" t="s">
        <v>1268</v>
      </c>
      <c r="H7" s="644"/>
      <c r="I7" s="640"/>
      <c r="J7" s="640">
        <v>5</v>
      </c>
      <c r="K7" s="640">
        <v>10</v>
      </c>
      <c r="L7" s="641">
        <v>0</v>
      </c>
      <c r="M7" s="639"/>
      <c r="N7" s="338"/>
      <c r="O7" s="338"/>
      <c r="P7" s="338"/>
      <c r="Q7" s="338"/>
      <c r="R7" s="642"/>
      <c r="S7" s="643">
        <f t="shared" si="1"/>
        <v>0</v>
      </c>
      <c r="T7" s="643">
        <f t="shared" si="1"/>
        <v>0</v>
      </c>
      <c r="U7" s="643">
        <f t="shared" si="0"/>
        <v>5</v>
      </c>
      <c r="V7" s="643">
        <f t="shared" si="0"/>
        <v>10</v>
      </c>
      <c r="W7" s="688">
        <f t="shared" si="0"/>
        <v>0</v>
      </c>
      <c r="X7" s="346"/>
      <c r="Y7" s="346"/>
      <c r="Z7" s="469" t="s">
        <v>1305</v>
      </c>
    </row>
    <row r="8" spans="1:26" s="325" customFormat="1" ht="11.25" customHeight="1" x14ac:dyDescent="0.25">
      <c r="A8" s="328" t="s">
        <v>378</v>
      </c>
      <c r="B8" s="329" t="s">
        <v>462</v>
      </c>
      <c r="C8" s="329" t="s">
        <v>5</v>
      </c>
      <c r="D8" s="339" t="s">
        <v>1306</v>
      </c>
      <c r="E8" s="339" t="s">
        <v>17</v>
      </c>
      <c r="F8" s="330" t="s">
        <v>464</v>
      </c>
      <c r="G8" s="345"/>
      <c r="H8" s="639">
        <v>30</v>
      </c>
      <c r="I8" s="338">
        <v>30</v>
      </c>
      <c r="J8" s="640">
        <v>20</v>
      </c>
      <c r="K8" s="640">
        <v>30</v>
      </c>
      <c r="L8" s="641"/>
      <c r="M8" s="639">
        <v>5</v>
      </c>
      <c r="N8" s="338">
        <v>5</v>
      </c>
      <c r="O8" s="338">
        <v>5</v>
      </c>
      <c r="P8" s="338">
        <v>56</v>
      </c>
      <c r="Q8" s="338">
        <v>0</v>
      </c>
      <c r="R8" s="642" t="s">
        <v>1601</v>
      </c>
      <c r="S8" s="643">
        <f>H8-M8</f>
        <v>25</v>
      </c>
      <c r="T8" s="643">
        <f t="shared" si="1"/>
        <v>25</v>
      </c>
      <c r="U8" s="643">
        <f t="shared" si="0"/>
        <v>15</v>
      </c>
      <c r="V8" s="643">
        <f t="shared" si="0"/>
        <v>-26</v>
      </c>
      <c r="W8" s="688">
        <f t="shared" si="0"/>
        <v>0</v>
      </c>
      <c r="X8" s="346"/>
      <c r="Y8" s="346"/>
      <c r="Z8" s="469" t="s">
        <v>1576</v>
      </c>
    </row>
    <row r="9" spans="1:26" s="325" customFormat="1" ht="11.25" customHeight="1" x14ac:dyDescent="0.25">
      <c r="A9" s="328" t="s">
        <v>378</v>
      </c>
      <c r="B9" s="329" t="s">
        <v>462</v>
      </c>
      <c r="C9" s="329" t="s">
        <v>5</v>
      </c>
      <c r="D9" s="329" t="s">
        <v>8</v>
      </c>
      <c r="E9" s="329" t="s">
        <v>7</v>
      </c>
      <c r="F9" s="330" t="s">
        <v>464</v>
      </c>
      <c r="G9" s="465"/>
      <c r="H9" s="639">
        <v>0</v>
      </c>
      <c r="I9" s="338">
        <v>8</v>
      </c>
      <c r="J9" s="338"/>
      <c r="K9" s="338">
        <v>5</v>
      </c>
      <c r="L9" s="642">
        <v>0</v>
      </c>
      <c r="M9" s="639">
        <v>0</v>
      </c>
      <c r="N9" s="852">
        <v>5</v>
      </c>
      <c r="O9" s="338"/>
      <c r="P9" s="329">
        <v>14</v>
      </c>
      <c r="Q9" s="338">
        <v>0</v>
      </c>
      <c r="R9" s="642" t="s">
        <v>1601</v>
      </c>
      <c r="S9" s="643">
        <f t="shared" si="1"/>
        <v>0</v>
      </c>
      <c r="T9" s="643">
        <f t="shared" si="1"/>
        <v>3</v>
      </c>
      <c r="U9" s="643">
        <f t="shared" si="0"/>
        <v>0</v>
      </c>
      <c r="V9" s="643">
        <f t="shared" si="0"/>
        <v>-9</v>
      </c>
      <c r="W9" s="688">
        <f t="shared" si="0"/>
        <v>0</v>
      </c>
      <c r="X9" s="346"/>
      <c r="Y9" s="346"/>
      <c r="Z9" s="469"/>
    </row>
    <row r="10" spans="1:26" s="325" customFormat="1" ht="11.25" customHeight="1" x14ac:dyDescent="0.25">
      <c r="A10" s="328" t="s">
        <v>378</v>
      </c>
      <c r="B10" s="329" t="s">
        <v>1303</v>
      </c>
      <c r="C10" s="329" t="s">
        <v>5</v>
      </c>
      <c r="D10" s="329" t="s">
        <v>20</v>
      </c>
      <c r="E10" s="329" t="s">
        <v>19</v>
      </c>
      <c r="F10" s="330" t="s">
        <v>464</v>
      </c>
      <c r="G10" s="465"/>
      <c r="H10" s="644"/>
      <c r="I10" s="640">
        <v>0</v>
      </c>
      <c r="J10" s="640">
        <v>0</v>
      </c>
      <c r="K10" s="640">
        <v>0</v>
      </c>
      <c r="L10" s="642"/>
      <c r="M10" s="639"/>
      <c r="N10" s="338"/>
      <c r="O10" s="338"/>
      <c r="P10" s="338"/>
      <c r="Q10" s="338"/>
      <c r="R10" s="642"/>
      <c r="S10" s="643">
        <f t="shared" si="1"/>
        <v>0</v>
      </c>
      <c r="T10" s="643">
        <f t="shared" si="1"/>
        <v>0</v>
      </c>
      <c r="U10" s="643">
        <f t="shared" si="0"/>
        <v>0</v>
      </c>
      <c r="V10" s="643">
        <f t="shared" si="0"/>
        <v>0</v>
      </c>
      <c r="W10" s="688">
        <f t="shared" si="0"/>
        <v>0</v>
      </c>
      <c r="X10" s="346"/>
      <c r="Y10" s="346"/>
      <c r="Z10" s="469"/>
    </row>
    <row r="11" spans="1:26" s="325" customFormat="1" ht="10.95" customHeight="1" x14ac:dyDescent="0.25">
      <c r="A11" s="328" t="s">
        <v>378</v>
      </c>
      <c r="B11" s="329" t="s">
        <v>424</v>
      </c>
      <c r="C11" s="329" t="s">
        <v>5</v>
      </c>
      <c r="D11" s="329" t="s">
        <v>364</v>
      </c>
      <c r="E11" s="329" t="s">
        <v>374</v>
      </c>
      <c r="F11" s="330" t="s">
        <v>464</v>
      </c>
      <c r="G11" s="465" t="s">
        <v>1307</v>
      </c>
      <c r="H11" s="644">
        <v>31</v>
      </c>
      <c r="I11" s="640">
        <v>31</v>
      </c>
      <c r="J11" s="640">
        <v>30</v>
      </c>
      <c r="K11" s="640"/>
      <c r="L11" s="641">
        <v>0</v>
      </c>
      <c r="M11" s="639">
        <v>21</v>
      </c>
      <c r="N11" s="338">
        <v>21</v>
      </c>
      <c r="O11" s="338">
        <v>30</v>
      </c>
      <c r="P11" s="338"/>
      <c r="Q11" s="338"/>
      <c r="R11" s="642" t="s">
        <v>1577</v>
      </c>
      <c r="S11" s="643">
        <f t="shared" si="1"/>
        <v>10</v>
      </c>
      <c r="T11" s="643">
        <f t="shared" si="1"/>
        <v>10</v>
      </c>
      <c r="U11" s="643">
        <f t="shared" si="0"/>
        <v>0</v>
      </c>
      <c r="V11" s="643">
        <f t="shared" si="0"/>
        <v>0</v>
      </c>
      <c r="W11" s="688">
        <f t="shared" si="0"/>
        <v>0</v>
      </c>
      <c r="X11" s="346"/>
      <c r="Y11" s="346"/>
      <c r="Z11" s="469" t="s">
        <v>1305</v>
      </c>
    </row>
    <row r="12" spans="1:26" s="325" customFormat="1" ht="11.25" customHeight="1" x14ac:dyDescent="0.25">
      <c r="A12" s="328" t="s">
        <v>378</v>
      </c>
      <c r="B12" s="329" t="s">
        <v>424</v>
      </c>
      <c r="C12" s="329" t="s">
        <v>5</v>
      </c>
      <c r="D12" s="329" t="s">
        <v>22</v>
      </c>
      <c r="E12" s="329" t="s">
        <v>21</v>
      </c>
      <c r="F12" s="330" t="s">
        <v>464</v>
      </c>
      <c r="G12" s="465" t="s">
        <v>1268</v>
      </c>
      <c r="H12" s="644">
        <v>122</v>
      </c>
      <c r="I12" s="640">
        <v>140</v>
      </c>
      <c r="J12" s="640">
        <v>30</v>
      </c>
      <c r="K12" s="640">
        <v>50</v>
      </c>
      <c r="L12" s="641">
        <v>0</v>
      </c>
      <c r="M12" s="639">
        <v>85</v>
      </c>
      <c r="N12" s="338">
        <v>85</v>
      </c>
      <c r="O12" s="338">
        <v>18</v>
      </c>
      <c r="P12" s="338"/>
      <c r="Q12" s="338"/>
      <c r="R12" s="642" t="s">
        <v>778</v>
      </c>
      <c r="S12" s="643">
        <f t="shared" si="1"/>
        <v>37</v>
      </c>
      <c r="T12" s="643">
        <f t="shared" si="1"/>
        <v>55</v>
      </c>
      <c r="U12" s="643">
        <f t="shared" si="0"/>
        <v>12</v>
      </c>
      <c r="V12" s="643">
        <f t="shared" si="0"/>
        <v>50</v>
      </c>
      <c r="W12" s="688">
        <f t="shared" si="0"/>
        <v>0</v>
      </c>
      <c r="X12" s="346"/>
      <c r="Y12" s="346"/>
      <c r="Z12" s="469"/>
    </row>
    <row r="13" spans="1:26" s="325" customFormat="1" ht="11.25" customHeight="1" x14ac:dyDescent="0.25">
      <c r="A13" s="328" t="s">
        <v>378</v>
      </c>
      <c r="B13" s="329" t="s">
        <v>462</v>
      </c>
      <c r="C13" s="329" t="s">
        <v>5</v>
      </c>
      <c r="D13" s="329" t="s">
        <v>26</v>
      </c>
      <c r="E13" s="329" t="s">
        <v>25</v>
      </c>
      <c r="F13" s="330" t="s">
        <v>464</v>
      </c>
      <c r="G13" s="465"/>
      <c r="H13" s="639">
        <v>0</v>
      </c>
      <c r="I13" s="338">
        <v>0</v>
      </c>
      <c r="J13" s="338"/>
      <c r="K13" s="338"/>
      <c r="L13" s="642">
        <v>0</v>
      </c>
      <c r="M13" s="639">
        <v>0</v>
      </c>
      <c r="N13" s="338">
        <v>0</v>
      </c>
      <c r="O13" s="338">
        <v>0</v>
      </c>
      <c r="P13" s="338">
        <v>0</v>
      </c>
      <c r="Q13" s="338">
        <v>0</v>
      </c>
      <c r="R13" s="642"/>
      <c r="S13" s="643">
        <f t="shared" si="1"/>
        <v>0</v>
      </c>
      <c r="T13" s="643">
        <f t="shared" si="1"/>
        <v>0</v>
      </c>
      <c r="U13" s="643">
        <f t="shared" si="0"/>
        <v>0</v>
      </c>
      <c r="V13" s="643">
        <f t="shared" si="0"/>
        <v>0</v>
      </c>
      <c r="W13" s="688">
        <f t="shared" si="0"/>
        <v>0</v>
      </c>
      <c r="X13" s="346"/>
      <c r="Y13" s="346"/>
      <c r="Z13" s="469"/>
    </row>
    <row r="14" spans="1:26" s="325" customFormat="1" ht="11.25" customHeight="1" x14ac:dyDescent="0.25">
      <c r="A14" s="331" t="s">
        <v>3</v>
      </c>
      <c r="B14" s="332"/>
      <c r="C14" s="332"/>
      <c r="D14" s="333"/>
      <c r="E14" s="334"/>
      <c r="F14" s="335"/>
      <c r="G14" s="472"/>
      <c r="H14" s="336">
        <f t="shared" ref="H14:Y14" si="2">SUM(H5:H13)</f>
        <v>213</v>
      </c>
      <c r="I14" s="336">
        <f t="shared" si="2"/>
        <v>209</v>
      </c>
      <c r="J14" s="336">
        <f t="shared" si="2"/>
        <v>85</v>
      </c>
      <c r="K14" s="336">
        <f t="shared" si="2"/>
        <v>95</v>
      </c>
      <c r="L14" s="336">
        <f t="shared" si="2"/>
        <v>0</v>
      </c>
      <c r="M14" s="336">
        <f t="shared" si="2"/>
        <v>111</v>
      </c>
      <c r="N14" s="336">
        <f t="shared" si="2"/>
        <v>116</v>
      </c>
      <c r="O14" s="336">
        <f t="shared" si="2"/>
        <v>53</v>
      </c>
      <c r="P14" s="336">
        <f t="shared" si="2"/>
        <v>70</v>
      </c>
      <c r="Q14" s="336">
        <f t="shared" si="2"/>
        <v>0</v>
      </c>
      <c r="R14" s="336">
        <f t="shared" si="2"/>
        <v>0</v>
      </c>
      <c r="S14" s="336">
        <f t="shared" si="2"/>
        <v>102</v>
      </c>
      <c r="T14" s="336">
        <f t="shared" si="2"/>
        <v>93</v>
      </c>
      <c r="U14" s="336">
        <f t="shared" si="2"/>
        <v>32</v>
      </c>
      <c r="V14" s="336">
        <f t="shared" si="2"/>
        <v>25</v>
      </c>
      <c r="W14" s="336">
        <f t="shared" si="2"/>
        <v>0</v>
      </c>
      <c r="X14" s="336">
        <f t="shared" si="2"/>
        <v>0</v>
      </c>
      <c r="Y14" s="336">
        <f t="shared" si="2"/>
        <v>0</v>
      </c>
      <c r="Z14" s="469"/>
    </row>
    <row r="15" spans="1:26" s="325" customFormat="1" ht="11.25" customHeight="1" x14ac:dyDescent="0.25">
      <c r="A15" s="328" t="s">
        <v>378</v>
      </c>
      <c r="B15" s="329" t="s">
        <v>462</v>
      </c>
      <c r="C15" s="329" t="s">
        <v>27</v>
      </c>
      <c r="D15" s="329" t="s">
        <v>28</v>
      </c>
      <c r="E15" s="329" t="s">
        <v>30</v>
      </c>
      <c r="F15" s="330" t="s">
        <v>464</v>
      </c>
      <c r="G15" s="344"/>
      <c r="H15" s="639">
        <v>60</v>
      </c>
      <c r="I15" s="338">
        <v>60</v>
      </c>
      <c r="J15" s="338">
        <v>20</v>
      </c>
      <c r="K15" s="338">
        <v>40</v>
      </c>
      <c r="L15" s="642"/>
      <c r="M15" s="639">
        <v>50</v>
      </c>
      <c r="N15" s="338">
        <v>50</v>
      </c>
      <c r="O15" s="329">
        <v>18</v>
      </c>
      <c r="P15" s="329">
        <v>20</v>
      </c>
      <c r="Q15" s="338"/>
      <c r="R15" s="642" t="s">
        <v>1771</v>
      </c>
      <c r="S15" s="643">
        <f t="shared" si="1"/>
        <v>10</v>
      </c>
      <c r="T15" s="643">
        <f t="shared" si="1"/>
        <v>10</v>
      </c>
      <c r="U15" s="643">
        <f t="shared" si="0"/>
        <v>2</v>
      </c>
      <c r="V15" s="643">
        <f t="shared" si="0"/>
        <v>20</v>
      </c>
      <c r="W15" s="688">
        <f t="shared" si="0"/>
        <v>0</v>
      </c>
      <c r="X15" s="346"/>
      <c r="Y15" s="346"/>
      <c r="Z15" s="469"/>
    </row>
    <row r="16" spans="1:26" s="325" customFormat="1" ht="11.25" customHeight="1" x14ac:dyDescent="0.25">
      <c r="A16" s="328" t="s">
        <v>378</v>
      </c>
      <c r="B16" s="329" t="s">
        <v>462</v>
      </c>
      <c r="C16" s="329" t="s">
        <v>27</v>
      </c>
      <c r="D16" s="329" t="s">
        <v>363</v>
      </c>
      <c r="E16" s="329" t="s">
        <v>376</v>
      </c>
      <c r="F16" s="330" t="s">
        <v>464</v>
      </c>
      <c r="G16" s="465"/>
      <c r="H16" s="639">
        <v>30</v>
      </c>
      <c r="I16" s="338">
        <v>30</v>
      </c>
      <c r="J16" s="338">
        <v>20</v>
      </c>
      <c r="K16" s="338">
        <v>50</v>
      </c>
      <c r="L16" s="642">
        <v>0</v>
      </c>
      <c r="M16" s="639">
        <v>20</v>
      </c>
      <c r="N16" s="338">
        <v>20</v>
      </c>
      <c r="O16" s="329">
        <v>8</v>
      </c>
      <c r="P16" s="329">
        <v>35</v>
      </c>
      <c r="Q16" s="338"/>
      <c r="R16" s="642" t="s">
        <v>1771</v>
      </c>
      <c r="S16" s="643">
        <f t="shared" si="1"/>
        <v>10</v>
      </c>
      <c r="T16" s="643">
        <f t="shared" si="1"/>
        <v>10</v>
      </c>
      <c r="U16" s="643">
        <f t="shared" si="0"/>
        <v>12</v>
      </c>
      <c r="V16" s="643">
        <f t="shared" si="0"/>
        <v>15</v>
      </c>
      <c r="W16" s="688">
        <f t="shared" si="0"/>
        <v>0</v>
      </c>
      <c r="X16" s="346"/>
      <c r="Y16" s="346"/>
      <c r="Z16" s="469"/>
    </row>
    <row r="17" spans="1:26" s="325" customFormat="1" ht="11.25" customHeight="1" x14ac:dyDescent="0.25">
      <c r="A17" s="328" t="s">
        <v>378</v>
      </c>
      <c r="B17" s="329" t="s">
        <v>1308</v>
      </c>
      <c r="C17" s="329" t="s">
        <v>27</v>
      </c>
      <c r="D17" s="329" t="s">
        <v>790</v>
      </c>
      <c r="E17" s="329" t="s">
        <v>789</v>
      </c>
      <c r="F17" s="330" t="s">
        <v>464</v>
      </c>
      <c r="G17" s="344"/>
      <c r="H17" s="639"/>
      <c r="I17" s="640">
        <v>0</v>
      </c>
      <c r="J17" s="640">
        <v>0</v>
      </c>
      <c r="K17" s="640">
        <v>0</v>
      </c>
      <c r="L17" s="641">
        <v>0</v>
      </c>
      <c r="M17" s="639"/>
      <c r="N17" s="338"/>
      <c r="O17" s="338"/>
      <c r="P17" s="338"/>
      <c r="Q17" s="338"/>
      <c r="R17" s="642"/>
      <c r="S17" s="643">
        <f t="shared" si="1"/>
        <v>0</v>
      </c>
      <c r="T17" s="643">
        <f t="shared" si="1"/>
        <v>0</v>
      </c>
      <c r="U17" s="643">
        <f t="shared" si="0"/>
        <v>0</v>
      </c>
      <c r="V17" s="643">
        <f t="shared" si="0"/>
        <v>0</v>
      </c>
      <c r="W17" s="688">
        <f t="shared" si="0"/>
        <v>0</v>
      </c>
      <c r="X17" s="346"/>
      <c r="Y17" s="346"/>
      <c r="Z17" s="469"/>
    </row>
    <row r="18" spans="1:26" s="325" customFormat="1" ht="11.25" customHeight="1" x14ac:dyDescent="0.25">
      <c r="A18" s="328" t="s">
        <v>378</v>
      </c>
      <c r="B18" s="329" t="s">
        <v>424</v>
      </c>
      <c r="C18" s="329" t="s">
        <v>27</v>
      </c>
      <c r="D18" s="329" t="s">
        <v>362</v>
      </c>
      <c r="E18" s="329" t="s">
        <v>29</v>
      </c>
      <c r="F18" s="330" t="s">
        <v>466</v>
      </c>
      <c r="G18" s="344" t="s">
        <v>1268</v>
      </c>
      <c r="H18" s="645">
        <v>26</v>
      </c>
      <c r="I18" s="646">
        <v>26</v>
      </c>
      <c r="J18" s="646"/>
      <c r="K18" s="646"/>
      <c r="L18" s="647"/>
      <c r="M18" s="639"/>
      <c r="N18" s="338"/>
      <c r="O18" s="338"/>
      <c r="P18" s="338"/>
      <c r="Q18" s="338"/>
      <c r="R18" s="642"/>
      <c r="S18" s="643">
        <f t="shared" si="1"/>
        <v>26</v>
      </c>
      <c r="T18" s="643">
        <f t="shared" si="1"/>
        <v>26</v>
      </c>
      <c r="U18" s="643">
        <f t="shared" si="0"/>
        <v>0</v>
      </c>
      <c r="V18" s="643">
        <f t="shared" si="0"/>
        <v>0</v>
      </c>
      <c r="W18" s="688">
        <f t="shared" si="0"/>
        <v>0</v>
      </c>
      <c r="X18" s="346"/>
      <c r="Y18" s="346"/>
      <c r="Z18" s="469"/>
    </row>
    <row r="19" spans="1:26" s="325" customFormat="1" ht="11.25" customHeight="1" x14ac:dyDescent="0.25">
      <c r="A19" s="328" t="s">
        <v>378</v>
      </c>
      <c r="B19" s="329" t="s">
        <v>1308</v>
      </c>
      <c r="C19" s="329" t="s">
        <v>27</v>
      </c>
      <c r="D19" s="329" t="s">
        <v>875</v>
      </c>
      <c r="E19" s="329" t="s">
        <v>876</v>
      </c>
      <c r="F19" s="330" t="s">
        <v>464</v>
      </c>
      <c r="G19" s="463"/>
      <c r="H19" s="645"/>
      <c r="I19" s="646"/>
      <c r="J19" s="646"/>
      <c r="K19" s="646"/>
      <c r="L19" s="647"/>
      <c r="M19" s="639"/>
      <c r="N19" s="338"/>
      <c r="O19" s="338"/>
      <c r="P19" s="338"/>
      <c r="Q19" s="338"/>
      <c r="R19" s="642"/>
      <c r="S19" s="643">
        <f t="shared" si="1"/>
        <v>0</v>
      </c>
      <c r="T19" s="643">
        <f t="shared" si="1"/>
        <v>0</v>
      </c>
      <c r="U19" s="643">
        <f t="shared" si="0"/>
        <v>0</v>
      </c>
      <c r="V19" s="643">
        <f t="shared" si="0"/>
        <v>0</v>
      </c>
      <c r="W19" s="688">
        <f t="shared" si="0"/>
        <v>0</v>
      </c>
      <c r="X19" s="346"/>
      <c r="Y19" s="346"/>
      <c r="Z19" s="469"/>
    </row>
    <row r="20" spans="1:26" s="325" customFormat="1" ht="11.25" customHeight="1" x14ac:dyDescent="0.25">
      <c r="A20" s="331" t="s">
        <v>3</v>
      </c>
      <c r="B20" s="332"/>
      <c r="C20" s="332"/>
      <c r="D20" s="333"/>
      <c r="E20" s="334"/>
      <c r="F20" s="335"/>
      <c r="G20" s="472"/>
      <c r="H20" s="336">
        <f>SUM(H15:H19)</f>
        <v>116</v>
      </c>
      <c r="I20" s="336">
        <f t="shared" ref="I20:Y20" si="3">SUM(I15:I19)</f>
        <v>116</v>
      </c>
      <c r="J20" s="336">
        <f t="shared" si="3"/>
        <v>40</v>
      </c>
      <c r="K20" s="336">
        <f t="shared" si="3"/>
        <v>90</v>
      </c>
      <c r="L20" s="336">
        <f t="shared" si="3"/>
        <v>0</v>
      </c>
      <c r="M20" s="336">
        <f t="shared" si="3"/>
        <v>70</v>
      </c>
      <c r="N20" s="336">
        <f t="shared" si="3"/>
        <v>70</v>
      </c>
      <c r="O20" s="336">
        <f t="shared" si="3"/>
        <v>26</v>
      </c>
      <c r="P20" s="336">
        <f t="shared" si="3"/>
        <v>55</v>
      </c>
      <c r="Q20" s="336">
        <f t="shared" si="3"/>
        <v>0</v>
      </c>
      <c r="R20" s="336">
        <f t="shared" si="3"/>
        <v>0</v>
      </c>
      <c r="S20" s="336">
        <f>SUM(S15:S19)</f>
        <v>46</v>
      </c>
      <c r="T20" s="336">
        <f t="shared" si="3"/>
        <v>46</v>
      </c>
      <c r="U20" s="336">
        <f t="shared" si="3"/>
        <v>14</v>
      </c>
      <c r="V20" s="336">
        <f t="shared" si="3"/>
        <v>35</v>
      </c>
      <c r="W20" s="336">
        <f t="shared" si="3"/>
        <v>0</v>
      </c>
      <c r="X20" s="336">
        <f t="shared" si="3"/>
        <v>0</v>
      </c>
      <c r="Y20" s="336">
        <f t="shared" si="3"/>
        <v>0</v>
      </c>
      <c r="Z20" s="469"/>
    </row>
    <row r="21" spans="1:26" s="325" customFormat="1" ht="11.25" customHeight="1" x14ac:dyDescent="0.25">
      <c r="A21" s="328" t="s">
        <v>378</v>
      </c>
      <c r="B21" s="329" t="s">
        <v>424</v>
      </c>
      <c r="C21" s="329" t="s">
        <v>480</v>
      </c>
      <c r="D21" s="338" t="s">
        <v>1279</v>
      </c>
      <c r="E21" s="329" t="s">
        <v>1270</v>
      </c>
      <c r="F21" s="330" t="s">
        <v>464</v>
      </c>
      <c r="G21" s="344" t="s">
        <v>1307</v>
      </c>
      <c r="H21" s="639"/>
      <c r="I21" s="640"/>
      <c r="J21" s="640"/>
      <c r="K21" s="338"/>
      <c r="L21" s="641"/>
      <c r="M21" s="639"/>
      <c r="N21" s="338"/>
      <c r="O21" s="338"/>
      <c r="P21" s="338"/>
      <c r="Q21" s="338"/>
      <c r="R21" s="642"/>
      <c r="S21" s="643">
        <f t="shared" si="1"/>
        <v>0</v>
      </c>
      <c r="T21" s="643">
        <f t="shared" si="1"/>
        <v>0</v>
      </c>
      <c r="U21" s="643">
        <f t="shared" ref="U21:U88" si="4">J21-O21</f>
        <v>0</v>
      </c>
      <c r="V21" s="643">
        <f t="shared" ref="V21:V88" si="5">K21-P21</f>
        <v>0</v>
      </c>
      <c r="W21" s="688">
        <f t="shared" ref="W21:W88" si="6">L21-Q21</f>
        <v>0</v>
      </c>
      <c r="X21" s="346"/>
      <c r="Y21" s="346"/>
      <c r="Z21" s="469"/>
    </row>
    <row r="22" spans="1:26" s="325" customFormat="1" ht="11.25" customHeight="1" x14ac:dyDescent="0.25">
      <c r="A22" s="328" t="s">
        <v>378</v>
      </c>
      <c r="B22" s="329" t="s">
        <v>462</v>
      </c>
      <c r="C22" s="329" t="s">
        <v>480</v>
      </c>
      <c r="D22" s="338" t="s">
        <v>41</v>
      </c>
      <c r="E22" s="329" t="s">
        <v>40</v>
      </c>
      <c r="F22" s="330" t="s">
        <v>464</v>
      </c>
      <c r="G22" s="465"/>
      <c r="H22" s="639">
        <v>0</v>
      </c>
      <c r="I22" s="640">
        <v>0</v>
      </c>
      <c r="J22" s="640">
        <v>10</v>
      </c>
      <c r="K22" s="338">
        <v>20</v>
      </c>
      <c r="L22" s="641">
        <v>0</v>
      </c>
      <c r="M22" s="639"/>
      <c r="N22" s="338"/>
      <c r="O22" s="329">
        <v>10</v>
      </c>
      <c r="P22" s="329">
        <v>15</v>
      </c>
      <c r="Q22" s="338"/>
      <c r="R22" s="642" t="s">
        <v>1601</v>
      </c>
      <c r="S22" s="643">
        <f t="shared" si="1"/>
        <v>0</v>
      </c>
      <c r="T22" s="643">
        <f t="shared" si="1"/>
        <v>0</v>
      </c>
      <c r="U22" s="643">
        <f t="shared" si="4"/>
        <v>0</v>
      </c>
      <c r="V22" s="643">
        <f t="shared" si="5"/>
        <v>5</v>
      </c>
      <c r="W22" s="688">
        <f t="shared" si="6"/>
        <v>0</v>
      </c>
      <c r="X22" s="346"/>
      <c r="Y22" s="346"/>
      <c r="Z22" s="469"/>
    </row>
    <row r="23" spans="1:26" s="325" customFormat="1" ht="11.25" customHeight="1" x14ac:dyDescent="0.25">
      <c r="A23" s="328" t="s">
        <v>378</v>
      </c>
      <c r="B23" s="329" t="s">
        <v>462</v>
      </c>
      <c r="C23" s="329" t="s">
        <v>480</v>
      </c>
      <c r="D23" s="338" t="s">
        <v>72</v>
      </c>
      <c r="E23" s="329" t="s">
        <v>71</v>
      </c>
      <c r="F23" s="330" t="s">
        <v>464</v>
      </c>
      <c r="G23" s="344"/>
      <c r="H23" s="639">
        <v>0</v>
      </c>
      <c r="I23" s="338">
        <v>0</v>
      </c>
      <c r="J23" s="338"/>
      <c r="K23" s="329">
        <v>2</v>
      </c>
      <c r="L23" s="642"/>
      <c r="M23" s="639"/>
      <c r="N23" s="338"/>
      <c r="O23" s="329"/>
      <c r="P23" s="329">
        <v>2</v>
      </c>
      <c r="Q23" s="338"/>
      <c r="R23" s="642" t="s">
        <v>1601</v>
      </c>
      <c r="S23" s="643">
        <f t="shared" si="1"/>
        <v>0</v>
      </c>
      <c r="T23" s="643">
        <f t="shared" si="1"/>
        <v>0</v>
      </c>
      <c r="U23" s="643">
        <f t="shared" si="4"/>
        <v>0</v>
      </c>
      <c r="V23" s="643">
        <f t="shared" si="5"/>
        <v>0</v>
      </c>
      <c r="W23" s="688">
        <f t="shared" si="6"/>
        <v>0</v>
      </c>
      <c r="X23" s="346"/>
      <c r="Y23" s="346"/>
      <c r="Z23" s="469"/>
    </row>
    <row r="24" spans="1:26" s="325" customFormat="1" ht="11.25" customHeight="1" x14ac:dyDescent="0.25">
      <c r="A24" s="328" t="s">
        <v>378</v>
      </c>
      <c r="B24" s="329" t="s">
        <v>462</v>
      </c>
      <c r="C24" s="329" t="s">
        <v>480</v>
      </c>
      <c r="D24" s="338" t="s">
        <v>43</v>
      </c>
      <c r="E24" s="329" t="s">
        <v>42</v>
      </c>
      <c r="F24" s="330" t="s">
        <v>464</v>
      </c>
      <c r="G24" s="465"/>
      <c r="H24" s="639"/>
      <c r="I24" s="338"/>
      <c r="J24" s="338"/>
      <c r="K24" s="338">
        <v>10</v>
      </c>
      <c r="L24" s="642"/>
      <c r="M24" s="639"/>
      <c r="N24" s="338"/>
      <c r="O24" s="329"/>
      <c r="P24" s="329">
        <v>5</v>
      </c>
      <c r="Q24" s="338"/>
      <c r="R24" s="642" t="s">
        <v>1762</v>
      </c>
      <c r="S24" s="643">
        <f t="shared" si="1"/>
        <v>0</v>
      </c>
      <c r="T24" s="643">
        <f t="shared" si="1"/>
        <v>0</v>
      </c>
      <c r="U24" s="643">
        <f t="shared" si="4"/>
        <v>0</v>
      </c>
      <c r="V24" s="643">
        <f t="shared" si="5"/>
        <v>5</v>
      </c>
      <c r="W24" s="688">
        <f t="shared" si="6"/>
        <v>0</v>
      </c>
      <c r="X24" s="346"/>
      <c r="Y24" s="346"/>
      <c r="Z24" s="469"/>
    </row>
    <row r="25" spans="1:26" s="325" customFormat="1" ht="11.25" customHeight="1" x14ac:dyDescent="0.25">
      <c r="A25" s="328" t="s">
        <v>378</v>
      </c>
      <c r="B25" s="329" t="s">
        <v>462</v>
      </c>
      <c r="C25" s="339" t="s">
        <v>480</v>
      </c>
      <c r="D25" s="521" t="s">
        <v>1309</v>
      </c>
      <c r="E25" s="339" t="s">
        <v>75</v>
      </c>
      <c r="F25" s="343" t="s">
        <v>464</v>
      </c>
      <c r="G25" s="345"/>
      <c r="H25" s="639">
        <v>5</v>
      </c>
      <c r="I25" s="338">
        <v>5</v>
      </c>
      <c r="J25" s="338">
        <v>20</v>
      </c>
      <c r="K25" s="338">
        <v>30</v>
      </c>
      <c r="L25" s="642">
        <v>0</v>
      </c>
      <c r="M25" s="328">
        <v>5</v>
      </c>
      <c r="N25" s="338"/>
      <c r="O25" s="329">
        <v>10</v>
      </c>
      <c r="P25" s="329">
        <v>20</v>
      </c>
      <c r="Q25" s="338"/>
      <c r="R25" s="642" t="s">
        <v>1601</v>
      </c>
      <c r="S25" s="643">
        <f t="shared" si="1"/>
        <v>0</v>
      </c>
      <c r="T25" s="643">
        <f t="shared" si="1"/>
        <v>5</v>
      </c>
      <c r="U25" s="643">
        <f t="shared" si="4"/>
        <v>10</v>
      </c>
      <c r="V25" s="643">
        <f t="shared" si="5"/>
        <v>10</v>
      </c>
      <c r="W25" s="688">
        <f t="shared" si="6"/>
        <v>0</v>
      </c>
      <c r="X25" s="346"/>
      <c r="Y25" s="346"/>
      <c r="Z25" s="469"/>
    </row>
    <row r="26" spans="1:26" s="325" customFormat="1" ht="11.25" customHeight="1" x14ac:dyDescent="0.25">
      <c r="A26" s="328" t="s">
        <v>378</v>
      </c>
      <c r="B26" s="329" t="s">
        <v>462</v>
      </c>
      <c r="C26" s="329" t="s">
        <v>480</v>
      </c>
      <c r="D26" s="338" t="s">
        <v>44</v>
      </c>
      <c r="E26" s="329" t="s">
        <v>45</v>
      </c>
      <c r="F26" s="330" t="s">
        <v>464</v>
      </c>
      <c r="G26" s="465"/>
      <c r="H26" s="639">
        <v>0</v>
      </c>
      <c r="I26" s="338">
        <v>0</v>
      </c>
      <c r="J26" s="338"/>
      <c r="K26" s="338"/>
      <c r="L26" s="642">
        <v>0</v>
      </c>
      <c r="M26" s="639"/>
      <c r="N26" s="338"/>
      <c r="O26" s="329"/>
      <c r="P26" s="329"/>
      <c r="Q26" s="338"/>
      <c r="R26" s="642"/>
      <c r="S26" s="643">
        <f t="shared" si="1"/>
        <v>0</v>
      </c>
      <c r="T26" s="643">
        <f t="shared" si="1"/>
        <v>0</v>
      </c>
      <c r="U26" s="643">
        <f t="shared" si="4"/>
        <v>0</v>
      </c>
      <c r="V26" s="643">
        <f t="shared" si="5"/>
        <v>0</v>
      </c>
      <c r="W26" s="688">
        <f t="shared" si="6"/>
        <v>0</v>
      </c>
      <c r="X26" s="346"/>
      <c r="Y26" s="346"/>
      <c r="Z26" s="469"/>
    </row>
    <row r="27" spans="1:26" s="325" customFormat="1" ht="11.25" customHeight="1" x14ac:dyDescent="0.25">
      <c r="A27" s="328" t="s">
        <v>378</v>
      </c>
      <c r="B27" s="329" t="s">
        <v>424</v>
      </c>
      <c r="C27" s="329" t="s">
        <v>480</v>
      </c>
      <c r="D27" s="338" t="s">
        <v>52</v>
      </c>
      <c r="E27" s="329" t="s">
        <v>51</v>
      </c>
      <c r="F27" s="330" t="s">
        <v>464</v>
      </c>
      <c r="G27" s="465" t="s">
        <v>1307</v>
      </c>
      <c r="H27" s="639"/>
      <c r="I27" s="338"/>
      <c r="J27" s="338"/>
      <c r="K27" s="338"/>
      <c r="L27" s="642"/>
      <c r="M27" s="639">
        <v>0</v>
      </c>
      <c r="N27" s="338">
        <v>0</v>
      </c>
      <c r="O27" s="329">
        <v>0</v>
      </c>
      <c r="P27" s="329">
        <v>0</v>
      </c>
      <c r="Q27" s="338">
        <v>0</v>
      </c>
      <c r="R27" s="642"/>
      <c r="S27" s="643">
        <f t="shared" si="1"/>
        <v>0</v>
      </c>
      <c r="T27" s="643">
        <f t="shared" si="1"/>
        <v>0</v>
      </c>
      <c r="U27" s="643">
        <f t="shared" si="4"/>
        <v>0</v>
      </c>
      <c r="V27" s="643">
        <f t="shared" si="5"/>
        <v>0</v>
      </c>
      <c r="W27" s="688">
        <f t="shared" si="6"/>
        <v>0</v>
      </c>
      <c r="X27" s="346"/>
      <c r="Y27" s="346"/>
      <c r="Z27" s="469"/>
    </row>
    <row r="28" spans="1:26" s="325" customFormat="1" ht="11.25" customHeight="1" x14ac:dyDescent="0.25">
      <c r="A28" s="328" t="s">
        <v>378</v>
      </c>
      <c r="B28" s="329" t="s">
        <v>462</v>
      </c>
      <c r="C28" s="329" t="s">
        <v>480</v>
      </c>
      <c r="D28" s="338" t="s">
        <v>1310</v>
      </c>
      <c r="E28" s="329" t="s">
        <v>89</v>
      </c>
      <c r="F28" s="330" t="s">
        <v>464</v>
      </c>
      <c r="G28" s="465"/>
      <c r="H28" s="639">
        <v>0</v>
      </c>
      <c r="I28" s="338">
        <v>0</v>
      </c>
      <c r="J28" s="338">
        <v>15</v>
      </c>
      <c r="K28" s="338">
        <v>10</v>
      </c>
      <c r="L28" s="642">
        <v>0</v>
      </c>
      <c r="M28" s="639"/>
      <c r="N28" s="338"/>
      <c r="O28" s="338">
        <v>5</v>
      </c>
      <c r="P28" s="338">
        <v>5</v>
      </c>
      <c r="Q28" s="338"/>
      <c r="R28" s="642" t="s">
        <v>1762</v>
      </c>
      <c r="S28" s="643">
        <f t="shared" si="1"/>
        <v>0</v>
      </c>
      <c r="T28" s="643">
        <f t="shared" si="1"/>
        <v>0</v>
      </c>
      <c r="U28" s="643">
        <f t="shared" si="4"/>
        <v>10</v>
      </c>
      <c r="V28" s="643">
        <f t="shared" si="5"/>
        <v>5</v>
      </c>
      <c r="W28" s="688">
        <f t="shared" si="6"/>
        <v>0</v>
      </c>
      <c r="X28" s="346"/>
      <c r="Y28" s="346"/>
      <c r="Z28" s="469"/>
    </row>
    <row r="29" spans="1:26" s="325" customFormat="1" ht="11.25" customHeight="1" x14ac:dyDescent="0.25">
      <c r="A29" s="328" t="s">
        <v>378</v>
      </c>
      <c r="B29" s="329" t="s">
        <v>462</v>
      </c>
      <c r="C29" s="329" t="s">
        <v>480</v>
      </c>
      <c r="D29" s="338" t="s">
        <v>92</v>
      </c>
      <c r="E29" s="329" t="s">
        <v>91</v>
      </c>
      <c r="F29" s="330" t="s">
        <v>464</v>
      </c>
      <c r="G29" s="344"/>
      <c r="H29" s="639"/>
      <c r="I29" s="338"/>
      <c r="J29" s="338">
        <v>10</v>
      </c>
      <c r="K29" s="338"/>
      <c r="L29" s="642"/>
      <c r="M29" s="639"/>
      <c r="N29" s="338"/>
      <c r="O29" s="338"/>
      <c r="P29" s="338"/>
      <c r="Q29" s="338"/>
      <c r="R29" s="642"/>
      <c r="S29" s="643">
        <f t="shared" si="1"/>
        <v>0</v>
      </c>
      <c r="T29" s="643">
        <f t="shared" si="1"/>
        <v>0</v>
      </c>
      <c r="U29" s="643">
        <f t="shared" si="4"/>
        <v>10</v>
      </c>
      <c r="V29" s="643">
        <f t="shared" si="5"/>
        <v>0</v>
      </c>
      <c r="W29" s="688">
        <f t="shared" si="6"/>
        <v>0</v>
      </c>
      <c r="X29" s="346"/>
      <c r="Y29" s="346"/>
      <c r="Z29" s="469"/>
    </row>
    <row r="30" spans="1:26" s="325" customFormat="1" ht="11.25" customHeight="1" x14ac:dyDescent="0.25">
      <c r="A30" s="328" t="s">
        <v>378</v>
      </c>
      <c r="B30" s="329" t="s">
        <v>462</v>
      </c>
      <c r="C30" s="329" t="s">
        <v>480</v>
      </c>
      <c r="D30" s="338" t="s">
        <v>100</v>
      </c>
      <c r="E30" s="329" t="s">
        <v>99</v>
      </c>
      <c r="F30" s="330" t="s">
        <v>464</v>
      </c>
      <c r="G30" s="465"/>
      <c r="H30" s="639"/>
      <c r="I30" s="338"/>
      <c r="J30" s="338">
        <v>0</v>
      </c>
      <c r="K30" s="338">
        <v>4</v>
      </c>
      <c r="L30" s="642">
        <v>0</v>
      </c>
      <c r="M30" s="639"/>
      <c r="N30" s="338"/>
      <c r="O30" s="338"/>
      <c r="P30" s="338"/>
      <c r="Q30" s="338"/>
      <c r="R30" s="642"/>
      <c r="S30" s="643">
        <f t="shared" si="1"/>
        <v>0</v>
      </c>
      <c r="T30" s="643">
        <f t="shared" si="1"/>
        <v>0</v>
      </c>
      <c r="U30" s="643">
        <f t="shared" si="4"/>
        <v>0</v>
      </c>
      <c r="V30" s="643">
        <f t="shared" si="5"/>
        <v>4</v>
      </c>
      <c r="W30" s="688">
        <f t="shared" si="6"/>
        <v>0</v>
      </c>
      <c r="X30" s="346"/>
      <c r="Y30" s="346"/>
      <c r="Z30" s="469"/>
    </row>
    <row r="31" spans="1:26" s="325" customFormat="1" ht="11.25" customHeight="1" x14ac:dyDescent="0.25">
      <c r="A31" s="328" t="s">
        <v>378</v>
      </c>
      <c r="B31" s="329" t="s">
        <v>462</v>
      </c>
      <c r="C31" s="329" t="s">
        <v>480</v>
      </c>
      <c r="D31" s="338" t="s">
        <v>551</v>
      </c>
      <c r="E31" s="329" t="s">
        <v>46</v>
      </c>
      <c r="F31" s="330" t="s">
        <v>464</v>
      </c>
      <c r="G31" s="344"/>
      <c r="H31" s="639">
        <v>0</v>
      </c>
      <c r="I31" s="338">
        <v>0</v>
      </c>
      <c r="J31" s="338">
        <v>0</v>
      </c>
      <c r="K31" s="338">
        <v>10</v>
      </c>
      <c r="L31" s="642">
        <v>0</v>
      </c>
      <c r="M31" s="639"/>
      <c r="N31" s="338"/>
      <c r="O31" s="338"/>
      <c r="P31" s="338">
        <v>3</v>
      </c>
      <c r="Q31" s="338"/>
      <c r="R31" s="642" t="s">
        <v>1762</v>
      </c>
      <c r="S31" s="643">
        <f t="shared" si="1"/>
        <v>0</v>
      </c>
      <c r="T31" s="643">
        <f t="shared" si="1"/>
        <v>0</v>
      </c>
      <c r="U31" s="643">
        <f t="shared" si="4"/>
        <v>0</v>
      </c>
      <c r="V31" s="643">
        <f t="shared" si="5"/>
        <v>7</v>
      </c>
      <c r="W31" s="688">
        <f t="shared" si="6"/>
        <v>0</v>
      </c>
      <c r="X31" s="346"/>
      <c r="Y31" s="346"/>
      <c r="Z31" s="469"/>
    </row>
    <row r="32" spans="1:26" s="325" customFormat="1" ht="11.25" customHeight="1" x14ac:dyDescent="0.25">
      <c r="A32" s="328" t="s">
        <v>378</v>
      </c>
      <c r="B32" s="329" t="s">
        <v>1308</v>
      </c>
      <c r="C32" s="329" t="s">
        <v>480</v>
      </c>
      <c r="D32" s="338" t="s">
        <v>1311</v>
      </c>
      <c r="E32" s="329" t="s">
        <v>107</v>
      </c>
      <c r="F32" s="330" t="s">
        <v>464</v>
      </c>
      <c r="G32" s="345"/>
      <c r="H32" s="639">
        <v>53</v>
      </c>
      <c r="I32" s="338">
        <v>53</v>
      </c>
      <c r="J32" s="640">
        <v>53</v>
      </c>
      <c r="K32" s="640">
        <v>0</v>
      </c>
      <c r="L32" s="641"/>
      <c r="M32" s="639">
        <v>53</v>
      </c>
      <c r="N32" s="338">
        <v>53</v>
      </c>
      <c r="O32" s="338">
        <v>26</v>
      </c>
      <c r="P32" s="338"/>
      <c r="Q32" s="338"/>
      <c r="R32" s="642" t="s">
        <v>1564</v>
      </c>
      <c r="S32" s="643">
        <f t="shared" si="1"/>
        <v>0</v>
      </c>
      <c r="T32" s="643">
        <f t="shared" si="1"/>
        <v>0</v>
      </c>
      <c r="U32" s="643">
        <f t="shared" si="4"/>
        <v>27</v>
      </c>
      <c r="V32" s="643">
        <f t="shared" si="5"/>
        <v>0</v>
      </c>
      <c r="W32" s="688">
        <f t="shared" si="6"/>
        <v>0</v>
      </c>
      <c r="X32" s="346"/>
      <c r="Y32" s="346"/>
      <c r="Z32" s="469"/>
    </row>
    <row r="33" spans="1:26" s="325" customFormat="1" ht="11.25" customHeight="1" x14ac:dyDescent="0.25">
      <c r="A33" s="328" t="s">
        <v>378</v>
      </c>
      <c r="B33" s="329" t="s">
        <v>462</v>
      </c>
      <c r="C33" s="329" t="s">
        <v>480</v>
      </c>
      <c r="D33" s="338" t="s">
        <v>1312</v>
      </c>
      <c r="E33" s="329" t="s">
        <v>117</v>
      </c>
      <c r="F33" s="330" t="s">
        <v>464</v>
      </c>
      <c r="G33" s="344"/>
      <c r="H33" s="639">
        <v>0</v>
      </c>
      <c r="I33" s="338">
        <v>0</v>
      </c>
      <c r="J33" s="338">
        <v>0</v>
      </c>
      <c r="K33" s="338">
        <v>5</v>
      </c>
      <c r="L33" s="642">
        <v>0</v>
      </c>
      <c r="M33" s="639"/>
      <c r="N33" s="338"/>
      <c r="O33" s="338"/>
      <c r="P33" s="329">
        <v>4</v>
      </c>
      <c r="Q33" s="338"/>
      <c r="R33" s="642" t="s">
        <v>1601</v>
      </c>
      <c r="S33" s="643">
        <f t="shared" si="1"/>
        <v>0</v>
      </c>
      <c r="T33" s="643">
        <f t="shared" si="1"/>
        <v>0</v>
      </c>
      <c r="U33" s="643">
        <f t="shared" si="4"/>
        <v>0</v>
      </c>
      <c r="V33" s="643">
        <f t="shared" si="5"/>
        <v>1</v>
      </c>
      <c r="W33" s="688">
        <f t="shared" si="6"/>
        <v>0</v>
      </c>
      <c r="X33" s="346"/>
      <c r="Y33" s="346"/>
      <c r="Z33" s="469"/>
    </row>
    <row r="34" spans="1:26" s="341" customFormat="1" ht="11.25" customHeight="1" x14ac:dyDescent="0.25">
      <c r="A34" s="328" t="s">
        <v>378</v>
      </c>
      <c r="B34" s="329"/>
      <c r="C34" s="338" t="s">
        <v>480</v>
      </c>
      <c r="D34" s="338" t="s">
        <v>1157</v>
      </c>
      <c r="E34" s="329" t="s">
        <v>1163</v>
      </c>
      <c r="F34" s="340" t="s">
        <v>464</v>
      </c>
      <c r="G34" s="345"/>
      <c r="H34" s="644"/>
      <c r="I34" s="640"/>
      <c r="J34" s="640">
        <v>0</v>
      </c>
      <c r="K34" s="640">
        <v>0</v>
      </c>
      <c r="L34" s="641">
        <v>0</v>
      </c>
      <c r="M34" s="639"/>
      <c r="N34" s="338"/>
      <c r="O34" s="338"/>
      <c r="P34" s="338"/>
      <c r="Q34" s="338"/>
      <c r="R34" s="642"/>
      <c r="S34" s="643">
        <f t="shared" si="1"/>
        <v>0</v>
      </c>
      <c r="T34" s="643">
        <f t="shared" si="1"/>
        <v>0</v>
      </c>
      <c r="U34" s="643">
        <f t="shared" si="4"/>
        <v>0</v>
      </c>
      <c r="V34" s="643">
        <f t="shared" si="5"/>
        <v>0</v>
      </c>
      <c r="W34" s="688">
        <f t="shared" si="6"/>
        <v>0</v>
      </c>
      <c r="X34" s="346"/>
      <c r="Y34" s="346"/>
      <c r="Z34" s="690"/>
    </row>
    <row r="35" spans="1:26" s="325" customFormat="1" ht="11.25" customHeight="1" x14ac:dyDescent="0.25">
      <c r="A35" s="328" t="s">
        <v>378</v>
      </c>
      <c r="B35" s="329" t="s">
        <v>424</v>
      </c>
      <c r="C35" s="329" t="s">
        <v>480</v>
      </c>
      <c r="D35" s="338" t="s">
        <v>1313</v>
      </c>
      <c r="E35" s="329" t="s">
        <v>125</v>
      </c>
      <c r="F35" s="330" t="s">
        <v>464</v>
      </c>
      <c r="G35" s="466" t="s">
        <v>1307</v>
      </c>
      <c r="H35" s="644"/>
      <c r="I35" s="338"/>
      <c r="J35" s="640">
        <v>0</v>
      </c>
      <c r="K35" s="640">
        <v>0</v>
      </c>
      <c r="L35" s="641">
        <v>0</v>
      </c>
      <c r="M35" s="639"/>
      <c r="N35" s="338"/>
      <c r="O35" s="338"/>
      <c r="P35" s="338"/>
      <c r="Q35" s="338"/>
      <c r="R35" s="642"/>
      <c r="S35" s="643">
        <f t="shared" si="1"/>
        <v>0</v>
      </c>
      <c r="T35" s="643">
        <f t="shared" si="1"/>
        <v>0</v>
      </c>
      <c r="U35" s="643">
        <f t="shared" si="4"/>
        <v>0</v>
      </c>
      <c r="V35" s="643">
        <f t="shared" si="5"/>
        <v>0</v>
      </c>
      <c r="W35" s="688">
        <f t="shared" si="6"/>
        <v>0</v>
      </c>
      <c r="X35" s="346"/>
      <c r="Y35" s="346"/>
      <c r="Z35" s="469"/>
    </row>
    <row r="36" spans="1:26" s="325" customFormat="1" ht="11.25" customHeight="1" x14ac:dyDescent="0.25">
      <c r="A36" s="328" t="s">
        <v>378</v>
      </c>
      <c r="B36" s="329" t="s">
        <v>424</v>
      </c>
      <c r="C36" s="329" t="s">
        <v>480</v>
      </c>
      <c r="D36" s="338" t="s">
        <v>1314</v>
      </c>
      <c r="E36" s="329" t="s">
        <v>139</v>
      </c>
      <c r="F36" s="330" t="s">
        <v>464</v>
      </c>
      <c r="G36" s="466" t="s">
        <v>1307</v>
      </c>
      <c r="H36" s="644">
        <v>8</v>
      </c>
      <c r="I36" s="338">
        <v>8</v>
      </c>
      <c r="J36" s="640"/>
      <c r="K36" s="640">
        <v>0</v>
      </c>
      <c r="L36" s="641">
        <v>0</v>
      </c>
      <c r="M36" s="639"/>
      <c r="N36" s="338"/>
      <c r="O36" s="338"/>
      <c r="P36" s="338"/>
      <c r="Q36" s="338"/>
      <c r="R36" s="642"/>
      <c r="S36" s="643">
        <f t="shared" si="1"/>
        <v>8</v>
      </c>
      <c r="T36" s="643">
        <f t="shared" si="1"/>
        <v>8</v>
      </c>
      <c r="U36" s="643">
        <f t="shared" si="4"/>
        <v>0</v>
      </c>
      <c r="V36" s="643">
        <f t="shared" si="5"/>
        <v>0</v>
      </c>
      <c r="W36" s="688">
        <f t="shared" si="6"/>
        <v>0</v>
      </c>
      <c r="X36" s="346"/>
      <c r="Y36" s="346"/>
      <c r="Z36" s="469" t="s">
        <v>1305</v>
      </c>
    </row>
    <row r="37" spans="1:26" s="325" customFormat="1" ht="11.25" customHeight="1" x14ac:dyDescent="0.25">
      <c r="A37" s="328" t="s">
        <v>378</v>
      </c>
      <c r="B37" s="329" t="s">
        <v>424</v>
      </c>
      <c r="C37" s="329" t="s">
        <v>480</v>
      </c>
      <c r="D37" s="338" t="s">
        <v>915</v>
      </c>
      <c r="E37" s="329" t="s">
        <v>916</v>
      </c>
      <c r="F37" s="330" t="s">
        <v>464</v>
      </c>
      <c r="G37" s="344" t="s">
        <v>1307</v>
      </c>
      <c r="H37" s="644"/>
      <c r="I37" s="640"/>
      <c r="J37" s="640"/>
      <c r="K37" s="640">
        <v>20</v>
      </c>
      <c r="L37" s="641">
        <v>0</v>
      </c>
      <c r="M37" s="639"/>
      <c r="N37" s="338"/>
      <c r="O37" s="338"/>
      <c r="P37" s="338"/>
      <c r="Q37" s="338"/>
      <c r="R37" s="642"/>
      <c r="S37" s="643">
        <f t="shared" si="1"/>
        <v>0</v>
      </c>
      <c r="T37" s="643">
        <f t="shared" si="1"/>
        <v>0</v>
      </c>
      <c r="U37" s="643">
        <f t="shared" si="4"/>
        <v>0</v>
      </c>
      <c r="V37" s="643">
        <f t="shared" si="5"/>
        <v>20</v>
      </c>
      <c r="W37" s="688">
        <f t="shared" si="6"/>
        <v>0</v>
      </c>
      <c r="X37" s="346"/>
      <c r="Y37" s="346"/>
      <c r="Z37" s="469"/>
    </row>
    <row r="38" spans="1:26" s="325" customFormat="1" ht="11.25" customHeight="1" x14ac:dyDescent="0.25">
      <c r="A38" s="328" t="s">
        <v>378</v>
      </c>
      <c r="B38" s="329" t="s">
        <v>1308</v>
      </c>
      <c r="C38" s="329" t="s">
        <v>480</v>
      </c>
      <c r="D38" s="338" t="s">
        <v>1315</v>
      </c>
      <c r="E38" s="329" t="s">
        <v>119</v>
      </c>
      <c r="F38" s="330" t="s">
        <v>464</v>
      </c>
      <c r="G38" s="344" t="s">
        <v>1307</v>
      </c>
      <c r="H38" s="639">
        <v>62</v>
      </c>
      <c r="I38" s="338">
        <v>62</v>
      </c>
      <c r="J38" s="640"/>
      <c r="K38" s="640">
        <v>72</v>
      </c>
      <c r="L38" s="641">
        <v>0</v>
      </c>
      <c r="M38" s="639"/>
      <c r="N38" s="338"/>
      <c r="O38" s="338"/>
      <c r="P38" s="338">
        <v>72</v>
      </c>
      <c r="Q38" s="338"/>
      <c r="R38" s="642" t="s">
        <v>1564</v>
      </c>
      <c r="S38" s="643">
        <f t="shared" si="1"/>
        <v>62</v>
      </c>
      <c r="T38" s="643">
        <f t="shared" si="1"/>
        <v>62</v>
      </c>
      <c r="U38" s="643">
        <f t="shared" si="4"/>
        <v>0</v>
      </c>
      <c r="V38" s="643">
        <f t="shared" si="5"/>
        <v>0</v>
      </c>
      <c r="W38" s="688">
        <f t="shared" si="6"/>
        <v>0</v>
      </c>
      <c r="X38" s="346"/>
      <c r="Y38" s="346"/>
      <c r="Z38" s="469"/>
    </row>
    <row r="39" spans="1:26" s="325" customFormat="1" ht="11.25" customHeight="1" x14ac:dyDescent="0.25">
      <c r="A39" s="328" t="s">
        <v>378</v>
      </c>
      <c r="B39" s="329" t="s">
        <v>1308</v>
      </c>
      <c r="C39" s="329" t="s">
        <v>480</v>
      </c>
      <c r="D39" s="521" t="s">
        <v>1156</v>
      </c>
      <c r="E39" s="329" t="s">
        <v>1164</v>
      </c>
      <c r="F39" s="330" t="s">
        <v>464</v>
      </c>
      <c r="G39" s="344"/>
      <c r="H39" s="639"/>
      <c r="I39" s="338"/>
      <c r="J39" s="640"/>
      <c r="K39" s="640"/>
      <c r="L39" s="641"/>
      <c r="M39" s="639"/>
      <c r="N39" s="338"/>
      <c r="O39" s="338"/>
      <c r="P39" s="338"/>
      <c r="Q39" s="338"/>
      <c r="R39" s="642"/>
      <c r="S39" s="643"/>
      <c r="T39" s="643"/>
      <c r="U39" s="643"/>
      <c r="V39" s="643"/>
      <c r="W39" s="688">
        <f t="shared" si="6"/>
        <v>0</v>
      </c>
      <c r="X39" s="346"/>
      <c r="Y39" s="346"/>
      <c r="Z39" s="469"/>
    </row>
    <row r="40" spans="1:26" s="325" customFormat="1" ht="11.25" customHeight="1" x14ac:dyDescent="0.25">
      <c r="A40" s="328" t="s">
        <v>378</v>
      </c>
      <c r="B40" s="329" t="s">
        <v>424</v>
      </c>
      <c r="C40" s="329" t="s">
        <v>480</v>
      </c>
      <c r="D40" s="338" t="s">
        <v>88</v>
      </c>
      <c r="E40" s="329" t="s">
        <v>87</v>
      </c>
      <c r="F40" s="330" t="s">
        <v>464</v>
      </c>
      <c r="G40" s="344" t="s">
        <v>1307</v>
      </c>
      <c r="H40" s="644">
        <v>13</v>
      </c>
      <c r="I40" s="338">
        <v>13</v>
      </c>
      <c r="J40" s="640">
        <v>0</v>
      </c>
      <c r="K40" s="640">
        <v>20</v>
      </c>
      <c r="L40" s="641"/>
      <c r="M40" s="338">
        <v>13</v>
      </c>
      <c r="N40" s="338">
        <v>13</v>
      </c>
      <c r="O40" s="338"/>
      <c r="P40" s="338">
        <v>20</v>
      </c>
      <c r="Q40" s="338"/>
      <c r="R40" s="642" t="s">
        <v>1261</v>
      </c>
      <c r="S40" s="643">
        <f t="shared" si="1"/>
        <v>0</v>
      </c>
      <c r="T40" s="643">
        <f t="shared" si="1"/>
        <v>0</v>
      </c>
      <c r="U40" s="643">
        <f t="shared" si="4"/>
        <v>0</v>
      </c>
      <c r="V40" s="643">
        <f t="shared" si="5"/>
        <v>0</v>
      </c>
      <c r="W40" s="688">
        <f t="shared" si="6"/>
        <v>0</v>
      </c>
      <c r="X40" s="346">
        <v>28</v>
      </c>
      <c r="Y40" s="346"/>
      <c r="Z40" s="469" t="s">
        <v>1305</v>
      </c>
    </row>
    <row r="41" spans="1:26" s="325" customFormat="1" ht="11.25" customHeight="1" x14ac:dyDescent="0.25">
      <c r="A41" s="328" t="s">
        <v>378</v>
      </c>
      <c r="B41" s="329" t="s">
        <v>1308</v>
      </c>
      <c r="C41" s="329" t="s">
        <v>480</v>
      </c>
      <c r="D41" s="338" t="s">
        <v>1642</v>
      </c>
      <c r="E41" s="329" t="s">
        <v>1697</v>
      </c>
      <c r="F41" s="330" t="s">
        <v>464</v>
      </c>
      <c r="G41" s="344"/>
      <c r="H41" s="644">
        <v>39</v>
      </c>
      <c r="I41" s="338">
        <v>39</v>
      </c>
      <c r="J41" s="640"/>
      <c r="K41" s="640"/>
      <c r="L41" s="641"/>
      <c r="M41" s="639"/>
      <c r="N41" s="338"/>
      <c r="O41" s="338"/>
      <c r="P41" s="338"/>
      <c r="Q41" s="338"/>
      <c r="R41" s="642"/>
      <c r="S41" s="643">
        <f t="shared" si="1"/>
        <v>39</v>
      </c>
      <c r="T41" s="643">
        <f t="shared" si="1"/>
        <v>39</v>
      </c>
      <c r="U41" s="643"/>
      <c r="V41" s="643"/>
      <c r="W41" s="688"/>
      <c r="X41" s="346">
        <v>40</v>
      </c>
      <c r="Y41" s="346">
        <v>40</v>
      </c>
      <c r="Z41" s="469"/>
    </row>
    <row r="42" spans="1:26" s="325" customFormat="1" ht="11.25" customHeight="1" x14ac:dyDescent="0.25">
      <c r="A42" s="328" t="s">
        <v>378</v>
      </c>
      <c r="B42" s="329" t="s">
        <v>1308</v>
      </c>
      <c r="C42" s="329" t="s">
        <v>480</v>
      </c>
      <c r="D42" s="338" t="s">
        <v>1707</v>
      </c>
      <c r="E42" s="329" t="s">
        <v>1699</v>
      </c>
      <c r="F42" s="330" t="s">
        <v>464</v>
      </c>
      <c r="G42" s="344"/>
      <c r="H42" s="644">
        <v>31</v>
      </c>
      <c r="I42" s="338">
        <v>31</v>
      </c>
      <c r="J42" s="640"/>
      <c r="K42" s="640"/>
      <c r="L42" s="641"/>
      <c r="M42" s="639">
        <v>12</v>
      </c>
      <c r="N42" s="338">
        <v>12</v>
      </c>
      <c r="O42" s="338"/>
      <c r="P42" s="338"/>
      <c r="Q42" s="338"/>
      <c r="R42" s="642" t="s">
        <v>1261</v>
      </c>
      <c r="S42" s="643">
        <v>13</v>
      </c>
      <c r="T42" s="643">
        <v>13</v>
      </c>
      <c r="U42" s="643"/>
      <c r="V42" s="643"/>
      <c r="W42" s="688"/>
      <c r="X42" s="346">
        <v>40</v>
      </c>
      <c r="Y42" s="346"/>
      <c r="Z42" s="469"/>
    </row>
    <row r="43" spans="1:26" s="325" customFormat="1" ht="11.25" customHeight="1" x14ac:dyDescent="0.25">
      <c r="A43" s="328" t="s">
        <v>378</v>
      </c>
      <c r="B43" s="329" t="s">
        <v>424</v>
      </c>
      <c r="C43" s="329" t="s">
        <v>480</v>
      </c>
      <c r="D43" s="338" t="s">
        <v>1158</v>
      </c>
      <c r="E43" s="329" t="s">
        <v>1161</v>
      </c>
      <c r="F43" s="330" t="s">
        <v>464</v>
      </c>
      <c r="G43" s="465" t="s">
        <v>1307</v>
      </c>
      <c r="H43" s="644">
        <v>6</v>
      </c>
      <c r="I43" s="640">
        <v>6</v>
      </c>
      <c r="J43" s="640">
        <v>16</v>
      </c>
      <c r="K43" s="742">
        <v>0</v>
      </c>
      <c r="L43" s="641">
        <v>0</v>
      </c>
      <c r="M43" s="639"/>
      <c r="N43" s="338"/>
      <c r="O43" s="338">
        <v>16</v>
      </c>
      <c r="P43" s="338"/>
      <c r="Q43" s="338"/>
      <c r="R43" s="642" t="s">
        <v>1602</v>
      </c>
      <c r="S43" s="643">
        <f t="shared" si="1"/>
        <v>6</v>
      </c>
      <c r="T43" s="643">
        <f t="shared" si="1"/>
        <v>6</v>
      </c>
      <c r="U43" s="643">
        <f t="shared" si="4"/>
        <v>0</v>
      </c>
      <c r="V43" s="643">
        <f t="shared" si="5"/>
        <v>0</v>
      </c>
      <c r="W43" s="688">
        <f t="shared" si="6"/>
        <v>0</v>
      </c>
      <c r="X43" s="346"/>
      <c r="Y43" s="346"/>
      <c r="Z43" s="469"/>
    </row>
    <row r="44" spans="1:26" s="325" customFormat="1" ht="11.25" customHeight="1" x14ac:dyDescent="0.25">
      <c r="A44" s="331" t="s">
        <v>3</v>
      </c>
      <c r="B44" s="332"/>
      <c r="C44" s="332"/>
      <c r="D44" s="333"/>
      <c r="E44" s="334"/>
      <c r="F44" s="335"/>
      <c r="G44" s="472"/>
      <c r="H44" s="336">
        <f t="shared" ref="H44:Y44" si="7">SUM(H21:H43)</f>
        <v>217</v>
      </c>
      <c r="I44" s="336">
        <f t="shared" si="7"/>
        <v>217</v>
      </c>
      <c r="J44" s="336">
        <f t="shared" si="7"/>
        <v>124</v>
      </c>
      <c r="K44" s="336">
        <f t="shared" si="7"/>
        <v>203</v>
      </c>
      <c r="L44" s="336">
        <f t="shared" si="7"/>
        <v>0</v>
      </c>
      <c r="M44" s="336">
        <f t="shared" si="7"/>
        <v>83</v>
      </c>
      <c r="N44" s="336">
        <f t="shared" si="7"/>
        <v>78</v>
      </c>
      <c r="O44" s="336">
        <f t="shared" si="7"/>
        <v>67</v>
      </c>
      <c r="P44" s="336">
        <f t="shared" si="7"/>
        <v>146</v>
      </c>
      <c r="Q44" s="336">
        <f t="shared" si="7"/>
        <v>0</v>
      </c>
      <c r="R44" s="336">
        <f t="shared" si="7"/>
        <v>0</v>
      </c>
      <c r="S44" s="336">
        <f>SUM(S21:S43)</f>
        <v>128</v>
      </c>
      <c r="T44" s="336">
        <f t="shared" si="7"/>
        <v>133</v>
      </c>
      <c r="U44" s="336">
        <f t="shared" si="7"/>
        <v>57</v>
      </c>
      <c r="V44" s="336">
        <f t="shared" si="7"/>
        <v>57</v>
      </c>
      <c r="W44" s="336">
        <f t="shared" si="7"/>
        <v>0</v>
      </c>
      <c r="X44" s="336">
        <f t="shared" si="7"/>
        <v>108</v>
      </c>
      <c r="Y44" s="336">
        <f t="shared" si="7"/>
        <v>40</v>
      </c>
      <c r="Z44" s="469"/>
    </row>
    <row r="45" spans="1:26" s="341" customFormat="1" ht="11.25" customHeight="1" x14ac:dyDescent="0.25">
      <c r="A45" s="328" t="s">
        <v>1316</v>
      </c>
      <c r="B45" s="329" t="s">
        <v>424</v>
      </c>
      <c r="C45" s="329" t="s">
        <v>719</v>
      </c>
      <c r="D45" s="329" t="s">
        <v>1374</v>
      </c>
      <c r="E45" s="329" t="s">
        <v>1044</v>
      </c>
      <c r="F45" s="330" t="s">
        <v>464</v>
      </c>
      <c r="G45" s="463" t="s">
        <v>1268</v>
      </c>
      <c r="H45" s="645">
        <v>7</v>
      </c>
      <c r="I45" s="646">
        <v>7</v>
      </c>
      <c r="J45" s="646">
        <v>0</v>
      </c>
      <c r="K45" s="646">
        <v>0</v>
      </c>
      <c r="L45" s="647">
        <v>0</v>
      </c>
      <c r="M45" s="639"/>
      <c r="N45" s="338"/>
      <c r="O45" s="338"/>
      <c r="P45" s="338"/>
      <c r="Q45" s="338"/>
      <c r="R45" s="642"/>
      <c r="S45" s="643">
        <f t="shared" si="1"/>
        <v>7</v>
      </c>
      <c r="T45" s="643">
        <f t="shared" si="1"/>
        <v>7</v>
      </c>
      <c r="U45" s="643">
        <f t="shared" si="4"/>
        <v>0</v>
      </c>
      <c r="V45" s="643">
        <f t="shared" si="5"/>
        <v>0</v>
      </c>
      <c r="W45" s="688">
        <f t="shared" si="6"/>
        <v>0</v>
      </c>
      <c r="X45" s="346"/>
      <c r="Y45" s="346"/>
      <c r="Z45" s="690"/>
    </row>
    <row r="46" spans="1:26" s="341" customFormat="1" ht="11.25" customHeight="1" x14ac:dyDescent="0.25">
      <c r="A46" s="331" t="s">
        <v>3</v>
      </c>
      <c r="B46" s="332"/>
      <c r="C46" s="332"/>
      <c r="D46" s="333"/>
      <c r="E46" s="334"/>
      <c r="F46" s="335"/>
      <c r="G46" s="472"/>
      <c r="H46" s="336">
        <f>SUM(H45)</f>
        <v>7</v>
      </c>
      <c r="I46" s="336">
        <f t="shared" ref="I46:Y46" si="8">SUM(I45)</f>
        <v>7</v>
      </c>
      <c r="J46" s="336">
        <f t="shared" si="8"/>
        <v>0</v>
      </c>
      <c r="K46" s="336">
        <f t="shared" si="8"/>
        <v>0</v>
      </c>
      <c r="L46" s="336">
        <f t="shared" si="8"/>
        <v>0</v>
      </c>
      <c r="M46" s="336">
        <f t="shared" si="8"/>
        <v>0</v>
      </c>
      <c r="N46" s="336">
        <f t="shared" si="8"/>
        <v>0</v>
      </c>
      <c r="O46" s="336">
        <f t="shared" si="8"/>
        <v>0</v>
      </c>
      <c r="P46" s="336">
        <f t="shared" si="8"/>
        <v>0</v>
      </c>
      <c r="Q46" s="336">
        <f t="shared" si="8"/>
        <v>0</v>
      </c>
      <c r="R46" s="336">
        <f t="shared" si="8"/>
        <v>0</v>
      </c>
      <c r="S46" s="336">
        <f>SUM(S45)</f>
        <v>7</v>
      </c>
      <c r="T46" s="336">
        <f t="shared" si="8"/>
        <v>7</v>
      </c>
      <c r="U46" s="336">
        <f t="shared" si="8"/>
        <v>0</v>
      </c>
      <c r="V46" s="336">
        <f t="shared" si="8"/>
        <v>0</v>
      </c>
      <c r="W46" s="336">
        <f t="shared" si="8"/>
        <v>0</v>
      </c>
      <c r="X46" s="336">
        <f t="shared" si="8"/>
        <v>0</v>
      </c>
      <c r="Y46" s="336">
        <f t="shared" si="8"/>
        <v>0</v>
      </c>
      <c r="Z46" s="690"/>
    </row>
    <row r="47" spans="1:26" s="325" customFormat="1" ht="11.25" customHeight="1" x14ac:dyDescent="0.25">
      <c r="A47" s="328" t="s">
        <v>1316</v>
      </c>
      <c r="B47" s="329" t="s">
        <v>1330</v>
      </c>
      <c r="C47" s="329" t="s">
        <v>1200</v>
      </c>
      <c r="D47" s="329" t="s">
        <v>1197</v>
      </c>
      <c r="E47" s="329"/>
      <c r="F47" s="330"/>
      <c r="G47" s="344"/>
      <c r="H47" s="645">
        <v>0</v>
      </c>
      <c r="I47" s="646">
        <v>0</v>
      </c>
      <c r="J47" s="646"/>
      <c r="K47" s="646"/>
      <c r="L47" s="647"/>
      <c r="M47" s="639"/>
      <c r="N47" s="338"/>
      <c r="O47" s="338"/>
      <c r="P47" s="338"/>
      <c r="Q47" s="338"/>
      <c r="R47" s="642"/>
      <c r="S47" s="643">
        <f t="shared" si="1"/>
        <v>0</v>
      </c>
      <c r="T47" s="643">
        <f t="shared" si="1"/>
        <v>0</v>
      </c>
      <c r="U47" s="643">
        <f t="shared" si="4"/>
        <v>0</v>
      </c>
      <c r="V47" s="643">
        <f t="shared" si="5"/>
        <v>0</v>
      </c>
      <c r="W47" s="688">
        <f t="shared" si="6"/>
        <v>0</v>
      </c>
      <c r="X47" s="346"/>
      <c r="Y47" s="346"/>
      <c r="Z47" s="469"/>
    </row>
    <row r="48" spans="1:26" s="341" customFormat="1" ht="11.25" customHeight="1" x14ac:dyDescent="0.25">
      <c r="A48" s="331" t="s">
        <v>3</v>
      </c>
      <c r="B48" s="332"/>
      <c r="C48" s="332"/>
      <c r="D48" s="333"/>
      <c r="E48" s="334"/>
      <c r="F48" s="335"/>
      <c r="G48" s="472"/>
      <c r="H48" s="336">
        <f t="shared" ref="H48:R48" si="9">SUM(H47)</f>
        <v>0</v>
      </c>
      <c r="I48" s="334">
        <f t="shared" si="9"/>
        <v>0</v>
      </c>
      <c r="J48" s="334">
        <f t="shared" si="9"/>
        <v>0</v>
      </c>
      <c r="K48" s="334">
        <f t="shared" si="9"/>
        <v>0</v>
      </c>
      <c r="L48" s="337">
        <f t="shared" si="9"/>
        <v>0</v>
      </c>
      <c r="M48" s="336">
        <f t="shared" si="9"/>
        <v>0</v>
      </c>
      <c r="N48" s="334">
        <f t="shared" si="9"/>
        <v>0</v>
      </c>
      <c r="O48" s="334">
        <f t="shared" si="9"/>
        <v>0</v>
      </c>
      <c r="P48" s="334">
        <f t="shared" si="9"/>
        <v>0</v>
      </c>
      <c r="Q48" s="334">
        <f t="shared" si="9"/>
        <v>0</v>
      </c>
      <c r="R48" s="337">
        <f t="shared" si="9"/>
        <v>0</v>
      </c>
      <c r="S48" s="474">
        <f>SUM(S47)</f>
        <v>0</v>
      </c>
      <c r="T48" s="474">
        <f t="shared" si="1"/>
        <v>0</v>
      </c>
      <c r="U48" s="474">
        <f t="shared" si="4"/>
        <v>0</v>
      </c>
      <c r="V48" s="474">
        <f t="shared" si="5"/>
        <v>0</v>
      </c>
      <c r="W48" s="474">
        <f t="shared" si="6"/>
        <v>0</v>
      </c>
      <c r="X48" s="474">
        <f t="shared" ref="X48" si="10">M48-R48</f>
        <v>0</v>
      </c>
      <c r="Y48" s="474">
        <f t="shared" ref="Y48" si="11">N48-S48</f>
        <v>0</v>
      </c>
      <c r="Z48" s="690"/>
    </row>
    <row r="49" spans="1:26" s="325" customFormat="1" ht="11.25" customHeight="1" x14ac:dyDescent="0.25">
      <c r="A49" s="328" t="s">
        <v>1316</v>
      </c>
      <c r="B49" s="329" t="s">
        <v>424</v>
      </c>
      <c r="C49" s="338" t="s">
        <v>146</v>
      </c>
      <c r="D49" s="338" t="s">
        <v>367</v>
      </c>
      <c r="E49" s="329" t="s">
        <v>381</v>
      </c>
      <c r="F49" s="330" t="s">
        <v>464</v>
      </c>
      <c r="G49" s="465"/>
      <c r="H49" s="644"/>
      <c r="I49" s="640"/>
      <c r="J49" s="640"/>
      <c r="K49" s="338"/>
      <c r="L49" s="641"/>
      <c r="M49" s="639"/>
      <c r="N49" s="338"/>
      <c r="O49" s="338"/>
      <c r="P49" s="338"/>
      <c r="Q49" s="338"/>
      <c r="R49" s="642"/>
      <c r="S49" s="643">
        <f t="shared" si="1"/>
        <v>0</v>
      </c>
      <c r="T49" s="643">
        <f t="shared" si="1"/>
        <v>0</v>
      </c>
      <c r="U49" s="643">
        <f t="shared" si="4"/>
        <v>0</v>
      </c>
      <c r="V49" s="643">
        <f t="shared" si="5"/>
        <v>0</v>
      </c>
      <c r="W49" s="688">
        <f t="shared" si="6"/>
        <v>0</v>
      </c>
      <c r="X49" s="346"/>
      <c r="Y49" s="346"/>
      <c r="Z49" s="469"/>
    </row>
    <row r="50" spans="1:26" s="325" customFormat="1" ht="11.25" customHeight="1" x14ac:dyDescent="0.25">
      <c r="A50" s="328" t="s">
        <v>1316</v>
      </c>
      <c r="B50" s="329" t="s">
        <v>424</v>
      </c>
      <c r="C50" s="338" t="s">
        <v>146</v>
      </c>
      <c r="D50" s="338" t="s">
        <v>1232</v>
      </c>
      <c r="E50" s="329" t="s">
        <v>1231</v>
      </c>
      <c r="F50" s="330" t="s">
        <v>464</v>
      </c>
      <c r="G50" s="465" t="s">
        <v>1307</v>
      </c>
      <c r="H50" s="644"/>
      <c r="I50" s="640"/>
      <c r="J50" s="640">
        <v>0</v>
      </c>
      <c r="K50" s="338">
        <v>0</v>
      </c>
      <c r="L50" s="641"/>
      <c r="M50" s="639"/>
      <c r="N50" s="338"/>
      <c r="O50" s="338"/>
      <c r="P50" s="338"/>
      <c r="Q50" s="338"/>
      <c r="R50" s="642"/>
      <c r="S50" s="643">
        <f t="shared" si="1"/>
        <v>0</v>
      </c>
      <c r="T50" s="643">
        <f t="shared" si="1"/>
        <v>0</v>
      </c>
      <c r="U50" s="643">
        <f t="shared" si="4"/>
        <v>0</v>
      </c>
      <c r="V50" s="643">
        <f t="shared" si="5"/>
        <v>0</v>
      </c>
      <c r="W50" s="688">
        <f t="shared" si="6"/>
        <v>0</v>
      </c>
      <c r="X50" s="346"/>
      <c r="Y50" s="346"/>
      <c r="Z50" s="469" t="s">
        <v>1318</v>
      </c>
    </row>
    <row r="51" spans="1:26" s="325" customFormat="1" ht="11.25" customHeight="1" x14ac:dyDescent="0.25">
      <c r="A51" s="328" t="s">
        <v>1316</v>
      </c>
      <c r="B51" s="329" t="s">
        <v>1319</v>
      </c>
      <c r="C51" s="338" t="s">
        <v>146</v>
      </c>
      <c r="D51" s="338" t="s">
        <v>368</v>
      </c>
      <c r="E51" s="329" t="s">
        <v>382</v>
      </c>
      <c r="F51" s="330" t="s">
        <v>464</v>
      </c>
      <c r="G51" s="345"/>
      <c r="H51" s="644">
        <v>32</v>
      </c>
      <c r="I51" s="640">
        <v>32</v>
      </c>
      <c r="J51" s="640">
        <v>0</v>
      </c>
      <c r="K51" s="640"/>
      <c r="L51" s="641">
        <v>0</v>
      </c>
      <c r="M51" s="639">
        <v>32</v>
      </c>
      <c r="N51" s="338">
        <v>32</v>
      </c>
      <c r="O51" s="338"/>
      <c r="P51" s="338"/>
      <c r="Q51" s="338"/>
      <c r="R51" s="642" t="s">
        <v>1768</v>
      </c>
      <c r="S51" s="643">
        <f t="shared" si="1"/>
        <v>0</v>
      </c>
      <c r="T51" s="643">
        <f t="shared" si="1"/>
        <v>0</v>
      </c>
      <c r="U51" s="643">
        <f t="shared" si="4"/>
        <v>0</v>
      </c>
      <c r="V51" s="643">
        <f t="shared" si="5"/>
        <v>0</v>
      </c>
      <c r="W51" s="688">
        <f t="shared" si="6"/>
        <v>0</v>
      </c>
      <c r="X51" s="346"/>
      <c r="Y51" s="346"/>
      <c r="Z51" s="469"/>
    </row>
    <row r="52" spans="1:26" s="325" customFormat="1" ht="11.25" customHeight="1" x14ac:dyDescent="0.25">
      <c r="A52" s="328" t="s">
        <v>1316</v>
      </c>
      <c r="B52" s="329" t="s">
        <v>424</v>
      </c>
      <c r="C52" s="338" t="s">
        <v>146</v>
      </c>
      <c r="D52" s="329" t="s">
        <v>1617</v>
      </c>
      <c r="E52" s="329" t="s">
        <v>383</v>
      </c>
      <c r="F52" s="330" t="s">
        <v>464</v>
      </c>
      <c r="G52" s="465" t="s">
        <v>1460</v>
      </c>
      <c r="H52" s="639">
        <v>12</v>
      </c>
      <c r="I52" s="338">
        <v>12</v>
      </c>
      <c r="J52" s="640"/>
      <c r="K52" s="338"/>
      <c r="L52" s="641">
        <v>0</v>
      </c>
      <c r="M52" s="639">
        <v>12</v>
      </c>
      <c r="N52" s="338">
        <v>12</v>
      </c>
      <c r="O52" s="338"/>
      <c r="P52" s="338"/>
      <c r="Q52" s="338"/>
      <c r="R52" s="642" t="s">
        <v>1646</v>
      </c>
      <c r="S52" s="643">
        <f t="shared" si="1"/>
        <v>0</v>
      </c>
      <c r="T52" s="643">
        <f t="shared" si="1"/>
        <v>0</v>
      </c>
      <c r="U52" s="643">
        <f t="shared" si="4"/>
        <v>0</v>
      </c>
      <c r="V52" s="643">
        <f t="shared" si="5"/>
        <v>0</v>
      </c>
      <c r="W52" s="688">
        <f t="shared" si="6"/>
        <v>0</v>
      </c>
      <c r="X52" s="346"/>
      <c r="Y52" s="346"/>
      <c r="Z52" s="469"/>
    </row>
    <row r="53" spans="1:26" s="325" customFormat="1" ht="11.25" customHeight="1" x14ac:dyDescent="0.25">
      <c r="A53" s="328" t="s">
        <v>1316</v>
      </c>
      <c r="B53" s="329" t="s">
        <v>1317</v>
      </c>
      <c r="C53" s="338" t="s">
        <v>146</v>
      </c>
      <c r="D53" s="338" t="s">
        <v>1320</v>
      </c>
      <c r="E53" s="329" t="s">
        <v>1242</v>
      </c>
      <c r="F53" s="330" t="s">
        <v>464</v>
      </c>
      <c r="G53" s="465" t="s">
        <v>1307</v>
      </c>
      <c r="H53" s="639"/>
      <c r="I53" s="338"/>
      <c r="J53" s="640"/>
      <c r="K53" s="338"/>
      <c r="L53" s="641"/>
      <c r="M53" s="639"/>
      <c r="N53" s="338"/>
      <c r="O53" s="338"/>
      <c r="P53" s="338"/>
      <c r="Q53" s="338"/>
      <c r="R53" s="642"/>
      <c r="S53" s="643">
        <f t="shared" si="1"/>
        <v>0</v>
      </c>
      <c r="T53" s="643">
        <f t="shared" si="1"/>
        <v>0</v>
      </c>
      <c r="U53" s="643">
        <f t="shared" si="4"/>
        <v>0</v>
      </c>
      <c r="V53" s="643">
        <f t="shared" si="5"/>
        <v>0</v>
      </c>
      <c r="W53" s="688">
        <f t="shared" si="6"/>
        <v>0</v>
      </c>
      <c r="X53" s="346"/>
      <c r="Y53" s="346"/>
      <c r="Z53" s="469" t="s">
        <v>1318</v>
      </c>
    </row>
    <row r="54" spans="1:26" s="325" customFormat="1" ht="11.25" customHeight="1" x14ac:dyDescent="0.25">
      <c r="A54" s="328" t="s">
        <v>1316</v>
      </c>
      <c r="B54" s="329" t="s">
        <v>424</v>
      </c>
      <c r="C54" s="338" t="s">
        <v>146</v>
      </c>
      <c r="D54" s="338" t="s">
        <v>1321</v>
      </c>
      <c r="E54" s="329" t="s">
        <v>147</v>
      </c>
      <c r="F54" s="330" t="s">
        <v>464</v>
      </c>
      <c r="G54" s="465"/>
      <c r="H54" s="645"/>
      <c r="I54" s="646">
        <v>0</v>
      </c>
      <c r="J54" s="640">
        <v>0</v>
      </c>
      <c r="K54" s="640">
        <v>20</v>
      </c>
      <c r="L54" s="641">
        <v>0</v>
      </c>
      <c r="M54" s="639"/>
      <c r="N54" s="338"/>
      <c r="O54" s="338"/>
      <c r="P54" s="338"/>
      <c r="Q54" s="338"/>
      <c r="R54" s="642"/>
      <c r="S54" s="643">
        <f t="shared" si="1"/>
        <v>0</v>
      </c>
      <c r="T54" s="643">
        <f t="shared" si="1"/>
        <v>0</v>
      </c>
      <c r="U54" s="643">
        <f t="shared" si="4"/>
        <v>0</v>
      </c>
      <c r="V54" s="643">
        <f t="shared" si="5"/>
        <v>20</v>
      </c>
      <c r="W54" s="688">
        <f t="shared" si="6"/>
        <v>0</v>
      </c>
      <c r="X54" s="346"/>
      <c r="Y54" s="346"/>
      <c r="Z54" s="469"/>
    </row>
    <row r="55" spans="1:26" s="325" customFormat="1" ht="11.25" customHeight="1" x14ac:dyDescent="0.25">
      <c r="A55" s="328" t="s">
        <v>1316</v>
      </c>
      <c r="B55" s="329" t="s">
        <v>424</v>
      </c>
      <c r="C55" s="338" t="s">
        <v>146</v>
      </c>
      <c r="D55" s="338" t="s">
        <v>149</v>
      </c>
      <c r="E55" s="329" t="s">
        <v>148</v>
      </c>
      <c r="F55" s="330" t="s">
        <v>464</v>
      </c>
      <c r="G55" s="345"/>
      <c r="H55" s="644">
        <v>4</v>
      </c>
      <c r="I55" s="640">
        <v>0</v>
      </c>
      <c r="J55" s="640">
        <v>0</v>
      </c>
      <c r="K55" s="338"/>
      <c r="L55" s="641">
        <v>0</v>
      </c>
      <c r="M55" s="639"/>
      <c r="N55" s="338"/>
      <c r="O55" s="338"/>
      <c r="P55" s="338"/>
      <c r="Q55" s="338"/>
      <c r="R55" s="642"/>
      <c r="S55" s="643">
        <f t="shared" si="1"/>
        <v>4</v>
      </c>
      <c r="T55" s="643">
        <f t="shared" si="1"/>
        <v>0</v>
      </c>
      <c r="U55" s="643">
        <f t="shared" si="4"/>
        <v>0</v>
      </c>
      <c r="V55" s="643">
        <f t="shared" si="5"/>
        <v>0</v>
      </c>
      <c r="W55" s="688">
        <f t="shared" si="6"/>
        <v>0</v>
      </c>
      <c r="X55" s="346"/>
      <c r="Y55" s="346"/>
      <c r="Z55" s="469"/>
    </row>
    <row r="56" spans="1:26" s="325" customFormat="1" ht="11.25" customHeight="1" x14ac:dyDescent="0.25">
      <c r="A56" s="328" t="s">
        <v>1316</v>
      </c>
      <c r="B56" s="329" t="s">
        <v>424</v>
      </c>
      <c r="C56" s="338" t="s">
        <v>146</v>
      </c>
      <c r="D56" s="329" t="s">
        <v>1618</v>
      </c>
      <c r="E56" s="329" t="s">
        <v>1121</v>
      </c>
      <c r="F56" s="330" t="s">
        <v>464</v>
      </c>
      <c r="G56" s="345"/>
      <c r="H56" s="644">
        <v>108</v>
      </c>
      <c r="I56" s="640">
        <v>108</v>
      </c>
      <c r="J56" s="640"/>
      <c r="K56" s="338">
        <v>82</v>
      </c>
      <c r="L56" s="641"/>
      <c r="M56" s="639">
        <v>35</v>
      </c>
      <c r="N56" s="338">
        <v>35</v>
      </c>
      <c r="O56" s="338"/>
      <c r="P56" s="338">
        <v>82</v>
      </c>
      <c r="Q56" s="338"/>
      <c r="R56" s="642" t="s">
        <v>1644</v>
      </c>
      <c r="S56" s="643">
        <f t="shared" si="1"/>
        <v>73</v>
      </c>
      <c r="T56" s="643">
        <f t="shared" si="1"/>
        <v>73</v>
      </c>
      <c r="U56" s="643">
        <f t="shared" si="4"/>
        <v>0</v>
      </c>
      <c r="V56" s="643">
        <f t="shared" si="5"/>
        <v>0</v>
      </c>
      <c r="W56" s="688">
        <f t="shared" si="6"/>
        <v>0</v>
      </c>
      <c r="X56" s="346"/>
      <c r="Y56" s="346"/>
      <c r="Z56" s="469"/>
    </row>
    <row r="57" spans="1:26" s="325" customFormat="1" ht="11.25" customHeight="1" x14ac:dyDescent="0.25">
      <c r="A57" s="328" t="s">
        <v>1316</v>
      </c>
      <c r="B57" s="329" t="s">
        <v>1330</v>
      </c>
      <c r="C57" s="338" t="s">
        <v>146</v>
      </c>
      <c r="D57" s="338" t="s">
        <v>1532</v>
      </c>
      <c r="E57" s="329" t="s">
        <v>1549</v>
      </c>
      <c r="F57" s="330" t="s">
        <v>464</v>
      </c>
      <c r="G57" s="345"/>
      <c r="H57" s="644"/>
      <c r="I57" s="640"/>
      <c r="J57" s="640">
        <v>38</v>
      </c>
      <c r="K57" s="338"/>
      <c r="L57" s="641"/>
      <c r="M57" s="639"/>
      <c r="N57" s="338"/>
      <c r="O57" s="338"/>
      <c r="P57" s="338"/>
      <c r="Q57" s="338"/>
      <c r="R57" s="642"/>
      <c r="S57" s="643">
        <f t="shared" si="1"/>
        <v>0</v>
      </c>
      <c r="T57" s="643">
        <f t="shared" si="1"/>
        <v>0</v>
      </c>
      <c r="U57" s="643">
        <f t="shared" si="4"/>
        <v>38</v>
      </c>
      <c r="V57" s="643">
        <f t="shared" si="5"/>
        <v>0</v>
      </c>
      <c r="W57" s="688">
        <f t="shared" si="6"/>
        <v>0</v>
      </c>
      <c r="X57" s="346"/>
      <c r="Y57" s="346"/>
      <c r="Z57" s="469"/>
    </row>
    <row r="58" spans="1:26" s="325" customFormat="1" ht="11.25" customHeight="1" x14ac:dyDescent="0.25">
      <c r="A58" s="328" t="s">
        <v>1316</v>
      </c>
      <c r="B58" s="329" t="s">
        <v>1330</v>
      </c>
      <c r="C58" s="338" t="s">
        <v>146</v>
      </c>
      <c r="D58" s="338" t="s">
        <v>1082</v>
      </c>
      <c r="E58" s="329" t="s">
        <v>1083</v>
      </c>
      <c r="F58" s="330" t="s">
        <v>464</v>
      </c>
      <c r="G58" s="345"/>
      <c r="H58" s="644"/>
      <c r="I58" s="640"/>
      <c r="J58" s="640"/>
      <c r="K58" s="338"/>
      <c r="L58" s="641"/>
      <c r="M58" s="639"/>
      <c r="N58" s="338"/>
      <c r="O58" s="338"/>
      <c r="P58" s="338"/>
      <c r="Q58" s="338"/>
      <c r="R58" s="642"/>
      <c r="S58" s="643">
        <f t="shared" si="1"/>
        <v>0</v>
      </c>
      <c r="T58" s="643">
        <f t="shared" si="1"/>
        <v>0</v>
      </c>
      <c r="U58" s="643">
        <f t="shared" si="4"/>
        <v>0</v>
      </c>
      <c r="V58" s="643">
        <f t="shared" si="5"/>
        <v>0</v>
      </c>
      <c r="W58" s="688">
        <f t="shared" si="6"/>
        <v>0</v>
      </c>
      <c r="X58" s="346"/>
      <c r="Y58" s="346"/>
      <c r="Z58" s="469"/>
    </row>
    <row r="59" spans="1:26" s="325" customFormat="1" ht="11.25" customHeight="1" x14ac:dyDescent="0.25">
      <c r="A59" s="328" t="s">
        <v>1316</v>
      </c>
      <c r="B59" s="329" t="s">
        <v>1319</v>
      </c>
      <c r="C59" s="338" t="s">
        <v>146</v>
      </c>
      <c r="D59" s="338" t="s">
        <v>1573</v>
      </c>
      <c r="E59" s="329" t="s">
        <v>1126</v>
      </c>
      <c r="F59" s="330" t="s">
        <v>464</v>
      </c>
      <c r="G59" s="345"/>
      <c r="H59" s="644">
        <v>17</v>
      </c>
      <c r="I59" s="640">
        <v>17</v>
      </c>
      <c r="J59" s="640"/>
      <c r="K59" s="338"/>
      <c r="L59" s="641"/>
      <c r="M59" s="639">
        <v>17</v>
      </c>
      <c r="N59" s="338">
        <v>17</v>
      </c>
      <c r="O59" s="338"/>
      <c r="P59" s="338"/>
      <c r="Q59" s="338"/>
      <c r="R59" s="642" t="s">
        <v>1736</v>
      </c>
      <c r="S59" s="643">
        <f t="shared" si="1"/>
        <v>0</v>
      </c>
      <c r="T59" s="643">
        <f t="shared" si="1"/>
        <v>0</v>
      </c>
      <c r="U59" s="643">
        <f t="shared" si="4"/>
        <v>0</v>
      </c>
      <c r="V59" s="643">
        <f t="shared" si="5"/>
        <v>0</v>
      </c>
      <c r="W59" s="688">
        <f t="shared" si="6"/>
        <v>0</v>
      </c>
      <c r="X59" s="346"/>
      <c r="Y59" s="346"/>
      <c r="Z59" s="469"/>
    </row>
    <row r="60" spans="1:26" s="325" customFormat="1" ht="11.25" customHeight="1" x14ac:dyDescent="0.25">
      <c r="A60" s="328" t="s">
        <v>1316</v>
      </c>
      <c r="B60" s="329" t="s">
        <v>424</v>
      </c>
      <c r="C60" s="338" t="s">
        <v>146</v>
      </c>
      <c r="D60" s="338" t="s">
        <v>1322</v>
      </c>
      <c r="E60" s="329" t="s">
        <v>838</v>
      </c>
      <c r="F60" s="330" t="s">
        <v>464</v>
      </c>
      <c r="G60" s="345" t="s">
        <v>1460</v>
      </c>
      <c r="H60" s="639">
        <v>41</v>
      </c>
      <c r="I60" s="338">
        <v>41</v>
      </c>
      <c r="J60" s="640">
        <v>0</v>
      </c>
      <c r="K60" s="640">
        <v>0</v>
      </c>
      <c r="L60" s="641">
        <v>0</v>
      </c>
      <c r="M60" s="639">
        <v>41</v>
      </c>
      <c r="N60" s="338">
        <v>41</v>
      </c>
      <c r="O60" s="338"/>
      <c r="P60" s="338"/>
      <c r="Q60" s="338"/>
      <c r="R60" s="642" t="s">
        <v>1717</v>
      </c>
      <c r="S60" s="643">
        <f t="shared" si="1"/>
        <v>0</v>
      </c>
      <c r="T60" s="643">
        <f t="shared" si="1"/>
        <v>0</v>
      </c>
      <c r="U60" s="643">
        <f t="shared" si="4"/>
        <v>0</v>
      </c>
      <c r="V60" s="643">
        <f t="shared" si="5"/>
        <v>0</v>
      </c>
      <c r="W60" s="688">
        <f t="shared" si="6"/>
        <v>0</v>
      </c>
      <c r="X60" s="346"/>
      <c r="Y60" s="346"/>
      <c r="Z60" s="469"/>
    </row>
    <row r="61" spans="1:26" s="325" customFormat="1" ht="11.25" customHeight="1" x14ac:dyDescent="0.25">
      <c r="A61" s="328" t="s">
        <v>1316</v>
      </c>
      <c r="B61" s="329" t="s">
        <v>1330</v>
      </c>
      <c r="C61" s="338" t="s">
        <v>146</v>
      </c>
      <c r="D61" s="734" t="s">
        <v>1146</v>
      </c>
      <c r="E61" s="329" t="s">
        <v>1128</v>
      </c>
      <c r="F61" s="330" t="s">
        <v>464</v>
      </c>
      <c r="G61" s="345"/>
      <c r="H61" s="639"/>
      <c r="I61" s="338"/>
      <c r="J61" s="640"/>
      <c r="K61" s="640"/>
      <c r="L61" s="641"/>
      <c r="M61" s="639"/>
      <c r="N61" s="338"/>
      <c r="O61" s="338"/>
      <c r="P61" s="338"/>
      <c r="Q61" s="338"/>
      <c r="R61" s="642"/>
      <c r="S61" s="643"/>
      <c r="T61" s="643"/>
      <c r="U61" s="643"/>
      <c r="V61" s="643">
        <f t="shared" si="5"/>
        <v>0</v>
      </c>
      <c r="W61" s="688"/>
      <c r="X61" s="346"/>
      <c r="Y61" s="346"/>
      <c r="Z61" s="469"/>
    </row>
    <row r="62" spans="1:26" s="325" customFormat="1" ht="11.25" customHeight="1" x14ac:dyDescent="0.25">
      <c r="A62" s="328" t="s">
        <v>1316</v>
      </c>
      <c r="B62" s="329" t="s">
        <v>1319</v>
      </c>
      <c r="C62" s="338" t="s">
        <v>146</v>
      </c>
      <c r="D62" s="338" t="s">
        <v>943</v>
      </c>
      <c r="E62" s="329" t="s">
        <v>942</v>
      </c>
      <c r="F62" s="330" t="s">
        <v>464</v>
      </c>
      <c r="G62" s="463"/>
      <c r="H62" s="645"/>
      <c r="I62" s="646"/>
      <c r="J62" s="646">
        <v>0</v>
      </c>
      <c r="K62" s="646">
        <v>10</v>
      </c>
      <c r="L62" s="647"/>
      <c r="M62" s="639"/>
      <c r="N62" s="338"/>
      <c r="O62" s="338"/>
      <c r="P62" s="338">
        <v>10</v>
      </c>
      <c r="Q62" s="338"/>
      <c r="R62" s="642" t="s">
        <v>1593</v>
      </c>
      <c r="S62" s="643">
        <f t="shared" si="1"/>
        <v>0</v>
      </c>
      <c r="T62" s="643">
        <f t="shared" si="1"/>
        <v>0</v>
      </c>
      <c r="U62" s="643">
        <f t="shared" si="4"/>
        <v>0</v>
      </c>
      <c r="V62" s="643">
        <f t="shared" si="5"/>
        <v>0</v>
      </c>
      <c r="W62" s="688">
        <f t="shared" si="6"/>
        <v>0</v>
      </c>
      <c r="X62" s="346"/>
      <c r="Y62" s="346"/>
      <c r="Z62" s="469"/>
    </row>
    <row r="63" spans="1:26" s="325" customFormat="1" ht="11.25" customHeight="1" x14ac:dyDescent="0.25">
      <c r="A63" s="331" t="s">
        <v>3</v>
      </c>
      <c r="B63" s="332"/>
      <c r="C63" s="332"/>
      <c r="D63" s="333"/>
      <c r="E63" s="334"/>
      <c r="F63" s="335"/>
      <c r="G63" s="472"/>
      <c r="H63" s="336">
        <f t="shared" ref="H63:Y63" si="12">SUM(H49:H62)</f>
        <v>214</v>
      </c>
      <c r="I63" s="336">
        <f t="shared" si="12"/>
        <v>210</v>
      </c>
      <c r="J63" s="336">
        <f t="shared" si="12"/>
        <v>38</v>
      </c>
      <c r="K63" s="336">
        <f t="shared" si="12"/>
        <v>112</v>
      </c>
      <c r="L63" s="336">
        <f t="shared" si="12"/>
        <v>0</v>
      </c>
      <c r="M63" s="336">
        <f t="shared" si="12"/>
        <v>137</v>
      </c>
      <c r="N63" s="336">
        <f t="shared" si="12"/>
        <v>137</v>
      </c>
      <c r="O63" s="336">
        <f t="shared" si="12"/>
        <v>0</v>
      </c>
      <c r="P63" s="336">
        <f t="shared" si="12"/>
        <v>92</v>
      </c>
      <c r="Q63" s="336">
        <f t="shared" si="12"/>
        <v>0</v>
      </c>
      <c r="R63" s="336">
        <f t="shared" si="12"/>
        <v>0</v>
      </c>
      <c r="S63" s="336">
        <f t="shared" si="12"/>
        <v>77</v>
      </c>
      <c r="T63" s="336">
        <f t="shared" si="12"/>
        <v>73</v>
      </c>
      <c r="U63" s="336">
        <f t="shared" si="12"/>
        <v>38</v>
      </c>
      <c r="V63" s="336">
        <f t="shared" si="12"/>
        <v>20</v>
      </c>
      <c r="W63" s="336">
        <f t="shared" si="12"/>
        <v>0</v>
      </c>
      <c r="X63" s="336">
        <f t="shared" si="12"/>
        <v>0</v>
      </c>
      <c r="Y63" s="336">
        <f t="shared" si="12"/>
        <v>0</v>
      </c>
      <c r="Z63" s="469"/>
    </row>
    <row r="64" spans="1:26" s="325" customFormat="1" ht="11.25" customHeight="1" x14ac:dyDescent="0.25">
      <c r="A64" s="328" t="s">
        <v>378</v>
      </c>
      <c r="B64" s="329" t="s">
        <v>1303</v>
      </c>
      <c r="C64" s="329" t="s">
        <v>151</v>
      </c>
      <c r="D64" s="342" t="s">
        <v>1323</v>
      </c>
      <c r="E64" s="339" t="s">
        <v>187</v>
      </c>
      <c r="F64" s="343" t="s">
        <v>466</v>
      </c>
      <c r="G64" s="466"/>
      <c r="H64" s="639">
        <v>50</v>
      </c>
      <c r="I64" s="338">
        <v>50</v>
      </c>
      <c r="J64" s="640">
        <v>0</v>
      </c>
      <c r="K64" s="640">
        <v>0</v>
      </c>
      <c r="L64" s="641"/>
      <c r="M64" s="639"/>
      <c r="N64" s="338"/>
      <c r="O64" s="338"/>
      <c r="P64" s="338"/>
      <c r="Q64" s="338"/>
      <c r="R64" s="642"/>
      <c r="S64" s="643">
        <f t="shared" si="1"/>
        <v>50</v>
      </c>
      <c r="T64" s="643">
        <f t="shared" si="1"/>
        <v>50</v>
      </c>
      <c r="U64" s="643">
        <f t="shared" si="4"/>
        <v>0</v>
      </c>
      <c r="V64" s="643">
        <f t="shared" si="5"/>
        <v>0</v>
      </c>
      <c r="W64" s="688">
        <f t="shared" si="6"/>
        <v>0</v>
      </c>
      <c r="X64" s="346"/>
      <c r="Y64" s="346"/>
      <c r="Z64" s="469" t="s">
        <v>1729</v>
      </c>
    </row>
    <row r="65" spans="1:26" s="325" customFormat="1" ht="11.25" customHeight="1" x14ac:dyDescent="0.25">
      <c r="A65" s="328" t="s">
        <v>378</v>
      </c>
      <c r="B65" s="329" t="s">
        <v>424</v>
      </c>
      <c r="C65" s="329" t="s">
        <v>151</v>
      </c>
      <c r="D65" s="338" t="s">
        <v>1324</v>
      </c>
      <c r="E65" s="329" t="s">
        <v>812</v>
      </c>
      <c r="F65" s="330" t="s">
        <v>464</v>
      </c>
      <c r="G65" s="463" t="s">
        <v>1460</v>
      </c>
      <c r="H65" s="854">
        <v>30</v>
      </c>
      <c r="I65" s="329">
        <v>30</v>
      </c>
      <c r="J65" s="640">
        <v>0</v>
      </c>
      <c r="K65" s="640">
        <v>0</v>
      </c>
      <c r="L65" s="641">
        <v>0</v>
      </c>
      <c r="M65" s="639">
        <v>30</v>
      </c>
      <c r="N65" s="338">
        <v>30</v>
      </c>
      <c r="O65" s="338"/>
      <c r="P65" s="338"/>
      <c r="Q65" s="338"/>
      <c r="R65" s="642" t="s">
        <v>1602</v>
      </c>
      <c r="S65" s="643">
        <f t="shared" si="1"/>
        <v>0</v>
      </c>
      <c r="T65" s="643">
        <f t="shared" si="1"/>
        <v>0</v>
      </c>
      <c r="U65" s="643">
        <f t="shared" si="4"/>
        <v>0</v>
      </c>
      <c r="V65" s="643">
        <f t="shared" si="5"/>
        <v>0</v>
      </c>
      <c r="W65" s="688">
        <f t="shared" si="6"/>
        <v>0</v>
      </c>
      <c r="X65" s="346"/>
      <c r="Y65" s="346"/>
      <c r="Z65" s="469"/>
    </row>
    <row r="66" spans="1:26" s="325" customFormat="1" ht="11.25" customHeight="1" x14ac:dyDescent="0.25">
      <c r="A66" s="328" t="s">
        <v>378</v>
      </c>
      <c r="B66" s="329" t="s">
        <v>1303</v>
      </c>
      <c r="C66" s="329" t="s">
        <v>151</v>
      </c>
      <c r="D66" s="338" t="s">
        <v>847</v>
      </c>
      <c r="E66" s="329" t="s">
        <v>846</v>
      </c>
      <c r="F66" s="330" t="s">
        <v>464</v>
      </c>
      <c r="G66" s="463"/>
      <c r="H66" s="644">
        <v>6</v>
      </c>
      <c r="I66" s="640">
        <v>0</v>
      </c>
      <c r="J66" s="640">
        <v>0</v>
      </c>
      <c r="K66" s="640"/>
      <c r="L66" s="641">
        <v>0</v>
      </c>
      <c r="M66" s="639">
        <v>6</v>
      </c>
      <c r="N66" s="338"/>
      <c r="O66" s="338"/>
      <c r="P66" s="338"/>
      <c r="Q66" s="338"/>
      <c r="R66" s="642" t="s">
        <v>778</v>
      </c>
      <c r="S66" s="643">
        <f t="shared" si="1"/>
        <v>0</v>
      </c>
      <c r="T66" s="643">
        <f t="shared" si="1"/>
        <v>0</v>
      </c>
      <c r="U66" s="643">
        <f t="shared" si="4"/>
        <v>0</v>
      </c>
      <c r="V66" s="643">
        <f t="shared" si="5"/>
        <v>0</v>
      </c>
      <c r="W66" s="688">
        <f t="shared" si="6"/>
        <v>0</v>
      </c>
      <c r="X66" s="346"/>
      <c r="Y66" s="346"/>
      <c r="Z66" s="469" t="s">
        <v>1325</v>
      </c>
    </row>
    <row r="67" spans="1:26" s="325" customFormat="1" ht="11.25" customHeight="1" x14ac:dyDescent="0.25">
      <c r="A67" s="328" t="s">
        <v>378</v>
      </c>
      <c r="B67" s="329" t="s">
        <v>424</v>
      </c>
      <c r="C67" s="329" t="s">
        <v>151</v>
      </c>
      <c r="D67" s="338" t="s">
        <v>160</v>
      </c>
      <c r="E67" s="329" t="s">
        <v>159</v>
      </c>
      <c r="F67" s="330" t="s">
        <v>464</v>
      </c>
      <c r="G67" s="463" t="s">
        <v>1268</v>
      </c>
      <c r="H67" s="639">
        <v>21</v>
      </c>
      <c r="I67" s="338">
        <v>100</v>
      </c>
      <c r="J67" s="338">
        <v>106</v>
      </c>
      <c r="K67" s="640">
        <v>0</v>
      </c>
      <c r="L67" s="641">
        <v>1</v>
      </c>
      <c r="M67" s="639"/>
      <c r="N67" s="338"/>
      <c r="O67" s="338"/>
      <c r="P67" s="338"/>
      <c r="Q67" s="338"/>
      <c r="R67" s="642"/>
      <c r="S67" s="643">
        <f t="shared" si="1"/>
        <v>21</v>
      </c>
      <c r="T67" s="643">
        <f t="shared" si="1"/>
        <v>100</v>
      </c>
      <c r="U67" s="643">
        <f t="shared" si="4"/>
        <v>106</v>
      </c>
      <c r="V67" s="643">
        <f t="shared" si="5"/>
        <v>0</v>
      </c>
      <c r="W67" s="688">
        <f t="shared" si="6"/>
        <v>1</v>
      </c>
      <c r="X67" s="346"/>
      <c r="Y67" s="346"/>
      <c r="Z67" s="469"/>
    </row>
    <row r="68" spans="1:26" s="325" customFormat="1" ht="11.25" customHeight="1" x14ac:dyDescent="0.25">
      <c r="A68" s="328" t="s">
        <v>378</v>
      </c>
      <c r="B68" s="329" t="s">
        <v>1303</v>
      </c>
      <c r="C68" s="329" t="s">
        <v>151</v>
      </c>
      <c r="D68" s="338" t="s">
        <v>1326</v>
      </c>
      <c r="E68" s="329" t="s">
        <v>153</v>
      </c>
      <c r="F68" s="330" t="s">
        <v>464</v>
      </c>
      <c r="G68" s="463"/>
      <c r="H68" s="639">
        <v>230</v>
      </c>
      <c r="I68" s="338">
        <v>230</v>
      </c>
      <c r="J68" s="640">
        <v>0</v>
      </c>
      <c r="K68" s="338">
        <v>106</v>
      </c>
      <c r="L68" s="641">
        <v>0</v>
      </c>
      <c r="M68" s="639">
        <v>200</v>
      </c>
      <c r="N68" s="338">
        <v>200</v>
      </c>
      <c r="O68" s="338"/>
      <c r="P68" s="338">
        <v>30</v>
      </c>
      <c r="Q68" s="338"/>
      <c r="R68" s="642" t="s">
        <v>1565</v>
      </c>
      <c r="S68" s="643">
        <f t="shared" si="1"/>
        <v>30</v>
      </c>
      <c r="T68" s="643">
        <f t="shared" si="1"/>
        <v>30</v>
      </c>
      <c r="U68" s="643">
        <f t="shared" si="4"/>
        <v>0</v>
      </c>
      <c r="V68" s="643">
        <f t="shared" si="5"/>
        <v>76</v>
      </c>
      <c r="W68" s="688"/>
      <c r="X68" s="346"/>
      <c r="Y68" s="346"/>
      <c r="Z68" s="469" t="s">
        <v>1575</v>
      </c>
    </row>
    <row r="69" spans="1:26" s="325" customFormat="1" ht="11.25" customHeight="1" x14ac:dyDescent="0.25">
      <c r="A69" s="328" t="s">
        <v>378</v>
      </c>
      <c r="B69" s="329" t="s">
        <v>1303</v>
      </c>
      <c r="C69" s="329" t="s">
        <v>151</v>
      </c>
      <c r="D69" s="338" t="s">
        <v>1327</v>
      </c>
      <c r="E69" s="329" t="s">
        <v>912</v>
      </c>
      <c r="F69" s="330" t="s">
        <v>464</v>
      </c>
      <c r="G69" s="463"/>
      <c r="H69" s="639"/>
      <c r="I69" s="338">
        <v>0</v>
      </c>
      <c r="J69" s="640">
        <v>0</v>
      </c>
      <c r="K69" s="338"/>
      <c r="L69" s="641">
        <v>0</v>
      </c>
      <c r="M69" s="639"/>
      <c r="N69" s="338"/>
      <c r="O69" s="338"/>
      <c r="P69" s="338"/>
      <c r="Q69" s="338"/>
      <c r="R69" s="642"/>
      <c r="S69" s="643">
        <f t="shared" si="1"/>
        <v>0</v>
      </c>
      <c r="T69" s="643">
        <f t="shared" si="1"/>
        <v>0</v>
      </c>
      <c r="U69" s="643">
        <f t="shared" si="4"/>
        <v>0</v>
      </c>
      <c r="V69" s="643">
        <f t="shared" si="5"/>
        <v>0</v>
      </c>
      <c r="W69" s="688">
        <f t="shared" si="6"/>
        <v>0</v>
      </c>
      <c r="X69" s="346"/>
      <c r="Y69" s="346"/>
      <c r="Z69" s="469"/>
    </row>
    <row r="70" spans="1:26" s="325" customFormat="1" ht="11.25" customHeight="1" x14ac:dyDescent="0.25">
      <c r="A70" s="328" t="s">
        <v>378</v>
      </c>
      <c r="B70" s="329" t="s">
        <v>424</v>
      </c>
      <c r="C70" s="329" t="s">
        <v>151</v>
      </c>
      <c r="D70" s="342" t="s">
        <v>152</v>
      </c>
      <c r="E70" s="339" t="s">
        <v>150</v>
      </c>
      <c r="F70" s="330" t="s">
        <v>464</v>
      </c>
      <c r="G70" s="466"/>
      <c r="H70" s="644"/>
      <c r="I70" s="338"/>
      <c r="J70" s="640">
        <v>72</v>
      </c>
      <c r="K70" s="325">
        <v>50</v>
      </c>
      <c r="L70" s="641">
        <v>0</v>
      </c>
      <c r="M70" s="639"/>
      <c r="N70" s="338"/>
      <c r="O70" s="338">
        <v>72</v>
      </c>
      <c r="P70" s="338"/>
      <c r="Q70" s="338"/>
      <c r="R70" s="642" t="s">
        <v>778</v>
      </c>
      <c r="S70" s="643">
        <f t="shared" si="1"/>
        <v>0</v>
      </c>
      <c r="T70" s="643">
        <f t="shared" si="1"/>
        <v>0</v>
      </c>
      <c r="U70" s="643">
        <f t="shared" si="4"/>
        <v>0</v>
      </c>
      <c r="V70" s="643">
        <f t="shared" si="5"/>
        <v>50</v>
      </c>
      <c r="W70" s="688">
        <f t="shared" si="6"/>
        <v>0</v>
      </c>
      <c r="X70" s="346"/>
      <c r="Y70" s="346"/>
      <c r="Z70" s="469"/>
    </row>
    <row r="71" spans="1:26" s="325" customFormat="1" ht="11.25" customHeight="1" x14ac:dyDescent="0.25">
      <c r="A71" s="328" t="s">
        <v>378</v>
      </c>
      <c r="B71" s="329" t="s">
        <v>1303</v>
      </c>
      <c r="C71" s="329" t="s">
        <v>151</v>
      </c>
      <c r="D71" s="338" t="s">
        <v>1328</v>
      </c>
      <c r="E71" s="329" t="s">
        <v>197</v>
      </c>
      <c r="F71" s="330" t="s">
        <v>466</v>
      </c>
      <c r="G71" s="463"/>
      <c r="H71" s="639">
        <v>231</v>
      </c>
      <c r="I71" s="338">
        <v>231</v>
      </c>
      <c r="J71" s="338">
        <v>0</v>
      </c>
      <c r="K71" s="338">
        <v>0</v>
      </c>
      <c r="L71" s="641">
        <v>0</v>
      </c>
      <c r="M71" s="639">
        <v>231</v>
      </c>
      <c r="N71" s="338">
        <v>231</v>
      </c>
      <c r="O71" s="338"/>
      <c r="P71" s="338"/>
      <c r="Q71" s="338"/>
      <c r="R71" s="642" t="s">
        <v>1599</v>
      </c>
      <c r="S71" s="643">
        <f t="shared" ref="S71:T143" si="13">H71-M71</f>
        <v>0</v>
      </c>
      <c r="T71" s="643">
        <f t="shared" si="13"/>
        <v>0</v>
      </c>
      <c r="U71" s="643">
        <f t="shared" si="4"/>
        <v>0</v>
      </c>
      <c r="V71" s="643">
        <f t="shared" si="5"/>
        <v>0</v>
      </c>
      <c r="W71" s="688">
        <f t="shared" si="6"/>
        <v>0</v>
      </c>
      <c r="X71" s="346"/>
      <c r="Y71" s="346"/>
      <c r="Z71" s="469" t="s">
        <v>1721</v>
      </c>
    </row>
    <row r="72" spans="1:26" s="325" customFormat="1" ht="11.25" customHeight="1" x14ac:dyDescent="0.25">
      <c r="A72" s="328" t="s">
        <v>378</v>
      </c>
      <c r="B72" s="329" t="s">
        <v>424</v>
      </c>
      <c r="C72" s="329" t="s">
        <v>151</v>
      </c>
      <c r="D72" s="342" t="s">
        <v>1329</v>
      </c>
      <c r="E72" s="329" t="s">
        <v>939</v>
      </c>
      <c r="F72" s="330" t="s">
        <v>464</v>
      </c>
      <c r="G72" s="466" t="s">
        <v>1268</v>
      </c>
      <c r="H72" s="639">
        <v>36</v>
      </c>
      <c r="I72" s="338">
        <v>36</v>
      </c>
      <c r="J72" s="338">
        <v>21</v>
      </c>
      <c r="K72" s="640">
        <v>50</v>
      </c>
      <c r="L72" s="641">
        <v>0</v>
      </c>
      <c r="M72" s="639">
        <v>21</v>
      </c>
      <c r="N72" s="338">
        <v>21</v>
      </c>
      <c r="O72" s="338"/>
      <c r="P72" s="338"/>
      <c r="Q72" s="338"/>
      <c r="R72" s="642" t="s">
        <v>1736</v>
      </c>
      <c r="S72" s="643">
        <f t="shared" si="13"/>
        <v>15</v>
      </c>
      <c r="T72" s="643">
        <f t="shared" si="13"/>
        <v>15</v>
      </c>
      <c r="U72" s="643">
        <f t="shared" si="4"/>
        <v>21</v>
      </c>
      <c r="V72" s="643">
        <f t="shared" si="5"/>
        <v>50</v>
      </c>
      <c r="W72" s="688">
        <f t="shared" si="6"/>
        <v>0</v>
      </c>
      <c r="X72" s="346"/>
      <c r="Y72" s="346"/>
      <c r="Z72" s="469"/>
    </row>
    <row r="73" spans="1:26" s="325" customFormat="1" ht="11.25" customHeight="1" x14ac:dyDescent="0.25">
      <c r="A73" s="331" t="s">
        <v>3</v>
      </c>
      <c r="B73" s="332"/>
      <c r="C73" s="332"/>
      <c r="D73" s="333"/>
      <c r="E73" s="334"/>
      <c r="F73" s="335"/>
      <c r="G73" s="472"/>
      <c r="H73" s="336">
        <f>SUM(H64:H72)</f>
        <v>604</v>
      </c>
      <c r="I73" s="336">
        <f t="shared" ref="I73:Y73" si="14">SUM(I64:I72)</f>
        <v>677</v>
      </c>
      <c r="J73" s="336">
        <f t="shared" si="14"/>
        <v>199</v>
      </c>
      <c r="K73" s="336">
        <f t="shared" si="14"/>
        <v>206</v>
      </c>
      <c r="L73" s="336">
        <f t="shared" si="14"/>
        <v>1</v>
      </c>
      <c r="M73" s="336">
        <f t="shared" si="14"/>
        <v>488</v>
      </c>
      <c r="N73" s="336">
        <f t="shared" si="14"/>
        <v>482</v>
      </c>
      <c r="O73" s="336">
        <f t="shared" si="14"/>
        <v>72</v>
      </c>
      <c r="P73" s="336">
        <f t="shared" si="14"/>
        <v>30</v>
      </c>
      <c r="Q73" s="336">
        <f t="shared" si="14"/>
        <v>0</v>
      </c>
      <c r="R73" s="336">
        <f t="shared" si="14"/>
        <v>0</v>
      </c>
      <c r="S73" s="336">
        <f>SUM(S64:S72)</f>
        <v>116</v>
      </c>
      <c r="T73" s="336">
        <f t="shared" si="14"/>
        <v>195</v>
      </c>
      <c r="U73" s="336">
        <f t="shared" si="14"/>
        <v>127</v>
      </c>
      <c r="V73" s="336">
        <f t="shared" si="14"/>
        <v>176</v>
      </c>
      <c r="W73" s="336">
        <f t="shared" si="14"/>
        <v>1</v>
      </c>
      <c r="X73" s="336">
        <f t="shared" si="14"/>
        <v>0</v>
      </c>
      <c r="Y73" s="336">
        <f t="shared" si="14"/>
        <v>0</v>
      </c>
      <c r="Z73" s="469"/>
    </row>
    <row r="74" spans="1:26" s="325" customFormat="1" ht="11.25" customHeight="1" x14ac:dyDescent="0.25">
      <c r="A74" s="328" t="s">
        <v>1316</v>
      </c>
      <c r="B74" s="329" t="s">
        <v>424</v>
      </c>
      <c r="C74" s="329" t="s">
        <v>166</v>
      </c>
      <c r="D74" s="329" t="s">
        <v>167</v>
      </c>
      <c r="E74" s="329" t="s">
        <v>279</v>
      </c>
      <c r="F74" s="330" t="s">
        <v>464</v>
      </c>
      <c r="G74" s="463"/>
      <c r="H74" s="644">
        <v>0</v>
      </c>
      <c r="I74" s="338">
        <v>0</v>
      </c>
      <c r="J74" s="338"/>
      <c r="K74" s="640"/>
      <c r="L74" s="641">
        <v>0</v>
      </c>
      <c r="M74" s="639"/>
      <c r="N74" s="338"/>
      <c r="O74" s="338"/>
      <c r="P74" s="338"/>
      <c r="Q74" s="338"/>
      <c r="R74" s="642"/>
      <c r="S74" s="643">
        <f t="shared" si="13"/>
        <v>0</v>
      </c>
      <c r="T74" s="643">
        <f t="shared" si="13"/>
        <v>0</v>
      </c>
      <c r="U74" s="643">
        <f t="shared" si="4"/>
        <v>0</v>
      </c>
      <c r="V74" s="643">
        <f t="shared" si="5"/>
        <v>0</v>
      </c>
      <c r="W74" s="688">
        <f t="shared" si="6"/>
        <v>0</v>
      </c>
      <c r="X74" s="346"/>
      <c r="Y74" s="346"/>
      <c r="Z74" s="469"/>
    </row>
    <row r="75" spans="1:26" s="325" customFormat="1" ht="11.25" customHeight="1" x14ac:dyDescent="0.25">
      <c r="A75" s="328" t="s">
        <v>1316</v>
      </c>
      <c r="B75" s="329" t="s">
        <v>1330</v>
      </c>
      <c r="C75" s="329" t="s">
        <v>166</v>
      </c>
      <c r="D75" s="329" t="s">
        <v>1140</v>
      </c>
      <c r="E75" s="329" t="s">
        <v>1123</v>
      </c>
      <c r="F75" s="330" t="s">
        <v>464</v>
      </c>
      <c r="G75" s="463"/>
      <c r="H75" s="644">
        <v>4</v>
      </c>
      <c r="I75" s="338">
        <v>0</v>
      </c>
      <c r="J75" s="338">
        <v>0</v>
      </c>
      <c r="K75" s="640">
        <v>0</v>
      </c>
      <c r="L75" s="641">
        <v>0</v>
      </c>
      <c r="M75" s="639"/>
      <c r="N75" s="338"/>
      <c r="O75" s="338"/>
      <c r="P75" s="338"/>
      <c r="Q75" s="338"/>
      <c r="R75" s="642"/>
      <c r="S75" s="643">
        <f t="shared" si="13"/>
        <v>4</v>
      </c>
      <c r="T75" s="643">
        <f t="shared" si="13"/>
        <v>0</v>
      </c>
      <c r="U75" s="643">
        <f t="shared" si="4"/>
        <v>0</v>
      </c>
      <c r="V75" s="643">
        <f t="shared" si="5"/>
        <v>0</v>
      </c>
      <c r="W75" s="688">
        <f t="shared" si="6"/>
        <v>0</v>
      </c>
      <c r="X75" s="346"/>
      <c r="Y75" s="346"/>
      <c r="Z75" s="469"/>
    </row>
    <row r="76" spans="1:26" s="325" customFormat="1" ht="11.25" customHeight="1" x14ac:dyDescent="0.25">
      <c r="A76" s="328" t="s">
        <v>1316</v>
      </c>
      <c r="B76" s="329" t="s">
        <v>1319</v>
      </c>
      <c r="C76" s="329" t="s">
        <v>166</v>
      </c>
      <c r="D76" s="329" t="s">
        <v>1331</v>
      </c>
      <c r="E76" s="329" t="s">
        <v>761</v>
      </c>
      <c r="F76" s="330" t="s">
        <v>464</v>
      </c>
      <c r="G76" s="463"/>
      <c r="H76" s="644"/>
      <c r="I76" s="338"/>
      <c r="J76" s="338">
        <v>0</v>
      </c>
      <c r="K76" s="640">
        <v>20</v>
      </c>
      <c r="L76" s="641">
        <v>0</v>
      </c>
      <c r="M76" s="639"/>
      <c r="N76" s="338"/>
      <c r="O76" s="338"/>
      <c r="P76" s="338">
        <v>20</v>
      </c>
      <c r="Q76" s="338"/>
      <c r="R76" s="642" t="s">
        <v>1593</v>
      </c>
      <c r="S76" s="643">
        <f t="shared" si="13"/>
        <v>0</v>
      </c>
      <c r="T76" s="643">
        <f t="shared" si="13"/>
        <v>0</v>
      </c>
      <c r="U76" s="643">
        <f t="shared" si="4"/>
        <v>0</v>
      </c>
      <c r="V76" s="643">
        <f t="shared" si="5"/>
        <v>0</v>
      </c>
      <c r="W76" s="688">
        <f t="shared" si="6"/>
        <v>0</v>
      </c>
      <c r="X76" s="346"/>
      <c r="Y76" s="346"/>
      <c r="Z76" s="469"/>
    </row>
    <row r="77" spans="1:26" s="325" customFormat="1" ht="11.25" customHeight="1" x14ac:dyDescent="0.25">
      <c r="A77" s="331" t="s">
        <v>3</v>
      </c>
      <c r="B77" s="332"/>
      <c r="C77" s="332"/>
      <c r="D77" s="333"/>
      <c r="E77" s="334"/>
      <c r="F77" s="335"/>
      <c r="G77" s="472"/>
      <c r="H77" s="336">
        <f t="shared" ref="H77:Y77" si="15">SUM(H74:H76)</f>
        <v>4</v>
      </c>
      <c r="I77" s="336">
        <f t="shared" si="15"/>
        <v>0</v>
      </c>
      <c r="J77" s="336">
        <f t="shared" si="15"/>
        <v>0</v>
      </c>
      <c r="K77" s="336">
        <f t="shared" si="15"/>
        <v>20</v>
      </c>
      <c r="L77" s="336">
        <f t="shared" si="15"/>
        <v>0</v>
      </c>
      <c r="M77" s="336">
        <f t="shared" si="15"/>
        <v>0</v>
      </c>
      <c r="N77" s="336">
        <f t="shared" si="15"/>
        <v>0</v>
      </c>
      <c r="O77" s="336">
        <f t="shared" si="15"/>
        <v>0</v>
      </c>
      <c r="P77" s="336">
        <f t="shared" si="15"/>
        <v>20</v>
      </c>
      <c r="Q77" s="336">
        <f t="shared" si="15"/>
        <v>0</v>
      </c>
      <c r="R77" s="336">
        <f t="shared" si="15"/>
        <v>0</v>
      </c>
      <c r="S77" s="336">
        <f t="shared" si="15"/>
        <v>4</v>
      </c>
      <c r="T77" s="336">
        <f t="shared" si="15"/>
        <v>0</v>
      </c>
      <c r="U77" s="336">
        <f t="shared" si="15"/>
        <v>0</v>
      </c>
      <c r="V77" s="336">
        <f t="shared" si="15"/>
        <v>0</v>
      </c>
      <c r="W77" s="336">
        <f t="shared" si="15"/>
        <v>0</v>
      </c>
      <c r="X77" s="336">
        <f t="shared" si="15"/>
        <v>0</v>
      </c>
      <c r="Y77" s="336">
        <f t="shared" si="15"/>
        <v>0</v>
      </c>
      <c r="Z77" s="469"/>
    </row>
    <row r="78" spans="1:26" s="325" customFormat="1" ht="11.25" customHeight="1" x14ac:dyDescent="0.25">
      <c r="A78" s="328" t="s">
        <v>378</v>
      </c>
      <c r="B78" s="329" t="s">
        <v>424</v>
      </c>
      <c r="C78" s="329" t="s">
        <v>173</v>
      </c>
      <c r="D78" s="338" t="s">
        <v>1332</v>
      </c>
      <c r="E78" s="329" t="s">
        <v>172</v>
      </c>
      <c r="F78" s="330" t="s">
        <v>464</v>
      </c>
      <c r="G78" s="463" t="s">
        <v>1307</v>
      </c>
      <c r="H78" s="644"/>
      <c r="I78" s="640"/>
      <c r="J78" s="640">
        <v>0</v>
      </c>
      <c r="K78" s="853">
        <v>10</v>
      </c>
      <c r="L78" s="641">
        <v>0</v>
      </c>
      <c r="M78" s="639"/>
      <c r="N78" s="338"/>
      <c r="O78" s="338"/>
      <c r="P78" s="338"/>
      <c r="Q78" s="338"/>
      <c r="R78" s="642"/>
      <c r="S78" s="643">
        <f t="shared" si="13"/>
        <v>0</v>
      </c>
      <c r="T78" s="643">
        <f t="shared" si="13"/>
        <v>0</v>
      </c>
      <c r="U78" s="643">
        <f t="shared" si="4"/>
        <v>0</v>
      </c>
      <c r="V78" s="643">
        <f t="shared" si="5"/>
        <v>10</v>
      </c>
      <c r="W78" s="688">
        <f t="shared" si="6"/>
        <v>0</v>
      </c>
      <c r="X78" s="346"/>
      <c r="Y78" s="346"/>
      <c r="Z78" s="469" t="s">
        <v>1333</v>
      </c>
    </row>
    <row r="79" spans="1:26" s="325" customFormat="1" ht="11.25" customHeight="1" x14ac:dyDescent="0.25">
      <c r="A79" s="328" t="s">
        <v>378</v>
      </c>
      <c r="B79" s="329" t="s">
        <v>424</v>
      </c>
      <c r="C79" s="329" t="s">
        <v>173</v>
      </c>
      <c r="D79" s="338" t="s">
        <v>176</v>
      </c>
      <c r="E79" s="329" t="s">
        <v>175</v>
      </c>
      <c r="F79" s="330" t="s">
        <v>464</v>
      </c>
      <c r="G79" s="465" t="s">
        <v>1307</v>
      </c>
      <c r="H79" s="640">
        <v>5</v>
      </c>
      <c r="I79" s="640">
        <v>5</v>
      </c>
      <c r="J79" s="640">
        <v>0</v>
      </c>
      <c r="K79" s="640">
        <v>5</v>
      </c>
      <c r="L79" s="641">
        <v>0</v>
      </c>
      <c r="M79" s="639"/>
      <c r="N79" s="338"/>
      <c r="O79" s="338"/>
      <c r="P79" s="338"/>
      <c r="Q79" s="338"/>
      <c r="R79" s="642"/>
      <c r="S79" s="643">
        <f t="shared" si="13"/>
        <v>5</v>
      </c>
      <c r="T79" s="643">
        <f t="shared" si="13"/>
        <v>5</v>
      </c>
      <c r="U79" s="643">
        <f t="shared" si="4"/>
        <v>0</v>
      </c>
      <c r="V79" s="643">
        <f t="shared" si="5"/>
        <v>5</v>
      </c>
      <c r="W79" s="688">
        <f t="shared" si="6"/>
        <v>0</v>
      </c>
      <c r="X79" s="346"/>
      <c r="Y79" s="346"/>
      <c r="Z79" s="469" t="s">
        <v>1333</v>
      </c>
    </row>
    <row r="80" spans="1:26" s="325" customFormat="1" ht="11.25" customHeight="1" x14ac:dyDescent="0.25">
      <c r="A80" s="328" t="s">
        <v>378</v>
      </c>
      <c r="B80" s="329" t="s">
        <v>1308</v>
      </c>
      <c r="C80" s="329" t="s">
        <v>173</v>
      </c>
      <c r="D80" s="338" t="s">
        <v>1664</v>
      </c>
      <c r="E80" s="329" t="s">
        <v>1652</v>
      </c>
      <c r="F80" s="330" t="s">
        <v>464</v>
      </c>
      <c r="G80" s="465" t="s">
        <v>1307</v>
      </c>
      <c r="H80" s="640">
        <v>45</v>
      </c>
      <c r="I80" s="640">
        <v>45</v>
      </c>
      <c r="J80" s="640"/>
      <c r="K80" s="640"/>
      <c r="L80" s="641"/>
      <c r="M80" s="639"/>
      <c r="N80" s="338"/>
      <c r="O80" s="338"/>
      <c r="P80" s="338"/>
      <c r="Q80" s="338"/>
      <c r="R80" s="642"/>
      <c r="S80" s="643">
        <f t="shared" si="13"/>
        <v>45</v>
      </c>
      <c r="T80" s="643">
        <f t="shared" si="13"/>
        <v>45</v>
      </c>
      <c r="U80" s="643">
        <f t="shared" si="4"/>
        <v>0</v>
      </c>
      <c r="V80" s="643">
        <f t="shared" si="5"/>
        <v>0</v>
      </c>
      <c r="W80" s="688">
        <f t="shared" si="6"/>
        <v>0</v>
      </c>
      <c r="X80" s="346"/>
      <c r="Y80" s="346">
        <v>42</v>
      </c>
      <c r="Z80" s="469"/>
    </row>
    <row r="81" spans="1:26" s="325" customFormat="1" ht="11.25" customHeight="1" x14ac:dyDescent="0.25">
      <c r="A81" s="328" t="s">
        <v>378</v>
      </c>
      <c r="B81" s="329" t="s">
        <v>1308</v>
      </c>
      <c r="C81" s="329" t="s">
        <v>173</v>
      </c>
      <c r="D81" s="338" t="s">
        <v>1665</v>
      </c>
      <c r="E81" s="329" t="s">
        <v>1653</v>
      </c>
      <c r="F81" s="330" t="s">
        <v>464</v>
      </c>
      <c r="G81" s="465" t="s">
        <v>1307</v>
      </c>
      <c r="H81" s="640">
        <v>79</v>
      </c>
      <c r="I81" s="640">
        <v>89</v>
      </c>
      <c r="J81" s="640"/>
      <c r="K81" s="640"/>
      <c r="L81" s="641"/>
      <c r="M81" s="639"/>
      <c r="N81" s="338"/>
      <c r="O81" s="338"/>
      <c r="P81" s="338"/>
      <c r="Q81" s="338"/>
      <c r="R81" s="642"/>
      <c r="S81" s="643">
        <f t="shared" si="13"/>
        <v>79</v>
      </c>
      <c r="T81" s="643">
        <v>79</v>
      </c>
      <c r="U81" s="643">
        <f t="shared" si="4"/>
        <v>0</v>
      </c>
      <c r="V81" s="643">
        <f t="shared" si="5"/>
        <v>0</v>
      </c>
      <c r="W81" s="688">
        <f t="shared" si="6"/>
        <v>0</v>
      </c>
      <c r="X81" s="346"/>
      <c r="Y81" s="346">
        <v>60</v>
      </c>
      <c r="Z81" s="469"/>
    </row>
    <row r="82" spans="1:26" s="325" customFormat="1" ht="11.25" customHeight="1" x14ac:dyDescent="0.25">
      <c r="A82" s="328" t="s">
        <v>378</v>
      </c>
      <c r="B82" s="329" t="s">
        <v>424</v>
      </c>
      <c r="C82" s="329" t="s">
        <v>173</v>
      </c>
      <c r="D82" s="338" t="s">
        <v>1733</v>
      </c>
      <c r="E82" s="329" t="s">
        <v>1654</v>
      </c>
      <c r="F82" s="330" t="s">
        <v>464</v>
      </c>
      <c r="G82" s="465" t="s">
        <v>1307</v>
      </c>
      <c r="H82" s="640">
        <v>111</v>
      </c>
      <c r="I82" s="640">
        <v>111</v>
      </c>
      <c r="J82" s="640"/>
      <c r="K82" s="640"/>
      <c r="L82" s="641"/>
      <c r="M82" s="639"/>
      <c r="N82" s="338"/>
      <c r="O82" s="338"/>
      <c r="P82" s="338"/>
      <c r="Q82" s="338"/>
      <c r="R82" s="642"/>
      <c r="S82" s="643">
        <f t="shared" si="13"/>
        <v>111</v>
      </c>
      <c r="T82" s="643">
        <f t="shared" si="13"/>
        <v>111</v>
      </c>
      <c r="U82" s="643">
        <f t="shared" si="4"/>
        <v>0</v>
      </c>
      <c r="V82" s="643">
        <f t="shared" si="5"/>
        <v>0</v>
      </c>
      <c r="W82" s="688">
        <f t="shared" si="6"/>
        <v>0</v>
      </c>
      <c r="X82" s="346"/>
      <c r="Y82" s="346">
        <v>30</v>
      </c>
      <c r="Z82" s="469"/>
    </row>
    <row r="83" spans="1:26" s="325" customFormat="1" ht="11.25" customHeight="1" x14ac:dyDescent="0.25">
      <c r="A83" s="328" t="s">
        <v>378</v>
      </c>
      <c r="B83" s="329" t="s">
        <v>1308</v>
      </c>
      <c r="C83" s="329" t="s">
        <v>173</v>
      </c>
      <c r="D83" s="338" t="s">
        <v>1668</v>
      </c>
      <c r="E83" s="329" t="s">
        <v>1655</v>
      </c>
      <c r="F83" s="330" t="s">
        <v>464</v>
      </c>
      <c r="G83" s="465" t="s">
        <v>1307</v>
      </c>
      <c r="H83" s="640">
        <v>6</v>
      </c>
      <c r="I83" s="640">
        <v>6</v>
      </c>
      <c r="J83" s="640"/>
      <c r="K83" s="640"/>
      <c r="L83" s="641"/>
      <c r="M83" s="639"/>
      <c r="N83" s="338"/>
      <c r="O83" s="338"/>
      <c r="P83" s="338"/>
      <c r="Q83" s="338"/>
      <c r="R83" s="642"/>
      <c r="S83" s="643">
        <f t="shared" si="13"/>
        <v>6</v>
      </c>
      <c r="T83" s="643">
        <f t="shared" si="13"/>
        <v>6</v>
      </c>
      <c r="U83" s="643">
        <f t="shared" si="4"/>
        <v>0</v>
      </c>
      <c r="V83" s="643">
        <f t="shared" si="5"/>
        <v>0</v>
      </c>
      <c r="W83" s="688">
        <f t="shared" si="6"/>
        <v>0</v>
      </c>
      <c r="X83" s="346"/>
      <c r="Y83" s="346">
        <v>33</v>
      </c>
      <c r="Z83" s="469"/>
    </row>
    <row r="84" spans="1:26" s="325" customFormat="1" ht="11.25" customHeight="1" x14ac:dyDescent="0.25">
      <c r="A84" s="328" t="s">
        <v>378</v>
      </c>
      <c r="B84" s="329" t="s">
        <v>424</v>
      </c>
      <c r="C84" s="329" t="s">
        <v>173</v>
      </c>
      <c r="D84" s="338" t="s">
        <v>1334</v>
      </c>
      <c r="E84" s="329" t="s">
        <v>1056</v>
      </c>
      <c r="F84" s="330" t="s">
        <v>464</v>
      </c>
      <c r="G84" s="465" t="s">
        <v>1307</v>
      </c>
      <c r="H84" s="640"/>
      <c r="I84" s="640">
        <v>0</v>
      </c>
      <c r="J84" s="640">
        <v>0</v>
      </c>
      <c r="K84" s="640"/>
      <c r="L84" s="641">
        <v>0</v>
      </c>
      <c r="M84" s="639"/>
      <c r="N84" s="338"/>
      <c r="O84" s="338"/>
      <c r="P84" s="338"/>
      <c r="Q84" s="338"/>
      <c r="R84" s="642"/>
      <c r="S84" s="643">
        <f t="shared" si="13"/>
        <v>0</v>
      </c>
      <c r="T84" s="643">
        <f t="shared" si="13"/>
        <v>0</v>
      </c>
      <c r="U84" s="643">
        <f t="shared" si="4"/>
        <v>0</v>
      </c>
      <c r="V84" s="643">
        <f t="shared" si="5"/>
        <v>0</v>
      </c>
      <c r="W84" s="688">
        <f t="shared" si="6"/>
        <v>0</v>
      </c>
      <c r="X84" s="346"/>
      <c r="Y84" s="346"/>
      <c r="Z84" s="469"/>
    </row>
    <row r="85" spans="1:26" s="325" customFormat="1" ht="11.25" customHeight="1" x14ac:dyDescent="0.25">
      <c r="A85" s="639" t="s">
        <v>378</v>
      </c>
      <c r="B85" s="338" t="s">
        <v>424</v>
      </c>
      <c r="C85" s="338" t="s">
        <v>173</v>
      </c>
      <c r="D85" s="338" t="s">
        <v>1335</v>
      </c>
      <c r="E85" s="329" t="s">
        <v>177</v>
      </c>
      <c r="F85" s="330" t="s">
        <v>464</v>
      </c>
      <c r="G85" s="463" t="s">
        <v>1307</v>
      </c>
      <c r="H85" s="644"/>
      <c r="I85" s="640"/>
      <c r="J85" s="640">
        <v>0</v>
      </c>
      <c r="K85" s="640">
        <v>10</v>
      </c>
      <c r="L85" s="641">
        <v>0</v>
      </c>
      <c r="M85" s="639"/>
      <c r="N85" s="338"/>
      <c r="O85" s="338"/>
      <c r="P85" s="338"/>
      <c r="Q85" s="338"/>
      <c r="R85" s="642"/>
      <c r="S85" s="643">
        <f t="shared" si="13"/>
        <v>0</v>
      </c>
      <c r="T85" s="643">
        <f t="shared" si="13"/>
        <v>0</v>
      </c>
      <c r="U85" s="643">
        <f t="shared" si="4"/>
        <v>0</v>
      </c>
      <c r="V85" s="643">
        <f t="shared" si="5"/>
        <v>10</v>
      </c>
      <c r="W85" s="688">
        <f t="shared" si="6"/>
        <v>0</v>
      </c>
      <c r="X85" s="346"/>
      <c r="Y85" s="346"/>
      <c r="Z85" s="469" t="s">
        <v>1333</v>
      </c>
    </row>
    <row r="86" spans="1:26" s="325" customFormat="1" ht="11.25" customHeight="1" x14ac:dyDescent="0.25">
      <c r="A86" s="331" t="s">
        <v>3</v>
      </c>
      <c r="B86" s="332"/>
      <c r="C86" s="332"/>
      <c r="D86" s="333"/>
      <c r="E86" s="334"/>
      <c r="F86" s="335"/>
      <c r="G86" s="472"/>
      <c r="H86" s="336">
        <f>SUM(H78:H85)</f>
        <v>246</v>
      </c>
      <c r="I86" s="336">
        <f t="shared" ref="I86:Y86" si="16">SUM(I78:I85)</f>
        <v>256</v>
      </c>
      <c r="J86" s="336">
        <f t="shared" si="16"/>
        <v>0</v>
      </c>
      <c r="K86" s="336">
        <f t="shared" si="16"/>
        <v>25</v>
      </c>
      <c r="L86" s="336">
        <f t="shared" si="16"/>
        <v>0</v>
      </c>
      <c r="M86" s="336">
        <f t="shared" si="16"/>
        <v>0</v>
      </c>
      <c r="N86" s="336">
        <f t="shared" si="16"/>
        <v>0</v>
      </c>
      <c r="O86" s="336">
        <f t="shared" si="16"/>
        <v>0</v>
      </c>
      <c r="P86" s="336">
        <f t="shared" si="16"/>
        <v>0</v>
      </c>
      <c r="Q86" s="336">
        <f t="shared" si="16"/>
        <v>0</v>
      </c>
      <c r="R86" s="336">
        <f t="shared" si="16"/>
        <v>0</v>
      </c>
      <c r="S86" s="336">
        <f t="shared" si="16"/>
        <v>246</v>
      </c>
      <c r="T86" s="336">
        <f t="shared" si="16"/>
        <v>246</v>
      </c>
      <c r="U86" s="336">
        <f t="shared" si="16"/>
        <v>0</v>
      </c>
      <c r="V86" s="336">
        <f t="shared" si="16"/>
        <v>25</v>
      </c>
      <c r="W86" s="336">
        <f t="shared" si="16"/>
        <v>0</v>
      </c>
      <c r="X86" s="336">
        <f t="shared" si="16"/>
        <v>0</v>
      </c>
      <c r="Y86" s="336">
        <f t="shared" si="16"/>
        <v>165</v>
      </c>
      <c r="Z86" s="469"/>
    </row>
    <row r="87" spans="1:26" s="325" customFormat="1" ht="11.25" customHeight="1" x14ac:dyDescent="0.25">
      <c r="A87" s="328" t="s">
        <v>378</v>
      </c>
      <c r="B87" s="329" t="s">
        <v>424</v>
      </c>
      <c r="C87" s="329" t="s">
        <v>180</v>
      </c>
      <c r="D87" s="329" t="s">
        <v>1336</v>
      </c>
      <c r="E87" s="329" t="s">
        <v>285</v>
      </c>
      <c r="F87" s="330" t="s">
        <v>464</v>
      </c>
      <c r="G87" s="463"/>
      <c r="H87" s="648">
        <v>0</v>
      </c>
      <c r="I87" s="338"/>
      <c r="J87" s="649">
        <v>0</v>
      </c>
      <c r="K87" s="649"/>
      <c r="L87" s="650">
        <v>0</v>
      </c>
      <c r="M87" s="639"/>
      <c r="N87" s="338"/>
      <c r="O87" s="338"/>
      <c r="P87" s="338"/>
      <c r="Q87" s="338"/>
      <c r="R87" s="642"/>
      <c r="S87" s="643">
        <f t="shared" si="13"/>
        <v>0</v>
      </c>
      <c r="T87" s="643">
        <f t="shared" si="13"/>
        <v>0</v>
      </c>
      <c r="U87" s="643">
        <f t="shared" si="4"/>
        <v>0</v>
      </c>
      <c r="V87" s="643">
        <f t="shared" si="5"/>
        <v>0</v>
      </c>
      <c r="W87" s="688">
        <f t="shared" si="6"/>
        <v>0</v>
      </c>
      <c r="X87" s="346"/>
      <c r="Y87" s="346"/>
      <c r="Z87" s="469" t="s">
        <v>1333</v>
      </c>
    </row>
    <row r="88" spans="1:26" s="325" customFormat="1" ht="11.25" customHeight="1" x14ac:dyDescent="0.25">
      <c r="A88" s="328" t="s">
        <v>378</v>
      </c>
      <c r="B88" s="329" t="s">
        <v>1308</v>
      </c>
      <c r="C88" s="329" t="s">
        <v>180</v>
      </c>
      <c r="D88" s="329" t="s">
        <v>1337</v>
      </c>
      <c r="E88" s="329" t="s">
        <v>179</v>
      </c>
      <c r="F88" s="330" t="s">
        <v>464</v>
      </c>
      <c r="G88" s="463"/>
      <c r="H88" s="644">
        <v>11</v>
      </c>
      <c r="I88" s="640">
        <v>11</v>
      </c>
      <c r="J88" s="649"/>
      <c r="K88" s="649"/>
      <c r="L88" s="650">
        <v>0</v>
      </c>
      <c r="M88" s="639">
        <v>11</v>
      </c>
      <c r="N88" s="338">
        <v>11</v>
      </c>
      <c r="O88" s="338"/>
      <c r="P88" s="338"/>
      <c r="Q88" s="338"/>
      <c r="R88" s="642" t="s">
        <v>1564</v>
      </c>
      <c r="S88" s="643">
        <f t="shared" si="13"/>
        <v>0</v>
      </c>
      <c r="T88" s="643">
        <f t="shared" si="13"/>
        <v>0</v>
      </c>
      <c r="U88" s="643">
        <f t="shared" si="4"/>
        <v>0</v>
      </c>
      <c r="V88" s="643">
        <f t="shared" si="5"/>
        <v>0</v>
      </c>
      <c r="W88" s="688">
        <f t="shared" si="6"/>
        <v>0</v>
      </c>
      <c r="X88" s="346"/>
      <c r="Y88" s="346"/>
      <c r="Z88" s="469"/>
    </row>
    <row r="89" spans="1:26" s="325" customFormat="1" ht="11.25" customHeight="1" x14ac:dyDescent="0.25">
      <c r="A89" s="331" t="s">
        <v>3</v>
      </c>
      <c r="B89" s="332"/>
      <c r="C89" s="332"/>
      <c r="D89" s="333"/>
      <c r="E89" s="334"/>
      <c r="F89" s="335"/>
      <c r="G89" s="472"/>
      <c r="H89" s="336">
        <f>SUM(H87:H88)</f>
        <v>11</v>
      </c>
      <c r="I89" s="336">
        <f t="shared" ref="I89:Y89" si="17">SUM(I87:I88)</f>
        <v>11</v>
      </c>
      <c r="J89" s="336">
        <f t="shared" si="17"/>
        <v>0</v>
      </c>
      <c r="K89" s="336">
        <f t="shared" si="17"/>
        <v>0</v>
      </c>
      <c r="L89" s="336">
        <f t="shared" si="17"/>
        <v>0</v>
      </c>
      <c r="M89" s="336">
        <f t="shared" si="17"/>
        <v>11</v>
      </c>
      <c r="N89" s="336">
        <f t="shared" si="17"/>
        <v>11</v>
      </c>
      <c r="O89" s="336">
        <f t="shared" si="17"/>
        <v>0</v>
      </c>
      <c r="P89" s="336">
        <f t="shared" si="17"/>
        <v>0</v>
      </c>
      <c r="Q89" s="336">
        <f t="shared" si="17"/>
        <v>0</v>
      </c>
      <c r="R89" s="336">
        <f t="shared" si="17"/>
        <v>0</v>
      </c>
      <c r="S89" s="336">
        <f t="shared" si="17"/>
        <v>0</v>
      </c>
      <c r="T89" s="336">
        <f t="shared" si="17"/>
        <v>0</v>
      </c>
      <c r="U89" s="336">
        <f t="shared" si="17"/>
        <v>0</v>
      </c>
      <c r="V89" s="336">
        <f t="shared" si="17"/>
        <v>0</v>
      </c>
      <c r="W89" s="336">
        <f t="shared" si="17"/>
        <v>0</v>
      </c>
      <c r="X89" s="336">
        <f t="shared" si="17"/>
        <v>0</v>
      </c>
      <c r="Y89" s="336">
        <f t="shared" si="17"/>
        <v>0</v>
      </c>
      <c r="Z89" s="469"/>
    </row>
    <row r="90" spans="1:26" s="325" customFormat="1" ht="11.25" customHeight="1" x14ac:dyDescent="0.25">
      <c r="A90" s="328" t="s">
        <v>378</v>
      </c>
      <c r="B90" s="329" t="s">
        <v>1308</v>
      </c>
      <c r="C90" s="329" t="s">
        <v>185</v>
      </c>
      <c r="D90" s="329" t="s">
        <v>523</v>
      </c>
      <c r="E90" s="329" t="s">
        <v>191</v>
      </c>
      <c r="F90" s="330" t="s">
        <v>466</v>
      </c>
      <c r="G90" s="463"/>
      <c r="H90" s="639"/>
      <c r="I90" s="338"/>
      <c r="J90" s="640">
        <v>0</v>
      </c>
      <c r="K90" s="640">
        <v>0</v>
      </c>
      <c r="L90" s="641">
        <v>1</v>
      </c>
      <c r="M90" s="639"/>
      <c r="N90" s="338"/>
      <c r="O90" s="338"/>
      <c r="P90" s="338"/>
      <c r="Q90" s="338"/>
      <c r="R90" s="642"/>
      <c r="S90" s="643">
        <f t="shared" si="13"/>
        <v>0</v>
      </c>
      <c r="T90" s="643">
        <f t="shared" si="13"/>
        <v>0</v>
      </c>
      <c r="U90" s="643">
        <f t="shared" ref="U90:U162" si="18">J90-O90</f>
        <v>0</v>
      </c>
      <c r="V90" s="643">
        <f t="shared" ref="V90:V162" si="19">K90-P90</f>
        <v>0</v>
      </c>
      <c r="W90" s="688">
        <f t="shared" ref="W90:W162" si="20">L90-Q90</f>
        <v>1</v>
      </c>
      <c r="X90" s="346"/>
      <c r="Y90" s="346"/>
      <c r="Z90" s="469"/>
    </row>
    <row r="91" spans="1:26" s="325" customFormat="1" ht="11.25" customHeight="1" x14ac:dyDescent="0.25">
      <c r="A91" s="328" t="s">
        <v>378</v>
      </c>
      <c r="B91" s="329" t="s">
        <v>1308</v>
      </c>
      <c r="C91" s="329" t="s">
        <v>185</v>
      </c>
      <c r="D91" s="329" t="s">
        <v>676</v>
      </c>
      <c r="E91" s="329" t="s">
        <v>193</v>
      </c>
      <c r="F91" s="330" t="s">
        <v>466</v>
      </c>
      <c r="G91" s="463" t="s">
        <v>1307</v>
      </c>
      <c r="H91" s="644">
        <v>169</v>
      </c>
      <c r="I91" s="640">
        <v>169</v>
      </c>
      <c r="J91" s="640">
        <v>20</v>
      </c>
      <c r="K91" s="640"/>
      <c r="L91" s="641">
        <v>1</v>
      </c>
      <c r="M91" s="639">
        <v>12</v>
      </c>
      <c r="N91" s="338"/>
      <c r="O91" s="338">
        <v>20</v>
      </c>
      <c r="P91" s="338"/>
      <c r="Q91" s="338"/>
      <c r="R91" s="642" t="s">
        <v>1650</v>
      </c>
      <c r="S91" s="643">
        <f t="shared" si="13"/>
        <v>157</v>
      </c>
      <c r="T91" s="643">
        <f t="shared" si="13"/>
        <v>169</v>
      </c>
      <c r="U91" s="643">
        <f t="shared" si="18"/>
        <v>0</v>
      </c>
      <c r="V91" s="643">
        <f t="shared" si="19"/>
        <v>0</v>
      </c>
      <c r="W91" s="688">
        <f t="shared" si="20"/>
        <v>1</v>
      </c>
      <c r="X91" s="346"/>
      <c r="Y91" s="346"/>
      <c r="Z91" s="469"/>
    </row>
    <row r="92" spans="1:26" s="325" customFormat="1" ht="11.25" customHeight="1" x14ac:dyDescent="0.25">
      <c r="A92" s="328" t="s">
        <v>378</v>
      </c>
      <c r="B92" s="329" t="s">
        <v>1308</v>
      </c>
      <c r="C92" s="329" t="s">
        <v>185</v>
      </c>
      <c r="D92" s="329" t="s">
        <v>1338</v>
      </c>
      <c r="E92" s="329" t="s">
        <v>195</v>
      </c>
      <c r="F92" s="330" t="s">
        <v>466</v>
      </c>
      <c r="G92" s="463"/>
      <c r="H92" s="644">
        <v>98</v>
      </c>
      <c r="I92" s="640">
        <v>98</v>
      </c>
      <c r="J92" s="640">
        <v>598</v>
      </c>
      <c r="K92" s="640">
        <v>40</v>
      </c>
      <c r="L92" s="641">
        <v>4</v>
      </c>
      <c r="M92" s="639">
        <v>59</v>
      </c>
      <c r="N92" s="338">
        <v>59</v>
      </c>
      <c r="O92" s="338">
        <v>531</v>
      </c>
      <c r="P92" s="338"/>
      <c r="Q92" s="338"/>
      <c r="R92" s="642" t="s">
        <v>1774</v>
      </c>
      <c r="S92" s="643">
        <f t="shared" si="13"/>
        <v>39</v>
      </c>
      <c r="T92" s="643">
        <f t="shared" si="13"/>
        <v>39</v>
      </c>
      <c r="U92" s="643">
        <f t="shared" si="18"/>
        <v>67</v>
      </c>
      <c r="V92" s="643">
        <f t="shared" si="19"/>
        <v>40</v>
      </c>
      <c r="W92" s="688">
        <f t="shared" si="20"/>
        <v>4</v>
      </c>
      <c r="X92" s="346"/>
      <c r="Y92" s="346"/>
      <c r="Z92" s="469" t="s">
        <v>1595</v>
      </c>
    </row>
    <row r="93" spans="1:26" s="325" customFormat="1" ht="11.25" customHeight="1" x14ac:dyDescent="0.25">
      <c r="A93" s="328" t="s">
        <v>378</v>
      </c>
      <c r="B93" s="329" t="s">
        <v>424</v>
      </c>
      <c r="C93" s="329" t="s">
        <v>185</v>
      </c>
      <c r="D93" s="329" t="s">
        <v>186</v>
      </c>
      <c r="E93" s="339" t="s">
        <v>184</v>
      </c>
      <c r="F93" s="330" t="s">
        <v>464</v>
      </c>
      <c r="G93" s="345" t="s">
        <v>1463</v>
      </c>
      <c r="H93" s="639">
        <v>27</v>
      </c>
      <c r="I93" s="338">
        <v>27</v>
      </c>
      <c r="J93" s="640">
        <v>20</v>
      </c>
      <c r="K93" s="640">
        <v>0</v>
      </c>
      <c r="L93" s="641">
        <v>0</v>
      </c>
      <c r="M93" s="639"/>
      <c r="N93" s="338"/>
      <c r="O93" s="338"/>
      <c r="P93" s="338"/>
      <c r="Q93" s="338"/>
      <c r="R93" s="642"/>
      <c r="S93" s="643">
        <f t="shared" si="13"/>
        <v>27</v>
      </c>
      <c r="T93" s="643">
        <f t="shared" si="13"/>
        <v>27</v>
      </c>
      <c r="U93" s="643">
        <f t="shared" si="18"/>
        <v>20</v>
      </c>
      <c r="V93" s="643">
        <f t="shared" si="19"/>
        <v>0</v>
      </c>
      <c r="W93" s="688">
        <f t="shared" si="20"/>
        <v>0</v>
      </c>
      <c r="X93" s="346"/>
      <c r="Y93" s="346"/>
      <c r="Z93" s="469"/>
    </row>
    <row r="94" spans="1:26" s="325" customFormat="1" ht="11.25" customHeight="1" x14ac:dyDescent="0.25">
      <c r="A94" s="328" t="s">
        <v>378</v>
      </c>
      <c r="B94" s="329" t="s">
        <v>1303</v>
      </c>
      <c r="C94" s="329" t="s">
        <v>185</v>
      </c>
      <c r="D94" s="329" t="s">
        <v>1339</v>
      </c>
      <c r="E94" s="329" t="s">
        <v>222</v>
      </c>
      <c r="F94" s="330" t="s">
        <v>464</v>
      </c>
      <c r="G94" s="463"/>
      <c r="H94" s="644">
        <v>45</v>
      </c>
      <c r="I94" s="640">
        <v>45</v>
      </c>
      <c r="J94" s="640">
        <v>0</v>
      </c>
      <c r="K94" s="640">
        <v>0</v>
      </c>
      <c r="L94" s="641">
        <v>1</v>
      </c>
      <c r="M94" s="639">
        <v>45</v>
      </c>
      <c r="N94" s="338">
        <v>45</v>
      </c>
      <c r="O94" s="338"/>
      <c r="P94" s="338"/>
      <c r="Q94" s="338">
        <v>1</v>
      </c>
      <c r="R94" s="642" t="s">
        <v>1598</v>
      </c>
      <c r="S94" s="643">
        <f t="shared" si="13"/>
        <v>0</v>
      </c>
      <c r="T94" s="643">
        <f t="shared" si="13"/>
        <v>0</v>
      </c>
      <c r="U94" s="643">
        <f t="shared" si="18"/>
        <v>0</v>
      </c>
      <c r="V94" s="643">
        <f t="shared" si="19"/>
        <v>0</v>
      </c>
      <c r="W94" s="688">
        <f t="shared" si="20"/>
        <v>0</v>
      </c>
      <c r="X94" s="346"/>
      <c r="Y94" s="346"/>
      <c r="Z94" s="469"/>
    </row>
    <row r="95" spans="1:26" s="325" customFormat="1" ht="11.25" customHeight="1" x14ac:dyDescent="0.25">
      <c r="A95" s="328" t="s">
        <v>378</v>
      </c>
      <c r="B95" s="329" t="s">
        <v>424</v>
      </c>
      <c r="C95" s="329" t="s">
        <v>185</v>
      </c>
      <c r="D95" s="339" t="s">
        <v>190</v>
      </c>
      <c r="E95" s="339" t="s">
        <v>189</v>
      </c>
      <c r="F95" s="330" t="s">
        <v>464</v>
      </c>
      <c r="G95" s="466"/>
      <c r="H95" s="639">
        <v>20</v>
      </c>
      <c r="I95" s="338">
        <v>20</v>
      </c>
      <c r="J95" s="640">
        <v>12</v>
      </c>
      <c r="K95" s="640"/>
      <c r="L95" s="642"/>
      <c r="M95" s="328">
        <v>52</v>
      </c>
      <c r="N95" s="329"/>
      <c r="O95" s="329">
        <v>12</v>
      </c>
      <c r="P95" s="329"/>
      <c r="Q95" s="329"/>
      <c r="R95" s="642" t="s">
        <v>1645</v>
      </c>
      <c r="S95" s="643">
        <f t="shared" si="13"/>
        <v>-32</v>
      </c>
      <c r="T95" s="643">
        <f t="shared" si="13"/>
        <v>20</v>
      </c>
      <c r="U95" s="643">
        <f t="shared" si="18"/>
        <v>0</v>
      </c>
      <c r="V95" s="643">
        <f t="shared" si="19"/>
        <v>0</v>
      </c>
      <c r="W95" s="688">
        <f t="shared" si="20"/>
        <v>0</v>
      </c>
      <c r="X95" s="346"/>
      <c r="Y95" s="346"/>
      <c r="Z95" s="469"/>
    </row>
    <row r="96" spans="1:26" s="325" customFormat="1" ht="11.25" customHeight="1" x14ac:dyDescent="0.25">
      <c r="A96" s="328" t="s">
        <v>378</v>
      </c>
      <c r="B96" s="329" t="s">
        <v>424</v>
      </c>
      <c r="C96" s="329" t="s">
        <v>185</v>
      </c>
      <c r="D96" s="329" t="s">
        <v>1342</v>
      </c>
      <c r="E96" s="329" t="s">
        <v>228</v>
      </c>
      <c r="F96" s="330" t="s">
        <v>464</v>
      </c>
      <c r="G96" s="463" t="s">
        <v>1307</v>
      </c>
      <c r="H96" s="639">
        <v>2</v>
      </c>
      <c r="I96" s="338">
        <v>10</v>
      </c>
      <c r="J96" s="640">
        <v>7</v>
      </c>
      <c r="K96" s="640">
        <v>10</v>
      </c>
      <c r="L96" s="642">
        <v>1</v>
      </c>
      <c r="M96" s="328"/>
      <c r="N96" s="329"/>
      <c r="O96" s="329">
        <v>3</v>
      </c>
      <c r="P96" s="329"/>
      <c r="Q96" s="329"/>
      <c r="R96" s="642" t="s">
        <v>1602</v>
      </c>
      <c r="S96" s="643">
        <f t="shared" si="13"/>
        <v>2</v>
      </c>
      <c r="T96" s="643">
        <f t="shared" si="13"/>
        <v>10</v>
      </c>
      <c r="U96" s="643">
        <f t="shared" si="18"/>
        <v>4</v>
      </c>
      <c r="V96" s="643">
        <f t="shared" si="19"/>
        <v>10</v>
      </c>
      <c r="W96" s="688">
        <f t="shared" si="20"/>
        <v>1</v>
      </c>
      <c r="X96" s="346"/>
      <c r="Y96" s="346"/>
      <c r="Z96" s="469" t="s">
        <v>1333</v>
      </c>
    </row>
    <row r="97" spans="1:26" s="325" customFormat="1" ht="11.25" customHeight="1" x14ac:dyDescent="0.25">
      <c r="A97" s="328" t="s">
        <v>378</v>
      </c>
      <c r="B97" s="329" t="s">
        <v>1303</v>
      </c>
      <c r="C97" s="329" t="s">
        <v>185</v>
      </c>
      <c r="D97" s="329" t="s">
        <v>202</v>
      </c>
      <c r="E97" s="329" t="s">
        <v>201</v>
      </c>
      <c r="F97" s="330" t="s">
        <v>464</v>
      </c>
      <c r="G97" s="463"/>
      <c r="H97" s="644"/>
      <c r="I97" s="640"/>
      <c r="J97" s="640">
        <v>0</v>
      </c>
      <c r="K97" s="640"/>
      <c r="L97" s="641">
        <v>0</v>
      </c>
      <c r="M97" s="639"/>
      <c r="N97" s="338"/>
      <c r="O97" s="338"/>
      <c r="P97" s="338"/>
      <c r="Q97" s="338"/>
      <c r="R97" s="642"/>
      <c r="S97" s="643">
        <f t="shared" si="13"/>
        <v>0</v>
      </c>
      <c r="T97" s="643">
        <f t="shared" si="13"/>
        <v>0</v>
      </c>
      <c r="U97" s="643">
        <f t="shared" si="18"/>
        <v>0</v>
      </c>
      <c r="V97" s="643">
        <f t="shared" si="19"/>
        <v>0</v>
      </c>
      <c r="W97" s="688">
        <f t="shared" si="20"/>
        <v>0</v>
      </c>
      <c r="X97" s="346"/>
      <c r="Y97" s="346"/>
      <c r="Z97" s="469"/>
    </row>
    <row r="98" spans="1:26" s="325" customFormat="1" ht="11.25" customHeight="1" x14ac:dyDescent="0.25">
      <c r="A98" s="328" t="s">
        <v>378</v>
      </c>
      <c r="B98" s="329" t="s">
        <v>424</v>
      </c>
      <c r="C98" s="329" t="s">
        <v>185</v>
      </c>
      <c r="D98" s="329" t="s">
        <v>209</v>
      </c>
      <c r="E98" s="329" t="s">
        <v>208</v>
      </c>
      <c r="F98" s="330" t="s">
        <v>464</v>
      </c>
      <c r="G98" s="463" t="s">
        <v>1307</v>
      </c>
      <c r="H98" s="644">
        <v>40</v>
      </c>
      <c r="I98" s="640">
        <v>40</v>
      </c>
      <c r="J98" s="853">
        <v>102</v>
      </c>
      <c r="K98" s="640">
        <v>0</v>
      </c>
      <c r="L98" s="641">
        <v>0</v>
      </c>
      <c r="M98" s="328">
        <v>40</v>
      </c>
      <c r="N98" s="329">
        <v>40</v>
      </c>
      <c r="O98" s="329">
        <v>102</v>
      </c>
      <c r="P98" s="329"/>
      <c r="Q98" s="329"/>
      <c r="R98" s="642" t="s">
        <v>1740</v>
      </c>
      <c r="S98" s="643">
        <f t="shared" si="13"/>
        <v>0</v>
      </c>
      <c r="T98" s="643">
        <f t="shared" si="13"/>
        <v>0</v>
      </c>
      <c r="U98" s="643">
        <f t="shared" si="18"/>
        <v>0</v>
      </c>
      <c r="V98" s="643">
        <f t="shared" si="19"/>
        <v>0</v>
      </c>
      <c r="W98" s="688">
        <f t="shared" si="20"/>
        <v>0</v>
      </c>
      <c r="X98" s="346"/>
      <c r="Y98" s="346"/>
      <c r="Z98" s="469" t="s">
        <v>1333</v>
      </c>
    </row>
    <row r="99" spans="1:26" s="325" customFormat="1" ht="11.25" customHeight="1" x14ac:dyDescent="0.25">
      <c r="A99" s="328" t="s">
        <v>378</v>
      </c>
      <c r="B99" s="329" t="s">
        <v>1303</v>
      </c>
      <c r="C99" s="329" t="s">
        <v>185</v>
      </c>
      <c r="D99" s="329" t="s">
        <v>1341</v>
      </c>
      <c r="E99" s="329" t="s">
        <v>214</v>
      </c>
      <c r="F99" s="330" t="s">
        <v>466</v>
      </c>
      <c r="G99" s="463"/>
      <c r="H99" s="639">
        <v>353</v>
      </c>
      <c r="I99" s="338">
        <v>353</v>
      </c>
      <c r="J99" s="640">
        <v>0</v>
      </c>
      <c r="K99" s="640">
        <v>0</v>
      </c>
      <c r="L99" s="641">
        <v>0</v>
      </c>
      <c r="M99" s="639">
        <v>95</v>
      </c>
      <c r="N99" s="338">
        <v>95</v>
      </c>
      <c r="O99" s="338"/>
      <c r="P99" s="338"/>
      <c r="Q99" s="338"/>
      <c r="R99" s="642" t="s">
        <v>1917</v>
      </c>
      <c r="S99" s="643">
        <f t="shared" si="13"/>
        <v>258</v>
      </c>
      <c r="T99" s="643">
        <f t="shared" si="13"/>
        <v>258</v>
      </c>
      <c r="U99" s="643" t="s">
        <v>541</v>
      </c>
      <c r="V99" s="643">
        <f t="shared" si="19"/>
        <v>0</v>
      </c>
      <c r="W99" s="688">
        <f t="shared" si="20"/>
        <v>0</v>
      </c>
      <c r="X99" s="346"/>
      <c r="Y99" s="346"/>
      <c r="Z99" s="469" t="s">
        <v>1597</v>
      </c>
    </row>
    <row r="100" spans="1:26" s="325" customFormat="1" ht="11.25" customHeight="1" x14ac:dyDescent="0.25">
      <c r="A100" s="328" t="s">
        <v>378</v>
      </c>
      <c r="B100" s="329" t="s">
        <v>1303</v>
      </c>
      <c r="C100" s="329" t="s">
        <v>185</v>
      </c>
      <c r="D100" s="329" t="s">
        <v>1343</v>
      </c>
      <c r="E100" s="339" t="s">
        <v>218</v>
      </c>
      <c r="F100" s="343" t="s">
        <v>466</v>
      </c>
      <c r="G100" s="345"/>
      <c r="H100" s="639">
        <v>501</v>
      </c>
      <c r="I100" s="338">
        <v>501</v>
      </c>
      <c r="J100" s="640">
        <v>0</v>
      </c>
      <c r="K100" s="640"/>
      <c r="L100" s="641">
        <v>0</v>
      </c>
      <c r="M100" s="639">
        <v>20</v>
      </c>
      <c r="N100" s="338">
        <v>20</v>
      </c>
      <c r="O100" s="338"/>
      <c r="P100" s="338"/>
      <c r="Q100" s="338"/>
      <c r="R100" s="642" t="s">
        <v>1598</v>
      </c>
      <c r="S100" s="643">
        <f t="shared" si="13"/>
        <v>481</v>
      </c>
      <c r="T100" s="643">
        <f t="shared" si="13"/>
        <v>481</v>
      </c>
      <c r="U100" s="643">
        <f t="shared" si="18"/>
        <v>0</v>
      </c>
      <c r="V100" s="643">
        <f t="shared" si="19"/>
        <v>0</v>
      </c>
      <c r="W100" s="688">
        <f t="shared" si="20"/>
        <v>0</v>
      </c>
      <c r="X100" s="346"/>
      <c r="Y100" s="346"/>
      <c r="Z100" s="469"/>
    </row>
    <row r="101" spans="1:26" s="325" customFormat="1" ht="11.25" customHeight="1" x14ac:dyDescent="0.25">
      <c r="A101" s="328" t="s">
        <v>378</v>
      </c>
      <c r="B101" s="329" t="s">
        <v>424</v>
      </c>
      <c r="C101" s="329" t="s">
        <v>185</v>
      </c>
      <c r="D101" s="329" t="s">
        <v>1344</v>
      </c>
      <c r="E101" s="329" t="s">
        <v>224</v>
      </c>
      <c r="F101" s="330" t="s">
        <v>464</v>
      </c>
      <c r="G101" s="463"/>
      <c r="H101" s="644">
        <v>0</v>
      </c>
      <c r="I101" s="640">
        <v>0</v>
      </c>
      <c r="J101" s="640">
        <v>0</v>
      </c>
      <c r="K101" s="640">
        <v>0</v>
      </c>
      <c r="L101" s="641">
        <v>0</v>
      </c>
      <c r="M101" s="328"/>
      <c r="N101" s="329"/>
      <c r="O101" s="329"/>
      <c r="P101" s="329"/>
      <c r="Q101" s="329"/>
      <c r="R101" s="642"/>
      <c r="S101" s="643">
        <f t="shared" si="13"/>
        <v>0</v>
      </c>
      <c r="T101" s="643">
        <f t="shared" si="13"/>
        <v>0</v>
      </c>
      <c r="U101" s="643">
        <f t="shared" si="18"/>
        <v>0</v>
      </c>
      <c r="V101" s="643">
        <f t="shared" si="19"/>
        <v>0</v>
      </c>
      <c r="W101" s="688">
        <f t="shared" si="20"/>
        <v>0</v>
      </c>
      <c r="X101" s="346"/>
      <c r="Y101" s="346"/>
      <c r="Z101" s="469"/>
    </row>
    <row r="102" spans="1:26" s="325" customFormat="1" ht="11.25" customHeight="1" x14ac:dyDescent="0.25">
      <c r="A102" s="331" t="s">
        <v>3</v>
      </c>
      <c r="B102" s="332"/>
      <c r="C102" s="332"/>
      <c r="D102" s="333"/>
      <c r="E102" s="334"/>
      <c r="F102" s="335"/>
      <c r="G102" s="472"/>
      <c r="H102" s="336">
        <f t="shared" ref="H102:Y102" si="21">SUM(H90:H101)</f>
        <v>1255</v>
      </c>
      <c r="I102" s="336">
        <f t="shared" si="21"/>
        <v>1263</v>
      </c>
      <c r="J102" s="336">
        <f t="shared" si="21"/>
        <v>759</v>
      </c>
      <c r="K102" s="336">
        <f t="shared" si="21"/>
        <v>50</v>
      </c>
      <c r="L102" s="336">
        <f t="shared" si="21"/>
        <v>8</v>
      </c>
      <c r="M102" s="336">
        <f t="shared" si="21"/>
        <v>323</v>
      </c>
      <c r="N102" s="336">
        <f t="shared" si="21"/>
        <v>259</v>
      </c>
      <c r="O102" s="336">
        <f t="shared" si="21"/>
        <v>668</v>
      </c>
      <c r="P102" s="336">
        <f t="shared" si="21"/>
        <v>0</v>
      </c>
      <c r="Q102" s="336">
        <f t="shared" si="21"/>
        <v>1</v>
      </c>
      <c r="R102" s="336">
        <f t="shared" si="21"/>
        <v>0</v>
      </c>
      <c r="S102" s="336">
        <f t="shared" si="21"/>
        <v>932</v>
      </c>
      <c r="T102" s="336">
        <f t="shared" si="21"/>
        <v>1004</v>
      </c>
      <c r="U102" s="336">
        <f t="shared" si="21"/>
        <v>91</v>
      </c>
      <c r="V102" s="336">
        <f t="shared" si="21"/>
        <v>50</v>
      </c>
      <c r="W102" s="689">
        <f t="shared" si="21"/>
        <v>7</v>
      </c>
      <c r="X102" s="689">
        <f t="shared" si="21"/>
        <v>0</v>
      </c>
      <c r="Y102" s="689">
        <f t="shared" si="21"/>
        <v>0</v>
      </c>
      <c r="Z102" s="469"/>
    </row>
    <row r="103" spans="1:26" s="325" customFormat="1" ht="11.25" customHeight="1" x14ac:dyDescent="0.25">
      <c r="A103" s="328" t="s">
        <v>1316</v>
      </c>
      <c r="B103" s="329" t="s">
        <v>424</v>
      </c>
      <c r="C103" s="329" t="s">
        <v>230</v>
      </c>
      <c r="D103" s="329" t="s">
        <v>903</v>
      </c>
      <c r="E103" s="329" t="s">
        <v>904</v>
      </c>
      <c r="F103" s="330" t="s">
        <v>464</v>
      </c>
      <c r="G103" s="463"/>
      <c r="H103" s="644">
        <v>15</v>
      </c>
      <c r="I103" s="640">
        <v>15</v>
      </c>
      <c r="J103" s="640">
        <v>0</v>
      </c>
      <c r="K103" s="640">
        <v>0</v>
      </c>
      <c r="L103" s="641">
        <v>0</v>
      </c>
      <c r="M103" s="328"/>
      <c r="N103" s="329"/>
      <c r="O103" s="329"/>
      <c r="P103" s="329"/>
      <c r="Q103" s="329"/>
      <c r="R103" s="642"/>
      <c r="S103" s="643">
        <f t="shared" si="13"/>
        <v>15</v>
      </c>
      <c r="T103" s="643">
        <f t="shared" si="13"/>
        <v>15</v>
      </c>
      <c r="U103" s="643">
        <f t="shared" si="18"/>
        <v>0</v>
      </c>
      <c r="V103" s="643">
        <f t="shared" si="19"/>
        <v>0</v>
      </c>
      <c r="W103" s="688">
        <f t="shared" si="20"/>
        <v>0</v>
      </c>
      <c r="X103" s="346"/>
      <c r="Y103" s="346"/>
      <c r="Z103" s="469"/>
    </row>
    <row r="104" spans="1:26" s="325" customFormat="1" ht="11.25" customHeight="1" x14ac:dyDescent="0.25">
      <c r="A104" s="328" t="s">
        <v>1316</v>
      </c>
      <c r="B104" s="329" t="s">
        <v>1319</v>
      </c>
      <c r="C104" s="329" t="s">
        <v>230</v>
      </c>
      <c r="D104" s="329" t="s">
        <v>913</v>
      </c>
      <c r="E104" s="329" t="s">
        <v>914</v>
      </c>
      <c r="F104" s="330" t="s">
        <v>464</v>
      </c>
      <c r="G104" s="344"/>
      <c r="H104" s="644"/>
      <c r="I104" s="640"/>
      <c r="J104" s="640">
        <v>0</v>
      </c>
      <c r="K104" s="640">
        <v>10</v>
      </c>
      <c r="L104" s="641"/>
      <c r="M104" s="639"/>
      <c r="N104" s="338"/>
      <c r="O104" s="338"/>
      <c r="P104" s="338">
        <v>10</v>
      </c>
      <c r="Q104" s="338"/>
      <c r="R104" s="642" t="s">
        <v>1593</v>
      </c>
      <c r="S104" s="643">
        <f t="shared" si="13"/>
        <v>0</v>
      </c>
      <c r="T104" s="643">
        <f t="shared" si="13"/>
        <v>0</v>
      </c>
      <c r="U104" s="643">
        <f t="shared" si="18"/>
        <v>0</v>
      </c>
      <c r="V104" s="643">
        <f t="shared" si="19"/>
        <v>0</v>
      </c>
      <c r="W104" s="688">
        <f t="shared" si="20"/>
        <v>0</v>
      </c>
      <c r="X104" s="346"/>
      <c r="Y104" s="346"/>
      <c r="Z104" s="469"/>
    </row>
    <row r="105" spans="1:26" s="325" customFormat="1" ht="11.25" customHeight="1" x14ac:dyDescent="0.25">
      <c r="A105" s="329" t="s">
        <v>1316</v>
      </c>
      <c r="B105" s="329" t="s">
        <v>424</v>
      </c>
      <c r="C105" s="329" t="s">
        <v>230</v>
      </c>
      <c r="D105" s="329" t="s">
        <v>716</v>
      </c>
      <c r="E105" s="329" t="s">
        <v>1245</v>
      </c>
      <c r="F105" s="330" t="s">
        <v>464</v>
      </c>
      <c r="G105" s="344" t="s">
        <v>1460</v>
      </c>
      <c r="H105" s="644">
        <v>63</v>
      </c>
      <c r="I105" s="640">
        <v>63</v>
      </c>
      <c r="J105" s="640"/>
      <c r="K105" s="640"/>
      <c r="L105" s="641"/>
      <c r="M105" s="328">
        <v>64</v>
      </c>
      <c r="N105" s="329">
        <v>64</v>
      </c>
      <c r="O105" s="329"/>
      <c r="P105" s="329"/>
      <c r="Q105" s="329"/>
      <c r="R105" s="642" t="s">
        <v>778</v>
      </c>
      <c r="S105" s="643">
        <f t="shared" si="13"/>
        <v>-1</v>
      </c>
      <c r="T105" s="643">
        <f t="shared" si="13"/>
        <v>-1</v>
      </c>
      <c r="U105" s="643">
        <f t="shared" si="18"/>
        <v>0</v>
      </c>
      <c r="V105" s="643">
        <f t="shared" si="19"/>
        <v>0</v>
      </c>
      <c r="W105" s="688">
        <f t="shared" si="20"/>
        <v>0</v>
      </c>
      <c r="X105" s="346"/>
      <c r="Y105" s="346"/>
      <c r="Z105" s="469"/>
    </row>
    <row r="106" spans="1:26" s="325" customFormat="1" ht="11.25" customHeight="1" x14ac:dyDescent="0.25">
      <c r="A106" s="331" t="s">
        <v>3</v>
      </c>
      <c r="B106" s="332"/>
      <c r="C106" s="332"/>
      <c r="D106" s="333"/>
      <c r="E106" s="334"/>
      <c r="F106" s="335"/>
      <c r="G106" s="472"/>
      <c r="H106" s="336">
        <f>SUM(H103:H105)</f>
        <v>78</v>
      </c>
      <c r="I106" s="336">
        <f t="shared" ref="I106:Y106" si="22">SUM(I103:I105)</f>
        <v>78</v>
      </c>
      <c r="J106" s="336">
        <f t="shared" si="22"/>
        <v>0</v>
      </c>
      <c r="K106" s="336">
        <f t="shared" si="22"/>
        <v>10</v>
      </c>
      <c r="L106" s="336">
        <f t="shared" si="22"/>
        <v>0</v>
      </c>
      <c r="M106" s="336">
        <f t="shared" si="22"/>
        <v>64</v>
      </c>
      <c r="N106" s="336">
        <f t="shared" si="22"/>
        <v>64</v>
      </c>
      <c r="O106" s="336">
        <f t="shared" si="22"/>
        <v>0</v>
      </c>
      <c r="P106" s="336">
        <f t="shared" si="22"/>
        <v>10</v>
      </c>
      <c r="Q106" s="336">
        <f t="shared" si="22"/>
        <v>0</v>
      </c>
      <c r="R106" s="336">
        <f t="shared" si="22"/>
        <v>0</v>
      </c>
      <c r="S106" s="336">
        <f>SUM(S103:S105)</f>
        <v>14</v>
      </c>
      <c r="T106" s="336">
        <f t="shared" si="22"/>
        <v>14</v>
      </c>
      <c r="U106" s="336">
        <f t="shared" si="22"/>
        <v>0</v>
      </c>
      <c r="V106" s="336">
        <f t="shared" si="22"/>
        <v>0</v>
      </c>
      <c r="W106" s="689">
        <f t="shared" si="22"/>
        <v>0</v>
      </c>
      <c r="X106" s="689">
        <f t="shared" si="22"/>
        <v>0</v>
      </c>
      <c r="Y106" s="689">
        <f t="shared" si="22"/>
        <v>0</v>
      </c>
      <c r="Z106" s="469"/>
    </row>
    <row r="107" spans="1:26" s="325" customFormat="1" ht="11.25" customHeight="1" x14ac:dyDescent="0.25">
      <c r="A107" s="328" t="s">
        <v>378</v>
      </c>
      <c r="B107" s="329" t="s">
        <v>424</v>
      </c>
      <c r="C107" s="329" t="s">
        <v>237</v>
      </c>
      <c r="D107" s="329" t="s">
        <v>1345</v>
      </c>
      <c r="E107" s="329" t="s">
        <v>245</v>
      </c>
      <c r="F107" s="330" t="s">
        <v>464</v>
      </c>
      <c r="G107" s="463"/>
      <c r="H107" s="644"/>
      <c r="I107" s="640"/>
      <c r="J107" s="640"/>
      <c r="K107" s="640">
        <v>0</v>
      </c>
      <c r="L107" s="641"/>
      <c r="M107" s="328"/>
      <c r="N107" s="329"/>
      <c r="O107" s="329"/>
      <c r="P107" s="329"/>
      <c r="Q107" s="329"/>
      <c r="R107" s="642"/>
      <c r="S107" s="643">
        <f t="shared" si="13"/>
        <v>0</v>
      </c>
      <c r="T107" s="643">
        <f t="shared" si="13"/>
        <v>0</v>
      </c>
      <c r="U107" s="643">
        <f t="shared" si="18"/>
        <v>0</v>
      </c>
      <c r="V107" s="643">
        <f t="shared" si="19"/>
        <v>0</v>
      </c>
      <c r="W107" s="688">
        <f t="shared" si="20"/>
        <v>0</v>
      </c>
      <c r="X107" s="346"/>
      <c r="Y107" s="346"/>
      <c r="Z107" s="469"/>
    </row>
    <row r="108" spans="1:26" s="325" customFormat="1" ht="11.25" customHeight="1" x14ac:dyDescent="0.25">
      <c r="A108" s="328" t="s">
        <v>378</v>
      </c>
      <c r="B108" s="329" t="s">
        <v>424</v>
      </c>
      <c r="C108" s="329" t="s">
        <v>237</v>
      </c>
      <c r="D108" s="329" t="s">
        <v>1346</v>
      </c>
      <c r="E108" s="329" t="s">
        <v>251</v>
      </c>
      <c r="F108" s="330" t="s">
        <v>464</v>
      </c>
      <c r="G108" s="344" t="s">
        <v>1307</v>
      </c>
      <c r="H108" s="644">
        <v>40</v>
      </c>
      <c r="I108" s="640">
        <v>40</v>
      </c>
      <c r="J108" s="640"/>
      <c r="K108" s="640">
        <v>100</v>
      </c>
      <c r="L108" s="641">
        <v>0</v>
      </c>
      <c r="M108" s="328">
        <v>23</v>
      </c>
      <c r="N108" s="329">
        <v>23</v>
      </c>
      <c r="O108" s="329"/>
      <c r="P108" s="329">
        <v>30</v>
      </c>
      <c r="Q108" s="329"/>
      <c r="R108" s="642" t="s">
        <v>1725</v>
      </c>
      <c r="S108" s="643">
        <f t="shared" si="13"/>
        <v>17</v>
      </c>
      <c r="T108" s="643">
        <f t="shared" si="13"/>
        <v>17</v>
      </c>
      <c r="U108" s="643">
        <f t="shared" si="18"/>
        <v>0</v>
      </c>
      <c r="V108" s="643">
        <f t="shared" si="19"/>
        <v>70</v>
      </c>
      <c r="W108" s="688">
        <f t="shared" si="20"/>
        <v>0</v>
      </c>
      <c r="X108" s="346"/>
      <c r="Y108" s="346"/>
      <c r="Z108" s="469"/>
    </row>
    <row r="109" spans="1:26" s="325" customFormat="1" ht="11.25" customHeight="1" x14ac:dyDescent="0.25">
      <c r="A109" s="328" t="s">
        <v>378</v>
      </c>
      <c r="B109" s="329" t="s">
        <v>1308</v>
      </c>
      <c r="C109" s="329" t="s">
        <v>237</v>
      </c>
      <c r="D109" s="329" t="s">
        <v>1347</v>
      </c>
      <c r="E109" s="329" t="s">
        <v>253</v>
      </c>
      <c r="F109" s="330" t="s">
        <v>464</v>
      </c>
      <c r="G109" s="463"/>
      <c r="H109" s="644"/>
      <c r="I109" s="640">
        <v>0</v>
      </c>
      <c r="J109" s="640"/>
      <c r="K109" s="640">
        <v>0</v>
      </c>
      <c r="L109" s="641">
        <v>0</v>
      </c>
      <c r="M109" s="639"/>
      <c r="N109" s="338"/>
      <c r="O109" s="338"/>
      <c r="P109" s="338"/>
      <c r="Q109" s="338"/>
      <c r="R109" s="642"/>
      <c r="S109" s="643">
        <f t="shared" si="13"/>
        <v>0</v>
      </c>
      <c r="T109" s="643">
        <f t="shared" si="13"/>
        <v>0</v>
      </c>
      <c r="U109" s="643">
        <f t="shared" si="18"/>
        <v>0</v>
      </c>
      <c r="V109" s="643">
        <f t="shared" si="19"/>
        <v>0</v>
      </c>
      <c r="W109" s="688">
        <f t="shared" si="20"/>
        <v>0</v>
      </c>
      <c r="X109" s="346"/>
      <c r="Y109" s="346"/>
      <c r="Z109" s="469"/>
    </row>
    <row r="110" spans="1:26" s="325" customFormat="1" ht="11.25" customHeight="1" x14ac:dyDescent="0.25">
      <c r="A110" s="328" t="s">
        <v>378</v>
      </c>
      <c r="B110" s="329" t="s">
        <v>424</v>
      </c>
      <c r="C110" s="329" t="s">
        <v>237</v>
      </c>
      <c r="D110" s="329" t="s">
        <v>256</v>
      </c>
      <c r="E110" s="329" t="s">
        <v>255</v>
      </c>
      <c r="F110" s="330" t="s">
        <v>464</v>
      </c>
      <c r="G110" s="345"/>
      <c r="H110" s="644"/>
      <c r="I110" s="640"/>
      <c r="J110" s="640">
        <v>10</v>
      </c>
      <c r="K110" s="640"/>
      <c r="L110" s="641"/>
      <c r="M110" s="328"/>
      <c r="N110" s="329"/>
      <c r="O110" s="329"/>
      <c r="P110" s="329"/>
      <c r="Q110" s="329"/>
      <c r="R110" s="642"/>
      <c r="S110" s="643">
        <f t="shared" si="13"/>
        <v>0</v>
      </c>
      <c r="T110" s="643">
        <f t="shared" si="13"/>
        <v>0</v>
      </c>
      <c r="U110" s="643">
        <f t="shared" si="18"/>
        <v>10</v>
      </c>
      <c r="V110" s="643">
        <f t="shared" si="19"/>
        <v>0</v>
      </c>
      <c r="W110" s="688">
        <f t="shared" si="20"/>
        <v>0</v>
      </c>
      <c r="X110" s="346"/>
      <c r="Y110" s="346"/>
      <c r="Z110" s="469"/>
    </row>
    <row r="111" spans="1:26" s="325" customFormat="1" ht="11.25" customHeight="1" x14ac:dyDescent="0.25">
      <c r="A111" s="328" t="s">
        <v>378</v>
      </c>
      <c r="B111" s="329" t="s">
        <v>424</v>
      </c>
      <c r="C111" s="329" t="s">
        <v>237</v>
      </c>
      <c r="D111" s="329" t="s">
        <v>240</v>
      </c>
      <c r="E111" s="329" t="s">
        <v>239</v>
      </c>
      <c r="F111" s="330" t="s">
        <v>464</v>
      </c>
      <c r="G111" s="463"/>
      <c r="H111" s="644"/>
      <c r="I111" s="640">
        <v>0</v>
      </c>
      <c r="J111" s="640"/>
      <c r="K111" s="640">
        <v>10</v>
      </c>
      <c r="L111" s="641">
        <v>0</v>
      </c>
      <c r="M111" s="328"/>
      <c r="N111" s="329"/>
      <c r="O111" s="329"/>
      <c r="P111" s="329"/>
      <c r="Q111" s="329"/>
      <c r="R111" s="642"/>
      <c r="S111" s="643">
        <f t="shared" si="13"/>
        <v>0</v>
      </c>
      <c r="T111" s="643">
        <f t="shared" si="13"/>
        <v>0</v>
      </c>
      <c r="U111" s="643">
        <f t="shared" si="18"/>
        <v>0</v>
      </c>
      <c r="V111" s="643">
        <f t="shared" si="19"/>
        <v>10</v>
      </c>
      <c r="W111" s="688">
        <f t="shared" si="20"/>
        <v>0</v>
      </c>
      <c r="X111" s="346"/>
      <c r="Y111" s="346"/>
      <c r="Z111" s="469"/>
    </row>
    <row r="112" spans="1:26" s="325" customFormat="1" ht="11.25" customHeight="1" x14ac:dyDescent="0.25">
      <c r="A112" s="328" t="s">
        <v>378</v>
      </c>
      <c r="B112" s="329" t="s">
        <v>424</v>
      </c>
      <c r="C112" s="329" t="s">
        <v>237</v>
      </c>
      <c r="D112" s="329" t="s">
        <v>1348</v>
      </c>
      <c r="E112" s="329" t="s">
        <v>283</v>
      </c>
      <c r="F112" s="330" t="s">
        <v>464</v>
      </c>
      <c r="G112" s="345" t="s">
        <v>1307</v>
      </c>
      <c r="H112" s="644"/>
      <c r="I112" s="640"/>
      <c r="J112" s="640"/>
      <c r="K112" s="640">
        <v>60</v>
      </c>
      <c r="L112" s="641">
        <v>0</v>
      </c>
      <c r="M112" s="328"/>
      <c r="N112" s="329"/>
      <c r="O112" s="329"/>
      <c r="P112" s="329">
        <v>60</v>
      </c>
      <c r="Q112" s="329"/>
      <c r="R112" s="642" t="s">
        <v>1602</v>
      </c>
      <c r="S112" s="643">
        <f t="shared" si="13"/>
        <v>0</v>
      </c>
      <c r="T112" s="643">
        <f t="shared" si="13"/>
        <v>0</v>
      </c>
      <c r="U112" s="643">
        <f t="shared" si="18"/>
        <v>0</v>
      </c>
      <c r="V112" s="643">
        <f t="shared" si="19"/>
        <v>0</v>
      </c>
      <c r="W112" s="688">
        <f t="shared" si="20"/>
        <v>0</v>
      </c>
      <c r="X112" s="346"/>
      <c r="Y112" s="346"/>
      <c r="Z112" s="469"/>
    </row>
    <row r="113" spans="1:26" s="325" customFormat="1" ht="11.25" customHeight="1" x14ac:dyDescent="0.25">
      <c r="A113" s="328" t="s">
        <v>378</v>
      </c>
      <c r="B113" s="329" t="s">
        <v>424</v>
      </c>
      <c r="C113" s="329" t="s">
        <v>237</v>
      </c>
      <c r="D113" s="329" t="s">
        <v>258</v>
      </c>
      <c r="E113" s="329" t="s">
        <v>257</v>
      </c>
      <c r="F113" s="330" t="s">
        <v>464</v>
      </c>
      <c r="G113" s="463" t="s">
        <v>1603</v>
      </c>
      <c r="H113" s="644">
        <v>7</v>
      </c>
      <c r="I113" s="640">
        <v>7</v>
      </c>
      <c r="J113" s="640">
        <v>0</v>
      </c>
      <c r="K113" s="640">
        <v>20</v>
      </c>
      <c r="L113" s="641">
        <v>0</v>
      </c>
      <c r="M113" s="639">
        <v>6</v>
      </c>
      <c r="N113" s="338">
        <v>6</v>
      </c>
      <c r="O113" s="338"/>
      <c r="P113" s="338"/>
      <c r="Q113" s="338"/>
      <c r="R113" s="642" t="s">
        <v>1724</v>
      </c>
      <c r="S113" s="643">
        <f t="shared" si="13"/>
        <v>1</v>
      </c>
      <c r="T113" s="643">
        <f t="shared" si="13"/>
        <v>1</v>
      </c>
      <c r="U113" s="643">
        <f t="shared" si="18"/>
        <v>0</v>
      </c>
      <c r="V113" s="643">
        <f t="shared" si="19"/>
        <v>20</v>
      </c>
      <c r="W113" s="688">
        <f t="shared" si="20"/>
        <v>0</v>
      </c>
      <c r="X113" s="346"/>
      <c r="Y113" s="346"/>
      <c r="Z113" s="469"/>
    </row>
    <row r="114" spans="1:26" s="325" customFormat="1" ht="11.25" customHeight="1" x14ac:dyDescent="0.25">
      <c r="A114" s="328" t="s">
        <v>378</v>
      </c>
      <c r="B114" s="329" t="s">
        <v>424</v>
      </c>
      <c r="C114" s="329" t="s">
        <v>237</v>
      </c>
      <c r="D114" s="329" t="s">
        <v>260</v>
      </c>
      <c r="E114" s="329" t="s">
        <v>259</v>
      </c>
      <c r="F114" s="330" t="s">
        <v>464</v>
      </c>
      <c r="G114" s="344" t="s">
        <v>1307</v>
      </c>
      <c r="H114" s="644"/>
      <c r="I114" s="640"/>
      <c r="J114" s="640"/>
      <c r="K114" s="640">
        <v>46</v>
      </c>
      <c r="L114" s="641">
        <v>0</v>
      </c>
      <c r="M114" s="639"/>
      <c r="N114" s="338"/>
      <c r="O114" s="338"/>
      <c r="P114" s="338">
        <v>46</v>
      </c>
      <c r="Q114" s="338"/>
      <c r="R114" s="642" t="s">
        <v>1602</v>
      </c>
      <c r="S114" s="643">
        <f t="shared" si="13"/>
        <v>0</v>
      </c>
      <c r="T114" s="643">
        <f t="shared" si="13"/>
        <v>0</v>
      </c>
      <c r="U114" s="643">
        <f t="shared" si="18"/>
        <v>0</v>
      </c>
      <c r="V114" s="643">
        <f t="shared" si="19"/>
        <v>0</v>
      </c>
      <c r="W114" s="688">
        <f t="shared" si="20"/>
        <v>0</v>
      </c>
      <c r="X114" s="346"/>
      <c r="Y114" s="346"/>
      <c r="Z114" s="469"/>
    </row>
    <row r="115" spans="1:26" s="325" customFormat="1" ht="11.25" customHeight="1" x14ac:dyDescent="0.25">
      <c r="A115" s="328" t="s">
        <v>378</v>
      </c>
      <c r="B115" s="329" t="s">
        <v>462</v>
      </c>
      <c r="C115" s="329" t="s">
        <v>237</v>
      </c>
      <c r="D115" s="329" t="s">
        <v>262</v>
      </c>
      <c r="E115" s="329" t="s">
        <v>261</v>
      </c>
      <c r="F115" s="330" t="s">
        <v>464</v>
      </c>
      <c r="G115" s="463"/>
      <c r="H115" s="644">
        <v>0</v>
      </c>
      <c r="I115" s="640"/>
      <c r="J115" s="640"/>
      <c r="K115" s="640">
        <v>5</v>
      </c>
      <c r="L115" s="641">
        <v>0</v>
      </c>
      <c r="M115" s="639"/>
      <c r="N115" s="338"/>
      <c r="O115" s="338"/>
      <c r="P115" s="329">
        <v>20</v>
      </c>
      <c r="Q115" s="338"/>
      <c r="R115" s="642" t="s">
        <v>1601</v>
      </c>
      <c r="S115" s="643">
        <f t="shared" si="13"/>
        <v>0</v>
      </c>
      <c r="T115" s="643">
        <f t="shared" si="13"/>
        <v>0</v>
      </c>
      <c r="U115" s="643">
        <f t="shared" si="18"/>
        <v>0</v>
      </c>
      <c r="V115" s="643">
        <f t="shared" si="19"/>
        <v>-15</v>
      </c>
      <c r="W115" s="688">
        <f t="shared" si="20"/>
        <v>0</v>
      </c>
      <c r="X115" s="346"/>
      <c r="Y115" s="346"/>
      <c r="Z115" s="469"/>
    </row>
    <row r="116" spans="1:26" s="325" customFormat="1" ht="11.25" customHeight="1" x14ac:dyDescent="0.25">
      <c r="A116" s="328" t="s">
        <v>378</v>
      </c>
      <c r="B116" s="329" t="s">
        <v>462</v>
      </c>
      <c r="C116" s="329" t="s">
        <v>237</v>
      </c>
      <c r="D116" s="329" t="s">
        <v>264</v>
      </c>
      <c r="E116" s="329" t="s">
        <v>263</v>
      </c>
      <c r="F116" s="330" t="s">
        <v>464</v>
      </c>
      <c r="G116" s="344"/>
      <c r="H116" s="644"/>
      <c r="I116" s="640"/>
      <c r="J116" s="640">
        <v>0</v>
      </c>
      <c r="K116" s="640">
        <v>10</v>
      </c>
      <c r="L116" s="641">
        <v>0</v>
      </c>
      <c r="M116" s="639"/>
      <c r="N116" s="338"/>
      <c r="O116" s="338"/>
      <c r="P116" s="338"/>
      <c r="Q116" s="338"/>
      <c r="R116" s="642"/>
      <c r="S116" s="643">
        <f t="shared" si="13"/>
        <v>0</v>
      </c>
      <c r="T116" s="643">
        <f t="shared" si="13"/>
        <v>0</v>
      </c>
      <c r="U116" s="643">
        <f t="shared" si="18"/>
        <v>0</v>
      </c>
      <c r="V116" s="643">
        <f t="shared" si="19"/>
        <v>10</v>
      </c>
      <c r="W116" s="688">
        <f t="shared" si="20"/>
        <v>0</v>
      </c>
      <c r="X116" s="346"/>
      <c r="Y116" s="346"/>
      <c r="Z116" s="469"/>
    </row>
    <row r="117" spans="1:26" s="325" customFormat="1" ht="11.25" customHeight="1" x14ac:dyDescent="0.25">
      <c r="A117" s="328" t="s">
        <v>378</v>
      </c>
      <c r="B117" s="329" t="s">
        <v>1308</v>
      </c>
      <c r="C117" s="329" t="s">
        <v>237</v>
      </c>
      <c r="D117" s="329" t="s">
        <v>1349</v>
      </c>
      <c r="E117" s="329" t="s">
        <v>269</v>
      </c>
      <c r="F117" s="330" t="s">
        <v>464</v>
      </c>
      <c r="G117" s="463" t="s">
        <v>1307</v>
      </c>
      <c r="H117" s="644">
        <v>0</v>
      </c>
      <c r="I117" s="640">
        <v>0</v>
      </c>
      <c r="J117" s="640">
        <v>0</v>
      </c>
      <c r="K117" s="640">
        <v>58</v>
      </c>
      <c r="L117" s="641">
        <v>0</v>
      </c>
      <c r="M117" s="639"/>
      <c r="N117" s="338"/>
      <c r="O117" s="338"/>
      <c r="P117" s="338">
        <v>58</v>
      </c>
      <c r="Q117" s="338"/>
      <c r="R117" s="642" t="s">
        <v>1564</v>
      </c>
      <c r="S117" s="643">
        <f t="shared" si="13"/>
        <v>0</v>
      </c>
      <c r="T117" s="643">
        <f t="shared" si="13"/>
        <v>0</v>
      </c>
      <c r="U117" s="643">
        <f t="shared" si="18"/>
        <v>0</v>
      </c>
      <c r="V117" s="643">
        <f t="shared" si="19"/>
        <v>0</v>
      </c>
      <c r="W117" s="688">
        <f t="shared" si="20"/>
        <v>0</v>
      </c>
      <c r="X117" s="346"/>
      <c r="Y117" s="346"/>
      <c r="Z117" s="469"/>
    </row>
    <row r="118" spans="1:26" s="325" customFormat="1" ht="11.25" customHeight="1" x14ac:dyDescent="0.25">
      <c r="A118" s="328" t="s">
        <v>378</v>
      </c>
      <c r="B118" s="329" t="s">
        <v>424</v>
      </c>
      <c r="C118" s="329" t="s">
        <v>237</v>
      </c>
      <c r="D118" s="329" t="s">
        <v>1350</v>
      </c>
      <c r="E118" s="329" t="s">
        <v>267</v>
      </c>
      <c r="F118" s="330" t="s">
        <v>464</v>
      </c>
      <c r="G118" s="344"/>
      <c r="H118" s="644"/>
      <c r="I118" s="640"/>
      <c r="J118" s="640">
        <v>0</v>
      </c>
      <c r="K118" s="640">
        <v>0</v>
      </c>
      <c r="L118" s="641">
        <v>0</v>
      </c>
      <c r="M118" s="639"/>
      <c r="N118" s="338"/>
      <c r="O118" s="338"/>
      <c r="P118" s="338"/>
      <c r="Q118" s="338"/>
      <c r="R118" s="642"/>
      <c r="S118" s="643">
        <f t="shared" si="13"/>
        <v>0</v>
      </c>
      <c r="T118" s="643">
        <f t="shared" si="13"/>
        <v>0</v>
      </c>
      <c r="U118" s="643">
        <f t="shared" si="18"/>
        <v>0</v>
      </c>
      <c r="V118" s="643">
        <f t="shared" si="19"/>
        <v>0</v>
      </c>
      <c r="W118" s="688">
        <f t="shared" si="20"/>
        <v>0</v>
      </c>
      <c r="X118" s="346"/>
      <c r="Y118" s="346"/>
      <c r="Z118" s="469"/>
    </row>
    <row r="119" spans="1:26" s="325" customFormat="1" ht="11.25" customHeight="1" x14ac:dyDescent="0.25">
      <c r="A119" s="328" t="s">
        <v>378</v>
      </c>
      <c r="B119" s="329" t="s">
        <v>1308</v>
      </c>
      <c r="C119" s="329" t="s">
        <v>237</v>
      </c>
      <c r="D119" s="329" t="s">
        <v>1351</v>
      </c>
      <c r="E119" s="329" t="s">
        <v>271</v>
      </c>
      <c r="F119" s="330" t="s">
        <v>464</v>
      </c>
      <c r="G119" s="463" t="s">
        <v>1307</v>
      </c>
      <c r="H119" s="644">
        <v>95</v>
      </c>
      <c r="I119" s="640">
        <v>95</v>
      </c>
      <c r="J119" s="640">
        <v>0</v>
      </c>
      <c r="K119" s="640">
        <v>40</v>
      </c>
      <c r="L119" s="641">
        <v>1</v>
      </c>
      <c r="M119" s="639">
        <v>15</v>
      </c>
      <c r="N119" s="338">
        <v>15</v>
      </c>
      <c r="O119" s="338"/>
      <c r="P119" s="338">
        <v>40</v>
      </c>
      <c r="Q119" s="338"/>
      <c r="R119" s="642" t="s">
        <v>1738</v>
      </c>
      <c r="S119" s="643">
        <f t="shared" si="13"/>
        <v>80</v>
      </c>
      <c r="T119" s="643">
        <f t="shared" si="13"/>
        <v>80</v>
      </c>
      <c r="U119" s="643">
        <f t="shared" si="18"/>
        <v>0</v>
      </c>
      <c r="V119" s="643">
        <f t="shared" si="19"/>
        <v>0</v>
      </c>
      <c r="W119" s="688">
        <f t="shared" si="20"/>
        <v>1</v>
      </c>
      <c r="X119" s="346"/>
      <c r="Y119" s="346"/>
      <c r="Z119" s="469"/>
    </row>
    <row r="120" spans="1:26" s="325" customFormat="1" ht="11.25" customHeight="1" x14ac:dyDescent="0.25">
      <c r="A120" s="328" t="s">
        <v>378</v>
      </c>
      <c r="B120" s="329" t="s">
        <v>1308</v>
      </c>
      <c r="C120" s="329" t="s">
        <v>237</v>
      </c>
      <c r="D120" s="329" t="s">
        <v>1728</v>
      </c>
      <c r="E120" s="329" t="s">
        <v>650</v>
      </c>
      <c r="F120" s="330" t="s">
        <v>464</v>
      </c>
      <c r="G120" s="463"/>
      <c r="H120" s="644">
        <v>281</v>
      </c>
      <c r="I120" s="640">
        <v>281</v>
      </c>
      <c r="J120" s="640"/>
      <c r="K120" s="640"/>
      <c r="L120" s="641"/>
      <c r="M120" s="639"/>
      <c r="N120" s="338"/>
      <c r="O120" s="338"/>
      <c r="P120" s="338"/>
      <c r="Q120" s="338"/>
      <c r="R120" s="642"/>
      <c r="S120" s="643"/>
      <c r="T120" s="643"/>
      <c r="U120" s="643"/>
      <c r="V120" s="643"/>
      <c r="W120" s="688"/>
      <c r="X120" s="346">
        <v>270</v>
      </c>
      <c r="Y120" s="346"/>
      <c r="Z120" s="469"/>
    </row>
    <row r="121" spans="1:26" s="325" customFormat="1" ht="11.25" customHeight="1" x14ac:dyDescent="0.25">
      <c r="A121" s="328" t="s">
        <v>378</v>
      </c>
      <c r="B121" s="329" t="s">
        <v>424</v>
      </c>
      <c r="C121" s="329" t="s">
        <v>237</v>
      </c>
      <c r="D121" s="329" t="s">
        <v>276</v>
      </c>
      <c r="E121" s="329" t="s">
        <v>275</v>
      </c>
      <c r="F121" s="330" t="s">
        <v>464</v>
      </c>
      <c r="G121" s="345"/>
      <c r="H121" s="644"/>
      <c r="I121" s="640">
        <v>0</v>
      </c>
      <c r="J121" s="640"/>
      <c r="K121" s="640">
        <v>30</v>
      </c>
      <c r="L121" s="641">
        <v>0</v>
      </c>
      <c r="M121" s="639"/>
      <c r="N121" s="338"/>
      <c r="O121" s="338"/>
      <c r="P121" s="338">
        <v>30</v>
      </c>
      <c r="Q121" s="338"/>
      <c r="R121" s="642" t="s">
        <v>1602</v>
      </c>
      <c r="S121" s="643">
        <f t="shared" si="13"/>
        <v>0</v>
      </c>
      <c r="T121" s="643">
        <f t="shared" si="13"/>
        <v>0</v>
      </c>
      <c r="U121" s="643">
        <f t="shared" si="18"/>
        <v>0</v>
      </c>
      <c r="V121" s="643">
        <f t="shared" si="19"/>
        <v>0</v>
      </c>
      <c r="W121" s="688">
        <f t="shared" si="20"/>
        <v>0</v>
      </c>
      <c r="X121" s="346"/>
      <c r="Y121" s="346"/>
      <c r="Z121" s="469"/>
    </row>
    <row r="122" spans="1:26" s="325" customFormat="1" ht="11.25" customHeight="1" x14ac:dyDescent="0.25">
      <c r="A122" s="328" t="s">
        <v>378</v>
      </c>
      <c r="B122" s="329" t="s">
        <v>424</v>
      </c>
      <c r="C122" s="329" t="s">
        <v>237</v>
      </c>
      <c r="D122" s="329" t="s">
        <v>280</v>
      </c>
      <c r="E122" s="329" t="s">
        <v>279</v>
      </c>
      <c r="F122" s="330" t="s">
        <v>464</v>
      </c>
      <c r="G122" s="463"/>
      <c r="H122" s="644"/>
      <c r="I122" s="640"/>
      <c r="J122" s="640"/>
      <c r="K122" s="640">
        <v>20</v>
      </c>
      <c r="L122" s="641">
        <v>0</v>
      </c>
      <c r="M122" s="639"/>
      <c r="N122" s="338"/>
      <c r="O122" s="338"/>
      <c r="P122" s="338">
        <v>10</v>
      </c>
      <c r="Q122" s="338"/>
      <c r="R122" s="642" t="s">
        <v>1602</v>
      </c>
      <c r="S122" s="643">
        <f t="shared" si="13"/>
        <v>0</v>
      </c>
      <c r="T122" s="643">
        <f t="shared" si="13"/>
        <v>0</v>
      </c>
      <c r="U122" s="643">
        <f t="shared" si="18"/>
        <v>0</v>
      </c>
      <c r="V122" s="643">
        <f t="shared" si="19"/>
        <v>10</v>
      </c>
      <c r="W122" s="688">
        <f t="shared" si="20"/>
        <v>0</v>
      </c>
      <c r="X122" s="346"/>
      <c r="Y122" s="346"/>
      <c r="Z122" s="469"/>
    </row>
    <row r="123" spans="1:26" s="325" customFormat="1" ht="11.25" customHeight="1" x14ac:dyDescent="0.25">
      <c r="A123" s="328" t="s">
        <v>378</v>
      </c>
      <c r="B123" s="329" t="s">
        <v>1308</v>
      </c>
      <c r="C123" s="329" t="s">
        <v>237</v>
      </c>
      <c r="D123" s="329" t="s">
        <v>1515</v>
      </c>
      <c r="E123" s="329" t="s">
        <v>1546</v>
      </c>
      <c r="F123" s="330" t="s">
        <v>464</v>
      </c>
      <c r="G123" s="463" t="s">
        <v>1460</v>
      </c>
      <c r="H123" s="644">
        <v>19</v>
      </c>
      <c r="I123" s="640">
        <v>19</v>
      </c>
      <c r="J123" s="640"/>
      <c r="K123" s="640"/>
      <c r="L123" s="641"/>
      <c r="M123" s="639"/>
      <c r="N123" s="338"/>
      <c r="O123" s="338"/>
      <c r="P123" s="338"/>
      <c r="Q123" s="338"/>
      <c r="R123" s="642"/>
      <c r="S123" s="643">
        <f t="shared" si="13"/>
        <v>19</v>
      </c>
      <c r="T123" s="643">
        <f t="shared" si="13"/>
        <v>19</v>
      </c>
      <c r="U123" s="643">
        <f t="shared" si="18"/>
        <v>0</v>
      </c>
      <c r="V123" s="643">
        <f t="shared" si="19"/>
        <v>0</v>
      </c>
      <c r="W123" s="688">
        <f t="shared" si="20"/>
        <v>0</v>
      </c>
      <c r="X123" s="346"/>
      <c r="Y123" s="346"/>
      <c r="Z123" s="469"/>
    </row>
    <row r="124" spans="1:26" s="325" customFormat="1" ht="11.25" customHeight="1" x14ac:dyDescent="0.25">
      <c r="A124" s="328" t="s">
        <v>378</v>
      </c>
      <c r="B124" s="329" t="s">
        <v>424</v>
      </c>
      <c r="C124" s="329" t="s">
        <v>237</v>
      </c>
      <c r="D124" s="329" t="s">
        <v>238</v>
      </c>
      <c r="E124" s="329" t="s">
        <v>236</v>
      </c>
      <c r="F124" s="330" t="s">
        <v>464</v>
      </c>
      <c r="G124" s="345"/>
      <c r="H124" s="644">
        <v>0</v>
      </c>
      <c r="I124" s="640">
        <v>0</v>
      </c>
      <c r="J124" s="640">
        <v>22</v>
      </c>
      <c r="K124" s="640"/>
      <c r="L124" s="641">
        <v>0</v>
      </c>
      <c r="M124" s="639"/>
      <c r="N124" s="338"/>
      <c r="O124" s="338">
        <v>22</v>
      </c>
      <c r="P124" s="338"/>
      <c r="Q124" s="338"/>
      <c r="R124" s="642" t="s">
        <v>1602</v>
      </c>
      <c r="S124" s="643">
        <f t="shared" si="13"/>
        <v>0</v>
      </c>
      <c r="T124" s="643">
        <f t="shared" si="13"/>
        <v>0</v>
      </c>
      <c r="U124" s="643">
        <f t="shared" si="18"/>
        <v>0</v>
      </c>
      <c r="V124" s="643">
        <f t="shared" si="19"/>
        <v>0</v>
      </c>
      <c r="W124" s="688">
        <f t="shared" si="20"/>
        <v>0</v>
      </c>
      <c r="X124" s="346"/>
      <c r="Y124" s="346"/>
      <c r="Z124" s="469"/>
    </row>
    <row r="125" spans="1:26" s="325" customFormat="1" ht="11.25" customHeight="1" x14ac:dyDescent="0.25">
      <c r="A125" s="328" t="s">
        <v>378</v>
      </c>
      <c r="B125" s="329" t="s">
        <v>462</v>
      </c>
      <c r="C125" s="329" t="s">
        <v>237</v>
      </c>
      <c r="D125" s="329" t="s">
        <v>1031</v>
      </c>
      <c r="E125" s="329" t="s">
        <v>241</v>
      </c>
      <c r="F125" s="330" t="s">
        <v>464</v>
      </c>
      <c r="G125" s="463"/>
      <c r="H125" s="644">
        <v>3</v>
      </c>
      <c r="I125" s="640">
        <v>3</v>
      </c>
      <c r="J125" s="640"/>
      <c r="K125" s="640">
        <v>25</v>
      </c>
      <c r="L125" s="641"/>
      <c r="M125" s="639"/>
      <c r="N125" s="338"/>
      <c r="O125" s="338"/>
      <c r="P125" s="338">
        <v>22</v>
      </c>
      <c r="Q125" s="338"/>
      <c r="R125" s="642" t="s">
        <v>1601</v>
      </c>
      <c r="S125" s="643">
        <f t="shared" si="13"/>
        <v>3</v>
      </c>
      <c r="T125" s="643">
        <f t="shared" si="13"/>
        <v>3</v>
      </c>
      <c r="U125" s="643">
        <f t="shared" si="18"/>
        <v>0</v>
      </c>
      <c r="V125" s="643">
        <f t="shared" si="19"/>
        <v>3</v>
      </c>
      <c r="W125" s="688">
        <f t="shared" si="20"/>
        <v>0</v>
      </c>
      <c r="X125" s="346"/>
      <c r="Y125" s="346"/>
      <c r="Z125" s="469"/>
    </row>
    <row r="126" spans="1:26" s="325" customFormat="1" ht="11.25" customHeight="1" x14ac:dyDescent="0.25">
      <c r="A126" s="328" t="s">
        <v>378</v>
      </c>
      <c r="B126" s="329" t="s">
        <v>424</v>
      </c>
      <c r="C126" s="329" t="s">
        <v>237</v>
      </c>
      <c r="D126" s="329" t="s">
        <v>1734</v>
      </c>
      <c r="E126" s="329" t="s">
        <v>1656</v>
      </c>
      <c r="F126" s="330" t="s">
        <v>464</v>
      </c>
      <c r="G126" s="463"/>
      <c r="H126" s="644">
        <v>183</v>
      </c>
      <c r="I126" s="644">
        <v>183</v>
      </c>
      <c r="J126" s="640"/>
      <c r="K126" s="640"/>
      <c r="L126" s="641">
        <v>2</v>
      </c>
      <c r="M126" s="639"/>
      <c r="N126" s="338"/>
      <c r="O126" s="338"/>
      <c r="P126" s="338"/>
      <c r="Q126" s="338"/>
      <c r="R126" s="642"/>
      <c r="S126" s="643">
        <f t="shared" si="13"/>
        <v>183</v>
      </c>
      <c r="T126" s="643">
        <f t="shared" si="13"/>
        <v>183</v>
      </c>
      <c r="U126" s="643"/>
      <c r="V126" s="643"/>
      <c r="W126" s="688"/>
      <c r="X126" s="346">
        <v>170</v>
      </c>
      <c r="Y126" s="346">
        <v>184</v>
      </c>
      <c r="Z126" s="469" t="s">
        <v>1720</v>
      </c>
    </row>
    <row r="127" spans="1:26" s="325" customFormat="1" ht="11.25" customHeight="1" x14ac:dyDescent="0.25">
      <c r="A127" s="328" t="s">
        <v>378</v>
      </c>
      <c r="B127" s="329" t="s">
        <v>1330</v>
      </c>
      <c r="C127" s="329" t="s">
        <v>237</v>
      </c>
      <c r="D127" s="329" t="s">
        <v>1674</v>
      </c>
      <c r="E127" s="329" t="s">
        <v>1657</v>
      </c>
      <c r="F127" s="330" t="s">
        <v>464</v>
      </c>
      <c r="G127" s="463"/>
      <c r="H127" s="644"/>
      <c r="I127" s="644"/>
      <c r="J127" s="640"/>
      <c r="K127" s="640"/>
      <c r="L127" s="641"/>
      <c r="M127" s="639"/>
      <c r="N127" s="338"/>
      <c r="O127" s="338"/>
      <c r="P127" s="338"/>
      <c r="Q127" s="338"/>
      <c r="R127" s="642"/>
      <c r="S127" s="643">
        <f t="shared" si="13"/>
        <v>0</v>
      </c>
      <c r="T127" s="643">
        <f t="shared" si="13"/>
        <v>0</v>
      </c>
      <c r="U127" s="643"/>
      <c r="V127" s="643"/>
      <c r="W127" s="688"/>
      <c r="X127" s="346"/>
      <c r="Y127" s="346">
        <v>120</v>
      </c>
      <c r="Z127" s="469"/>
    </row>
    <row r="128" spans="1:26" s="325" customFormat="1" ht="11.25" customHeight="1" x14ac:dyDescent="0.25">
      <c r="A128" s="328" t="s">
        <v>378</v>
      </c>
      <c r="B128" s="329" t="s">
        <v>462</v>
      </c>
      <c r="C128" s="329" t="s">
        <v>237</v>
      </c>
      <c r="D128" s="329" t="s">
        <v>248</v>
      </c>
      <c r="E128" s="329" t="s">
        <v>247</v>
      </c>
      <c r="F128" s="330" t="s">
        <v>464</v>
      </c>
      <c r="G128" s="345"/>
      <c r="H128" s="644">
        <v>0</v>
      </c>
      <c r="I128" s="640">
        <v>0</v>
      </c>
      <c r="J128" s="742">
        <v>5</v>
      </c>
      <c r="K128" s="640"/>
      <c r="L128" s="641"/>
      <c r="M128" s="639"/>
      <c r="N128" s="338"/>
      <c r="O128" s="329">
        <v>5</v>
      </c>
      <c r="P128" s="338"/>
      <c r="Q128" s="338"/>
      <c r="R128" s="642" t="s">
        <v>1762</v>
      </c>
      <c r="S128" s="643">
        <f t="shared" si="13"/>
        <v>0</v>
      </c>
      <c r="T128" s="643">
        <f t="shared" si="13"/>
        <v>0</v>
      </c>
      <c r="U128" s="643">
        <f t="shared" si="18"/>
        <v>0</v>
      </c>
      <c r="V128" s="643">
        <f t="shared" si="19"/>
        <v>0</v>
      </c>
      <c r="W128" s="688">
        <f t="shared" si="20"/>
        <v>0</v>
      </c>
      <c r="X128" s="346"/>
      <c r="Y128" s="346"/>
      <c r="Z128" s="469"/>
    </row>
    <row r="129" spans="1:26" s="325" customFormat="1" ht="11.25" customHeight="1" x14ac:dyDescent="0.25">
      <c r="A129" s="328" t="s">
        <v>378</v>
      </c>
      <c r="B129" s="329" t="s">
        <v>424</v>
      </c>
      <c r="C129" s="329" t="s">
        <v>237</v>
      </c>
      <c r="D129" s="329" t="s">
        <v>250</v>
      </c>
      <c r="E129" s="329" t="s">
        <v>249</v>
      </c>
      <c r="F129" s="330" t="s">
        <v>464</v>
      </c>
      <c r="G129" s="463"/>
      <c r="H129" s="644"/>
      <c r="I129" s="640"/>
      <c r="J129" s="640"/>
      <c r="K129" s="640">
        <v>26</v>
      </c>
      <c r="L129" s="641">
        <v>0</v>
      </c>
      <c r="M129" s="639"/>
      <c r="N129" s="338"/>
      <c r="O129" s="338"/>
      <c r="P129" s="338">
        <v>26</v>
      </c>
      <c r="Q129" s="338"/>
      <c r="R129" s="642" t="s">
        <v>1602</v>
      </c>
      <c r="S129" s="643">
        <f t="shared" si="13"/>
        <v>0</v>
      </c>
      <c r="T129" s="643">
        <f t="shared" si="13"/>
        <v>0</v>
      </c>
      <c r="U129" s="643">
        <f t="shared" si="18"/>
        <v>0</v>
      </c>
      <c r="V129" s="643">
        <f t="shared" si="19"/>
        <v>0</v>
      </c>
      <c r="W129" s="688">
        <f t="shared" si="20"/>
        <v>0</v>
      </c>
      <c r="X129" s="346"/>
      <c r="Y129" s="346"/>
      <c r="Z129" s="469" t="s">
        <v>1333</v>
      </c>
    </row>
    <row r="130" spans="1:26" s="325" customFormat="1" ht="11.25" customHeight="1" x14ac:dyDescent="0.25">
      <c r="A130" s="328" t="s">
        <v>378</v>
      </c>
      <c r="B130" s="329" t="s">
        <v>424</v>
      </c>
      <c r="C130" s="329" t="s">
        <v>237</v>
      </c>
      <c r="D130" s="329" t="s">
        <v>274</v>
      </c>
      <c r="E130" s="329" t="s">
        <v>273</v>
      </c>
      <c r="F130" s="330" t="s">
        <v>464</v>
      </c>
      <c r="G130" s="345" t="s">
        <v>1463</v>
      </c>
      <c r="H130" s="644"/>
      <c r="I130" s="640"/>
      <c r="J130" s="640"/>
      <c r="K130" s="640">
        <v>0</v>
      </c>
      <c r="L130" s="641">
        <v>0</v>
      </c>
      <c r="M130" s="328"/>
      <c r="N130" s="329"/>
      <c r="O130" s="329"/>
      <c r="P130" s="329"/>
      <c r="Q130" s="338"/>
      <c r="R130" s="642"/>
      <c r="S130" s="643">
        <f t="shared" si="13"/>
        <v>0</v>
      </c>
      <c r="T130" s="643">
        <f t="shared" si="13"/>
        <v>0</v>
      </c>
      <c r="U130" s="643">
        <f t="shared" si="18"/>
        <v>0</v>
      </c>
      <c r="V130" s="643">
        <f t="shared" si="19"/>
        <v>0</v>
      </c>
      <c r="W130" s="688">
        <f t="shared" si="20"/>
        <v>0</v>
      </c>
      <c r="X130" s="346"/>
      <c r="Y130" s="346"/>
      <c r="Z130" s="469"/>
    </row>
    <row r="131" spans="1:26" s="325" customFormat="1" ht="11.25" customHeight="1" x14ac:dyDescent="0.25">
      <c r="A131" s="328" t="s">
        <v>378</v>
      </c>
      <c r="B131" s="329" t="s">
        <v>424</v>
      </c>
      <c r="C131" s="329" t="s">
        <v>237</v>
      </c>
      <c r="D131" s="329" t="s">
        <v>1770</v>
      </c>
      <c r="E131" s="329" t="s">
        <v>1694</v>
      </c>
      <c r="F131" s="330" t="s">
        <v>464</v>
      </c>
      <c r="G131" s="345"/>
      <c r="H131" s="644">
        <v>141</v>
      </c>
      <c r="I131" s="640">
        <v>141</v>
      </c>
      <c r="J131" s="640"/>
      <c r="K131" s="640"/>
      <c r="L131" s="641">
        <v>2</v>
      </c>
      <c r="M131" s="328">
        <v>60</v>
      </c>
      <c r="N131" s="329">
        <v>60</v>
      </c>
      <c r="O131" s="329"/>
      <c r="P131" s="329"/>
      <c r="Q131" s="338"/>
      <c r="R131" s="642" t="s">
        <v>1563</v>
      </c>
      <c r="S131" s="643"/>
      <c r="T131" s="643"/>
      <c r="U131" s="643"/>
      <c r="V131" s="643"/>
      <c r="W131" s="688">
        <f t="shared" si="20"/>
        <v>2</v>
      </c>
      <c r="X131" s="346">
        <v>90</v>
      </c>
      <c r="Y131" s="346">
        <v>90</v>
      </c>
      <c r="Z131" s="469"/>
    </row>
    <row r="132" spans="1:26" s="325" customFormat="1" ht="11.25" customHeight="1" x14ac:dyDescent="0.25">
      <c r="A132" s="328" t="s">
        <v>378</v>
      </c>
      <c r="B132" s="329" t="s">
        <v>1330</v>
      </c>
      <c r="C132" s="325" t="s">
        <v>237</v>
      </c>
      <c r="D132" s="329" t="s">
        <v>1701</v>
      </c>
      <c r="E132" s="329" t="s">
        <v>1696</v>
      </c>
      <c r="F132" s="330" t="s">
        <v>464</v>
      </c>
      <c r="G132" s="345"/>
      <c r="H132" s="644">
        <v>8</v>
      </c>
      <c r="I132" s="640">
        <v>8</v>
      </c>
      <c r="J132" s="640"/>
      <c r="K132" s="640"/>
      <c r="L132" s="641"/>
      <c r="M132" s="639"/>
      <c r="N132" s="338"/>
      <c r="O132" s="338"/>
      <c r="P132" s="338"/>
      <c r="Q132" s="338"/>
      <c r="R132" s="642"/>
      <c r="S132" s="643"/>
      <c r="T132" s="643"/>
      <c r="U132" s="643"/>
      <c r="V132" s="643"/>
      <c r="W132" s="688"/>
      <c r="X132" s="346">
        <v>20</v>
      </c>
      <c r="Y132" s="346"/>
      <c r="Z132" s="469"/>
    </row>
    <row r="133" spans="1:26" s="325" customFormat="1" ht="11.25" customHeight="1" x14ac:dyDescent="0.25">
      <c r="A133" s="328" t="s">
        <v>378</v>
      </c>
      <c r="B133" s="329" t="s">
        <v>462</v>
      </c>
      <c r="C133" s="329" t="s">
        <v>237</v>
      </c>
      <c r="D133" s="329" t="s">
        <v>278</v>
      </c>
      <c r="E133" s="329" t="s">
        <v>277</v>
      </c>
      <c r="F133" s="330" t="s">
        <v>464</v>
      </c>
      <c r="G133" s="463"/>
      <c r="H133" s="644">
        <v>0</v>
      </c>
      <c r="I133" s="640">
        <v>0</v>
      </c>
      <c r="J133" s="640">
        <v>2</v>
      </c>
      <c r="K133" s="640">
        <v>0</v>
      </c>
      <c r="L133" s="743">
        <v>2</v>
      </c>
      <c r="M133" s="639"/>
      <c r="N133" s="338"/>
      <c r="O133" s="338">
        <v>2</v>
      </c>
      <c r="P133" s="338"/>
      <c r="Q133" s="338">
        <v>2</v>
      </c>
      <c r="R133" s="642"/>
      <c r="S133" s="643">
        <f t="shared" si="13"/>
        <v>0</v>
      </c>
      <c r="T133" s="643">
        <f t="shared" si="13"/>
        <v>0</v>
      </c>
      <c r="U133" s="643">
        <f t="shared" si="18"/>
        <v>0</v>
      </c>
      <c r="V133" s="643">
        <f t="shared" si="19"/>
        <v>0</v>
      </c>
      <c r="W133" s="688">
        <f t="shared" si="20"/>
        <v>0</v>
      </c>
      <c r="X133" s="346"/>
      <c r="Y133" s="346"/>
      <c r="Z133" s="469"/>
    </row>
    <row r="134" spans="1:26" s="325" customFormat="1" ht="11.25" customHeight="1" x14ac:dyDescent="0.25">
      <c r="A134" s="331" t="s">
        <v>3</v>
      </c>
      <c r="B134" s="332"/>
      <c r="C134" s="332"/>
      <c r="D134" s="333"/>
      <c r="E134" s="334"/>
      <c r="F134" s="335"/>
      <c r="G134" s="472"/>
      <c r="H134" s="336">
        <f>SUM(H107:H133)</f>
        <v>777</v>
      </c>
      <c r="I134" s="336">
        <f t="shared" ref="I134:Y134" si="23">SUM(I107:I133)</f>
        <v>777</v>
      </c>
      <c r="J134" s="336">
        <f t="shared" si="23"/>
        <v>39</v>
      </c>
      <c r="K134" s="336">
        <f t="shared" si="23"/>
        <v>450</v>
      </c>
      <c r="L134" s="336">
        <f t="shared" si="23"/>
        <v>7</v>
      </c>
      <c r="M134" s="336">
        <f t="shared" si="23"/>
        <v>104</v>
      </c>
      <c r="N134" s="336">
        <f t="shared" si="23"/>
        <v>104</v>
      </c>
      <c r="O134" s="336">
        <f t="shared" si="23"/>
        <v>29</v>
      </c>
      <c r="P134" s="336">
        <f t="shared" si="23"/>
        <v>342</v>
      </c>
      <c r="Q134" s="336">
        <f t="shared" si="23"/>
        <v>2</v>
      </c>
      <c r="R134" s="336">
        <f t="shared" si="23"/>
        <v>0</v>
      </c>
      <c r="S134" s="336">
        <f>SUM(S107:S133)</f>
        <v>303</v>
      </c>
      <c r="T134" s="336">
        <f t="shared" si="23"/>
        <v>303</v>
      </c>
      <c r="U134" s="336">
        <f t="shared" si="23"/>
        <v>10</v>
      </c>
      <c r="V134" s="336">
        <f t="shared" si="23"/>
        <v>108</v>
      </c>
      <c r="W134" s="689">
        <f t="shared" si="23"/>
        <v>3</v>
      </c>
      <c r="X134" s="689">
        <f t="shared" si="23"/>
        <v>550</v>
      </c>
      <c r="Y134" s="689">
        <f t="shared" si="23"/>
        <v>394</v>
      </c>
      <c r="Z134" s="469"/>
    </row>
    <row r="135" spans="1:26" s="325" customFormat="1" ht="11.25" customHeight="1" x14ac:dyDescent="0.25">
      <c r="A135" s="328" t="s">
        <v>1316</v>
      </c>
      <c r="B135" s="329" t="s">
        <v>424</v>
      </c>
      <c r="C135" s="329" t="s">
        <v>1352</v>
      </c>
      <c r="D135" s="329" t="s">
        <v>291</v>
      </c>
      <c r="E135" s="329" t="s">
        <v>290</v>
      </c>
      <c r="F135" s="330" t="s">
        <v>464</v>
      </c>
      <c r="G135" s="463"/>
      <c r="H135" s="644">
        <v>5</v>
      </c>
      <c r="I135" s="640"/>
      <c r="J135" s="640">
        <v>78</v>
      </c>
      <c r="K135" s="640">
        <v>41</v>
      </c>
      <c r="L135" s="641"/>
      <c r="M135" s="328"/>
      <c r="N135" s="329"/>
      <c r="O135" s="329">
        <v>20</v>
      </c>
      <c r="P135" s="329"/>
      <c r="Q135" s="338"/>
      <c r="R135" s="642" t="s">
        <v>1647</v>
      </c>
      <c r="S135" s="643">
        <f t="shared" si="13"/>
        <v>5</v>
      </c>
      <c r="T135" s="643">
        <f t="shared" si="13"/>
        <v>0</v>
      </c>
      <c r="U135" s="643">
        <f t="shared" si="18"/>
        <v>58</v>
      </c>
      <c r="V135" s="643">
        <f t="shared" si="19"/>
        <v>41</v>
      </c>
      <c r="W135" s="688">
        <f t="shared" si="20"/>
        <v>0</v>
      </c>
      <c r="X135" s="346"/>
      <c r="Y135" s="346"/>
      <c r="Z135" s="469" t="s">
        <v>1619</v>
      </c>
    </row>
    <row r="136" spans="1:26" s="325" customFormat="1" ht="11.25" customHeight="1" x14ac:dyDescent="0.25">
      <c r="A136" s="328" t="s">
        <v>1316</v>
      </c>
      <c r="B136" s="329" t="s">
        <v>424</v>
      </c>
      <c r="C136" s="329" t="s">
        <v>1352</v>
      </c>
      <c r="D136" s="329" t="s">
        <v>289</v>
      </c>
      <c r="E136" s="329" t="s">
        <v>287</v>
      </c>
      <c r="F136" s="330" t="s">
        <v>464</v>
      </c>
      <c r="G136" s="345" t="s">
        <v>1463</v>
      </c>
      <c r="H136" s="644">
        <v>1</v>
      </c>
      <c r="I136" s="640">
        <v>66</v>
      </c>
      <c r="J136" s="640"/>
      <c r="K136" s="640">
        <v>5</v>
      </c>
      <c r="L136" s="641"/>
      <c r="M136" s="328"/>
      <c r="N136" s="329"/>
      <c r="O136" s="329"/>
      <c r="P136" s="329"/>
      <c r="Q136" s="338"/>
      <c r="R136" s="642"/>
      <c r="S136" s="643">
        <f t="shared" si="13"/>
        <v>1</v>
      </c>
      <c r="T136" s="643">
        <f t="shared" si="13"/>
        <v>66</v>
      </c>
      <c r="U136" s="643">
        <f t="shared" si="18"/>
        <v>0</v>
      </c>
      <c r="V136" s="643">
        <f t="shared" si="19"/>
        <v>5</v>
      </c>
      <c r="W136" s="688">
        <f t="shared" si="20"/>
        <v>0</v>
      </c>
      <c r="X136" s="346"/>
      <c r="Y136" s="346"/>
      <c r="Z136" s="469"/>
    </row>
    <row r="137" spans="1:26" s="325" customFormat="1" ht="11.25" customHeight="1" x14ac:dyDescent="0.25">
      <c r="A137" s="328" t="s">
        <v>1316</v>
      </c>
      <c r="B137" s="329" t="s">
        <v>424</v>
      </c>
      <c r="C137" s="329" t="s">
        <v>1352</v>
      </c>
      <c r="D137" s="329" t="s">
        <v>1353</v>
      </c>
      <c r="E137" s="329" t="s">
        <v>906</v>
      </c>
      <c r="F137" s="330" t="s">
        <v>464</v>
      </c>
      <c r="G137" s="463"/>
      <c r="H137" s="644"/>
      <c r="I137" s="640"/>
      <c r="J137" s="640"/>
      <c r="K137" s="640"/>
      <c r="L137" s="641"/>
      <c r="M137" s="328"/>
      <c r="N137" s="329"/>
      <c r="O137" s="329"/>
      <c r="P137" s="329"/>
      <c r="Q137" s="338"/>
      <c r="R137" s="642"/>
      <c r="S137" s="643">
        <f t="shared" si="13"/>
        <v>0</v>
      </c>
      <c r="T137" s="643">
        <f t="shared" si="13"/>
        <v>0</v>
      </c>
      <c r="U137" s="643">
        <f t="shared" si="18"/>
        <v>0</v>
      </c>
      <c r="V137" s="643">
        <f t="shared" si="19"/>
        <v>0</v>
      </c>
      <c r="W137" s="688">
        <f t="shared" si="20"/>
        <v>0</v>
      </c>
      <c r="X137" s="346"/>
      <c r="Y137" s="346"/>
      <c r="Z137" s="469"/>
    </row>
    <row r="138" spans="1:26" s="325" customFormat="1" ht="11.25" customHeight="1" x14ac:dyDescent="0.25">
      <c r="A138" s="328" t="s">
        <v>1316</v>
      </c>
      <c r="B138" s="329" t="s">
        <v>424</v>
      </c>
      <c r="C138" s="329" t="s">
        <v>1352</v>
      </c>
      <c r="D138" s="329" t="s">
        <v>1354</v>
      </c>
      <c r="E138" s="329" t="s">
        <v>910</v>
      </c>
      <c r="F138" s="330" t="s">
        <v>464</v>
      </c>
      <c r="G138" s="465" t="s">
        <v>1460</v>
      </c>
      <c r="H138" s="644"/>
      <c r="I138" s="640">
        <v>0</v>
      </c>
      <c r="J138" s="640"/>
      <c r="K138" s="640">
        <v>6</v>
      </c>
      <c r="L138" s="641">
        <v>1</v>
      </c>
      <c r="M138" s="328"/>
      <c r="N138" s="329"/>
      <c r="O138" s="329"/>
      <c r="P138" s="329"/>
      <c r="Q138" s="338"/>
      <c r="R138" s="642"/>
      <c r="S138" s="643">
        <f t="shared" si="13"/>
        <v>0</v>
      </c>
      <c r="T138" s="643">
        <f t="shared" si="13"/>
        <v>0</v>
      </c>
      <c r="U138" s="643">
        <f t="shared" si="18"/>
        <v>0</v>
      </c>
      <c r="V138" s="643">
        <f t="shared" si="19"/>
        <v>6</v>
      </c>
      <c r="W138" s="688">
        <f t="shared" si="20"/>
        <v>1</v>
      </c>
      <c r="X138" s="346"/>
      <c r="Y138" s="346"/>
      <c r="Z138" s="469"/>
    </row>
    <row r="139" spans="1:26" s="325" customFormat="1" ht="11.25" customHeight="1" x14ac:dyDescent="0.25">
      <c r="A139" s="328" t="s">
        <v>1316</v>
      </c>
      <c r="B139" s="329" t="s">
        <v>1330</v>
      </c>
      <c r="C139" s="329" t="s">
        <v>1352</v>
      </c>
      <c r="D139" s="329" t="s">
        <v>1141</v>
      </c>
      <c r="E139" s="329" t="s">
        <v>1125</v>
      </c>
      <c r="F139" s="330" t="s">
        <v>464</v>
      </c>
      <c r="G139" s="463"/>
      <c r="H139" s="644">
        <v>62</v>
      </c>
      <c r="I139" s="338"/>
      <c r="J139" s="338"/>
      <c r="K139" s="640"/>
      <c r="L139" s="641"/>
      <c r="M139" s="639"/>
      <c r="N139" s="338"/>
      <c r="O139" s="338"/>
      <c r="P139" s="338"/>
      <c r="Q139" s="338"/>
      <c r="R139" s="642"/>
      <c r="S139" s="643">
        <f t="shared" si="13"/>
        <v>62</v>
      </c>
      <c r="T139" s="643">
        <f t="shared" si="13"/>
        <v>0</v>
      </c>
      <c r="U139" s="643">
        <f t="shared" si="18"/>
        <v>0</v>
      </c>
      <c r="V139" s="643">
        <f t="shared" si="19"/>
        <v>0</v>
      </c>
      <c r="W139" s="688">
        <f t="shared" si="20"/>
        <v>0</v>
      </c>
      <c r="X139" s="346"/>
      <c r="Y139" s="346"/>
      <c r="Z139" s="469"/>
    </row>
    <row r="140" spans="1:26" s="325" customFormat="1" ht="11.25" customHeight="1" x14ac:dyDescent="0.25">
      <c r="A140" s="328" t="s">
        <v>1316</v>
      </c>
      <c r="B140" s="329" t="s">
        <v>1319</v>
      </c>
      <c r="C140" s="329" t="s">
        <v>1352</v>
      </c>
      <c r="D140" s="329" t="s">
        <v>1355</v>
      </c>
      <c r="E140" s="329" t="s">
        <v>294</v>
      </c>
      <c r="F140" s="330" t="s">
        <v>464</v>
      </c>
      <c r="G140" s="463"/>
      <c r="H140" s="644"/>
      <c r="I140" s="640"/>
      <c r="J140" s="640"/>
      <c r="K140" s="640">
        <v>20</v>
      </c>
      <c r="L140" s="641"/>
      <c r="M140" s="639"/>
      <c r="N140" s="338"/>
      <c r="O140" s="338"/>
      <c r="P140" s="338">
        <v>20</v>
      </c>
      <c r="Q140" s="338"/>
      <c r="R140" s="642" t="s">
        <v>1593</v>
      </c>
      <c r="S140" s="643">
        <f t="shared" si="13"/>
        <v>0</v>
      </c>
      <c r="T140" s="643">
        <f t="shared" si="13"/>
        <v>0</v>
      </c>
      <c r="U140" s="643">
        <f t="shared" si="18"/>
        <v>0</v>
      </c>
      <c r="V140" s="643">
        <f t="shared" si="19"/>
        <v>0</v>
      </c>
      <c r="W140" s="688">
        <f t="shared" si="20"/>
        <v>0</v>
      </c>
      <c r="X140" s="346"/>
      <c r="Y140" s="346"/>
      <c r="Z140" s="469" t="s">
        <v>1356</v>
      </c>
    </row>
    <row r="141" spans="1:26" s="325" customFormat="1" ht="11.25" customHeight="1" x14ac:dyDescent="0.25">
      <c r="A141" s="331" t="s">
        <v>3</v>
      </c>
      <c r="B141" s="332"/>
      <c r="C141" s="332"/>
      <c r="D141" s="333"/>
      <c r="E141" s="334"/>
      <c r="F141" s="335"/>
      <c r="G141" s="472"/>
      <c r="H141" s="336">
        <f>SUM(H135:H140)</f>
        <v>68</v>
      </c>
      <c r="I141" s="334">
        <f>SUM(I135:I140)</f>
        <v>66</v>
      </c>
      <c r="J141" s="334">
        <f t="shared" ref="J141:Y141" si="24">SUM(J135:J140)</f>
        <v>78</v>
      </c>
      <c r="K141" s="334">
        <f t="shared" si="24"/>
        <v>72</v>
      </c>
      <c r="L141" s="334">
        <f t="shared" si="24"/>
        <v>1</v>
      </c>
      <c r="M141" s="334">
        <f t="shared" si="24"/>
        <v>0</v>
      </c>
      <c r="N141" s="334">
        <f t="shared" si="24"/>
        <v>0</v>
      </c>
      <c r="O141" s="334">
        <f t="shared" si="24"/>
        <v>20</v>
      </c>
      <c r="P141" s="334">
        <f t="shared" si="24"/>
        <v>20</v>
      </c>
      <c r="Q141" s="334">
        <f t="shared" si="24"/>
        <v>0</v>
      </c>
      <c r="R141" s="334">
        <f t="shared" si="24"/>
        <v>0</v>
      </c>
      <c r="S141" s="334">
        <f>SUM(S135:S140)</f>
        <v>68</v>
      </c>
      <c r="T141" s="334">
        <f t="shared" si="24"/>
        <v>66</v>
      </c>
      <c r="U141" s="334">
        <f t="shared" si="24"/>
        <v>58</v>
      </c>
      <c r="V141" s="334">
        <f t="shared" si="24"/>
        <v>52</v>
      </c>
      <c r="W141" s="334">
        <f t="shared" si="24"/>
        <v>1</v>
      </c>
      <c r="X141" s="334">
        <f t="shared" si="24"/>
        <v>0</v>
      </c>
      <c r="Y141" s="334">
        <f t="shared" si="24"/>
        <v>0</v>
      </c>
      <c r="Z141" s="469"/>
    </row>
    <row r="142" spans="1:26" s="325" customFormat="1" ht="11.25" customHeight="1" x14ac:dyDescent="0.25">
      <c r="A142" s="328" t="s">
        <v>1316</v>
      </c>
      <c r="B142" s="329" t="s">
        <v>1330</v>
      </c>
      <c r="C142" s="329" t="s">
        <v>297</v>
      </c>
      <c r="D142" s="329" t="s">
        <v>1137</v>
      </c>
      <c r="E142" s="329" t="s">
        <v>1122</v>
      </c>
      <c r="F142" s="330" t="s">
        <v>464</v>
      </c>
      <c r="G142" s="463" t="s">
        <v>1307</v>
      </c>
      <c r="H142" s="644">
        <v>25</v>
      </c>
      <c r="I142" s="640">
        <v>25</v>
      </c>
      <c r="J142" s="640"/>
      <c r="K142" s="640"/>
      <c r="L142" s="641"/>
      <c r="M142" s="639">
        <v>25</v>
      </c>
      <c r="N142" s="338">
        <v>25</v>
      </c>
      <c r="O142" s="338"/>
      <c r="P142" s="338"/>
      <c r="Q142" s="338"/>
      <c r="R142" s="642" t="s">
        <v>778</v>
      </c>
      <c r="S142" s="643">
        <f t="shared" si="13"/>
        <v>0</v>
      </c>
      <c r="T142" s="643">
        <f t="shared" si="13"/>
        <v>0</v>
      </c>
      <c r="U142" s="643">
        <f t="shared" si="18"/>
        <v>0</v>
      </c>
      <c r="V142" s="643">
        <f t="shared" si="19"/>
        <v>0</v>
      </c>
      <c r="W142" s="688">
        <f t="shared" si="20"/>
        <v>0</v>
      </c>
      <c r="X142" s="346"/>
      <c r="Y142" s="346"/>
      <c r="Z142" s="469" t="s">
        <v>1318</v>
      </c>
    </row>
    <row r="143" spans="1:26" s="325" customFormat="1" ht="11.25" customHeight="1" x14ac:dyDescent="0.25">
      <c r="A143" s="328" t="s">
        <v>1316</v>
      </c>
      <c r="B143" s="329" t="s">
        <v>1319</v>
      </c>
      <c r="C143" s="329" t="s">
        <v>297</v>
      </c>
      <c r="D143" s="329" t="s">
        <v>1191</v>
      </c>
      <c r="E143" s="329" t="s">
        <v>1173</v>
      </c>
      <c r="F143" s="330" t="s">
        <v>464</v>
      </c>
      <c r="G143" s="463" t="s">
        <v>1307</v>
      </c>
      <c r="H143" s="644">
        <v>17</v>
      </c>
      <c r="I143" s="640">
        <v>17</v>
      </c>
      <c r="J143" s="640">
        <v>80</v>
      </c>
      <c r="K143" s="640">
        <v>20</v>
      </c>
      <c r="L143" s="641"/>
      <c r="M143" s="639">
        <v>20</v>
      </c>
      <c r="N143" s="338">
        <v>20</v>
      </c>
      <c r="O143" s="338">
        <v>43</v>
      </c>
      <c r="P143" s="338">
        <v>20</v>
      </c>
      <c r="Q143" s="338"/>
      <c r="R143" s="642" t="s">
        <v>1775</v>
      </c>
      <c r="S143" s="643">
        <f t="shared" si="13"/>
        <v>-3</v>
      </c>
      <c r="T143" s="643">
        <f t="shared" si="13"/>
        <v>-3</v>
      </c>
      <c r="U143" s="643">
        <f t="shared" si="18"/>
        <v>37</v>
      </c>
      <c r="V143" s="643">
        <f t="shared" si="19"/>
        <v>0</v>
      </c>
      <c r="W143" s="688">
        <f t="shared" si="20"/>
        <v>0</v>
      </c>
      <c r="X143" s="346"/>
      <c r="Y143" s="346"/>
      <c r="Z143" s="469" t="s">
        <v>1356</v>
      </c>
    </row>
    <row r="144" spans="1:26" s="325" customFormat="1" ht="11.25" customHeight="1" x14ac:dyDescent="0.25">
      <c r="A144" s="328" t="s">
        <v>1316</v>
      </c>
      <c r="B144" s="329" t="s">
        <v>424</v>
      </c>
      <c r="C144" s="329" t="s">
        <v>297</v>
      </c>
      <c r="D144" s="329" t="s">
        <v>759</v>
      </c>
      <c r="E144" s="329" t="s">
        <v>296</v>
      </c>
      <c r="F144" s="330" t="s">
        <v>464</v>
      </c>
      <c r="G144" s="463" t="s">
        <v>1463</v>
      </c>
      <c r="H144" s="644">
        <v>45</v>
      </c>
      <c r="I144" s="640">
        <v>45</v>
      </c>
      <c r="J144" s="640"/>
      <c r="K144" s="640"/>
      <c r="L144" s="641"/>
      <c r="M144" s="328">
        <v>21</v>
      </c>
      <c r="N144" s="329">
        <v>21</v>
      </c>
      <c r="O144" s="329"/>
      <c r="P144" s="329"/>
      <c r="Q144" s="338"/>
      <c r="R144" s="642" t="s">
        <v>1631</v>
      </c>
      <c r="S144" s="643">
        <f t="shared" ref="S144:T180" si="25">H144-M144</f>
        <v>24</v>
      </c>
      <c r="T144" s="643">
        <f t="shared" si="25"/>
        <v>24</v>
      </c>
      <c r="U144" s="643">
        <f t="shared" si="18"/>
        <v>0</v>
      </c>
      <c r="V144" s="643">
        <f t="shared" si="19"/>
        <v>0</v>
      </c>
      <c r="W144" s="688">
        <f t="shared" si="20"/>
        <v>0</v>
      </c>
      <c r="X144" s="346"/>
      <c r="Y144" s="346"/>
      <c r="Z144" s="469" t="s">
        <v>1632</v>
      </c>
    </row>
    <row r="145" spans="1:26" s="325" customFormat="1" ht="11.25" customHeight="1" x14ac:dyDescent="0.25">
      <c r="A145" s="328" t="s">
        <v>1316</v>
      </c>
      <c r="B145" s="329" t="s">
        <v>1319</v>
      </c>
      <c r="C145" s="329" t="s">
        <v>297</v>
      </c>
      <c r="D145" s="329" t="s">
        <v>1278</v>
      </c>
      <c r="E145" s="329" t="s">
        <v>1277</v>
      </c>
      <c r="F145" s="330" t="s">
        <v>464</v>
      </c>
      <c r="G145" s="463" t="s">
        <v>1307</v>
      </c>
      <c r="H145" s="644"/>
      <c r="I145" s="640"/>
      <c r="J145" s="640">
        <v>59</v>
      </c>
      <c r="K145" s="640"/>
      <c r="L145" s="641"/>
      <c r="M145" s="639"/>
      <c r="N145" s="338"/>
      <c r="O145" s="338">
        <v>52</v>
      </c>
      <c r="P145" s="338"/>
      <c r="Q145" s="338"/>
      <c r="R145" s="642" t="s">
        <v>1593</v>
      </c>
      <c r="S145" s="643">
        <f t="shared" si="25"/>
        <v>0</v>
      </c>
      <c r="T145" s="643">
        <f t="shared" si="25"/>
        <v>0</v>
      </c>
      <c r="U145" s="643">
        <f t="shared" si="18"/>
        <v>7</v>
      </c>
      <c r="V145" s="643">
        <f t="shared" si="19"/>
        <v>0</v>
      </c>
      <c r="W145" s="688">
        <f t="shared" si="20"/>
        <v>0</v>
      </c>
      <c r="X145" s="346"/>
      <c r="Y145" s="346"/>
      <c r="Z145" s="469"/>
    </row>
    <row r="146" spans="1:26" s="325" customFormat="1" ht="11.25" customHeight="1" x14ac:dyDescent="0.25">
      <c r="A146" s="331" t="s">
        <v>3</v>
      </c>
      <c r="B146" s="332"/>
      <c r="C146" s="332"/>
      <c r="D146" s="333"/>
      <c r="E146" s="334"/>
      <c r="F146" s="335"/>
      <c r="G146" s="472"/>
      <c r="H146" s="336">
        <f>SUM(H142:H145)</f>
        <v>87</v>
      </c>
      <c r="I146" s="334">
        <f>SUM(I142:I145)</f>
        <v>87</v>
      </c>
      <c r="J146" s="334">
        <f t="shared" ref="J146:W146" si="26">SUM(J142:J145)</f>
        <v>139</v>
      </c>
      <c r="K146" s="334">
        <f t="shared" si="26"/>
        <v>20</v>
      </c>
      <c r="L146" s="334">
        <f t="shared" si="26"/>
        <v>0</v>
      </c>
      <c r="M146" s="334">
        <f t="shared" si="26"/>
        <v>66</v>
      </c>
      <c r="N146" s="334">
        <f t="shared" si="26"/>
        <v>66</v>
      </c>
      <c r="O146" s="334">
        <f t="shared" si="26"/>
        <v>95</v>
      </c>
      <c r="P146" s="334">
        <f t="shared" si="26"/>
        <v>20</v>
      </c>
      <c r="Q146" s="334">
        <f t="shared" si="26"/>
        <v>0</v>
      </c>
      <c r="R146" s="334">
        <f t="shared" si="26"/>
        <v>0</v>
      </c>
      <c r="S146" s="334">
        <f t="shared" si="26"/>
        <v>21</v>
      </c>
      <c r="T146" s="334">
        <f t="shared" si="26"/>
        <v>21</v>
      </c>
      <c r="U146" s="334">
        <f t="shared" si="26"/>
        <v>44</v>
      </c>
      <c r="V146" s="334">
        <f t="shared" si="26"/>
        <v>0</v>
      </c>
      <c r="W146" s="472">
        <f t="shared" si="26"/>
        <v>0</v>
      </c>
      <c r="X146" s="334"/>
      <c r="Y146" s="334"/>
      <c r="Z146" s="469"/>
    </row>
    <row r="147" spans="1:26" s="325" customFormat="1" ht="11.25" customHeight="1" x14ac:dyDescent="0.25">
      <c r="A147" s="328" t="s">
        <v>378</v>
      </c>
      <c r="B147" s="352" t="s">
        <v>1330</v>
      </c>
      <c r="C147" s="329" t="s">
        <v>299</v>
      </c>
      <c r="D147" s="651" t="s">
        <v>300</v>
      </c>
      <c r="E147" s="329" t="s">
        <v>298</v>
      </c>
      <c r="F147" s="330" t="s">
        <v>464</v>
      </c>
      <c r="G147" s="463"/>
      <c r="H147" s="644"/>
      <c r="I147" s="640"/>
      <c r="J147" s="640"/>
      <c r="K147" s="640"/>
      <c r="L147" s="641"/>
      <c r="M147" s="639"/>
      <c r="N147" s="338"/>
      <c r="O147" s="338"/>
      <c r="P147" s="338"/>
      <c r="Q147" s="338"/>
      <c r="R147" s="642"/>
      <c r="S147" s="643">
        <f t="shared" si="25"/>
        <v>0</v>
      </c>
      <c r="T147" s="643">
        <f t="shared" si="25"/>
        <v>0</v>
      </c>
      <c r="U147" s="643">
        <f t="shared" si="18"/>
        <v>0</v>
      </c>
      <c r="V147" s="643">
        <f t="shared" si="19"/>
        <v>0</v>
      </c>
      <c r="W147" s="688">
        <f t="shared" si="20"/>
        <v>0</v>
      </c>
      <c r="X147" s="346"/>
      <c r="Y147" s="346"/>
      <c r="Z147" s="469"/>
    </row>
    <row r="148" spans="1:26" s="325" customFormat="1" ht="11.25" customHeight="1" x14ac:dyDescent="0.25">
      <c r="A148" s="328" t="s">
        <v>378</v>
      </c>
      <c r="B148" s="329" t="s">
        <v>424</v>
      </c>
      <c r="C148" s="329" t="s">
        <v>299</v>
      </c>
      <c r="D148" s="651" t="s">
        <v>1046</v>
      </c>
      <c r="E148" s="329" t="s">
        <v>1045</v>
      </c>
      <c r="F148" s="330" t="s">
        <v>464</v>
      </c>
      <c r="G148" s="463"/>
      <c r="H148" s="644"/>
      <c r="I148" s="640"/>
      <c r="J148" s="640"/>
      <c r="K148" s="640">
        <v>30</v>
      </c>
      <c r="L148" s="641">
        <v>1</v>
      </c>
      <c r="M148" s="328"/>
      <c r="N148" s="329"/>
      <c r="O148" s="329"/>
      <c r="P148" s="329"/>
      <c r="Q148" s="338"/>
      <c r="R148" s="642"/>
      <c r="S148" s="643">
        <f t="shared" si="25"/>
        <v>0</v>
      </c>
      <c r="T148" s="643">
        <f t="shared" si="25"/>
        <v>0</v>
      </c>
      <c r="U148" s="643">
        <f t="shared" si="18"/>
        <v>0</v>
      </c>
      <c r="V148" s="643">
        <f t="shared" si="19"/>
        <v>30</v>
      </c>
      <c r="W148" s="688">
        <f t="shared" si="20"/>
        <v>1</v>
      </c>
      <c r="X148" s="346"/>
      <c r="Y148" s="346"/>
      <c r="Z148" s="469"/>
    </row>
    <row r="149" spans="1:26" s="325" customFormat="1" ht="11.25" customHeight="1" x14ac:dyDescent="0.25">
      <c r="A149" s="331" t="s">
        <v>3</v>
      </c>
      <c r="B149" s="332"/>
      <c r="C149" s="332"/>
      <c r="D149" s="333"/>
      <c r="E149" s="334"/>
      <c r="F149" s="335"/>
      <c r="G149" s="472"/>
      <c r="H149" s="336">
        <f>SUM(H147:H148)</f>
        <v>0</v>
      </c>
      <c r="I149" s="334">
        <f>SUM(I147:I148)</f>
        <v>0</v>
      </c>
      <c r="J149" s="334">
        <f t="shared" ref="J149:W149" si="27">SUM(J147:J148)</f>
        <v>0</v>
      </c>
      <c r="K149" s="334">
        <f t="shared" si="27"/>
        <v>30</v>
      </c>
      <c r="L149" s="334">
        <f t="shared" si="27"/>
        <v>1</v>
      </c>
      <c r="M149" s="334">
        <f t="shared" si="27"/>
        <v>0</v>
      </c>
      <c r="N149" s="334">
        <f t="shared" si="27"/>
        <v>0</v>
      </c>
      <c r="O149" s="334">
        <f t="shared" si="27"/>
        <v>0</v>
      </c>
      <c r="P149" s="334">
        <f t="shared" si="27"/>
        <v>0</v>
      </c>
      <c r="Q149" s="334">
        <f t="shared" si="27"/>
        <v>0</v>
      </c>
      <c r="R149" s="334">
        <f t="shared" si="27"/>
        <v>0</v>
      </c>
      <c r="S149" s="334">
        <f>SUM(S147:S148)</f>
        <v>0</v>
      </c>
      <c r="T149" s="334">
        <f t="shared" si="27"/>
        <v>0</v>
      </c>
      <c r="U149" s="334">
        <f t="shared" si="27"/>
        <v>0</v>
      </c>
      <c r="V149" s="334">
        <f t="shared" si="27"/>
        <v>30</v>
      </c>
      <c r="W149" s="472">
        <f t="shared" si="27"/>
        <v>1</v>
      </c>
      <c r="X149" s="334"/>
      <c r="Y149" s="334"/>
      <c r="Z149" s="469"/>
    </row>
    <row r="150" spans="1:26" s="325" customFormat="1" ht="11.25" customHeight="1" x14ac:dyDescent="0.25">
      <c r="A150" s="328" t="s">
        <v>378</v>
      </c>
      <c r="B150" s="329" t="s">
        <v>424</v>
      </c>
      <c r="C150" s="329" t="s">
        <v>1357</v>
      </c>
      <c r="D150" s="329" t="s">
        <v>305</v>
      </c>
      <c r="E150" s="329" t="s">
        <v>304</v>
      </c>
      <c r="F150" s="330" t="s">
        <v>464</v>
      </c>
      <c r="G150" s="463"/>
      <c r="H150" s="644"/>
      <c r="I150" s="640"/>
      <c r="J150" s="640"/>
      <c r="K150" s="640">
        <v>50</v>
      </c>
      <c r="L150" s="641"/>
      <c r="M150" s="328"/>
      <c r="N150" s="329"/>
      <c r="O150" s="329"/>
      <c r="P150" s="329"/>
      <c r="Q150" s="338"/>
      <c r="R150" s="642"/>
      <c r="S150" s="643">
        <f t="shared" si="25"/>
        <v>0</v>
      </c>
      <c r="T150" s="643">
        <f t="shared" si="25"/>
        <v>0</v>
      </c>
      <c r="U150" s="643">
        <f t="shared" si="18"/>
        <v>0</v>
      </c>
      <c r="V150" s="643">
        <f t="shared" si="19"/>
        <v>50</v>
      </c>
      <c r="W150" s="688">
        <f t="shared" si="20"/>
        <v>0</v>
      </c>
      <c r="X150" s="346"/>
      <c r="Y150" s="346"/>
      <c r="Z150" s="469"/>
    </row>
    <row r="151" spans="1:26" s="325" customFormat="1" ht="11.25" customHeight="1" x14ac:dyDescent="0.25">
      <c r="A151" s="328" t="s">
        <v>378</v>
      </c>
      <c r="B151" s="329" t="s">
        <v>1303</v>
      </c>
      <c r="C151" s="329" t="s">
        <v>1357</v>
      </c>
      <c r="D151" s="329" t="s">
        <v>307</v>
      </c>
      <c r="E151" s="329" t="s">
        <v>306</v>
      </c>
      <c r="F151" s="330" t="s">
        <v>464</v>
      </c>
      <c r="G151" s="467"/>
      <c r="H151" s="644"/>
      <c r="I151" s="640"/>
      <c r="J151" s="640"/>
      <c r="K151" s="640"/>
      <c r="L151" s="641"/>
      <c r="M151" s="639"/>
      <c r="N151" s="338"/>
      <c r="O151" s="338"/>
      <c r="P151" s="338"/>
      <c r="Q151" s="338"/>
      <c r="R151" s="642"/>
      <c r="S151" s="643">
        <f t="shared" si="25"/>
        <v>0</v>
      </c>
      <c r="T151" s="643">
        <f t="shared" si="25"/>
        <v>0</v>
      </c>
      <c r="U151" s="643">
        <f t="shared" si="18"/>
        <v>0</v>
      </c>
      <c r="V151" s="643">
        <f t="shared" si="19"/>
        <v>0</v>
      </c>
      <c r="W151" s="688">
        <f t="shared" si="20"/>
        <v>0</v>
      </c>
      <c r="X151" s="346"/>
      <c r="Y151" s="346"/>
      <c r="Z151" s="469"/>
    </row>
    <row r="152" spans="1:26" s="325" customFormat="1" ht="11.25" customHeight="1" x14ac:dyDescent="0.25">
      <c r="A152" s="331" t="s">
        <v>3</v>
      </c>
      <c r="B152" s="332"/>
      <c r="C152" s="332"/>
      <c r="D152" s="333"/>
      <c r="E152" s="334"/>
      <c r="F152" s="335"/>
      <c r="G152" s="472"/>
      <c r="H152" s="336">
        <f>SUM(H150:H151)</f>
        <v>0</v>
      </c>
      <c r="I152" s="334">
        <f>SUM(I150:I151)</f>
        <v>0</v>
      </c>
      <c r="J152" s="334">
        <f t="shared" ref="J152:W152" si="28">SUM(J150:J151)</f>
        <v>0</v>
      </c>
      <c r="K152" s="334">
        <f t="shared" si="28"/>
        <v>50</v>
      </c>
      <c r="L152" s="334">
        <f t="shared" si="28"/>
        <v>0</v>
      </c>
      <c r="M152" s="334">
        <f t="shared" si="28"/>
        <v>0</v>
      </c>
      <c r="N152" s="334">
        <f t="shared" si="28"/>
        <v>0</v>
      </c>
      <c r="O152" s="334">
        <f t="shared" si="28"/>
        <v>0</v>
      </c>
      <c r="P152" s="334">
        <f t="shared" si="28"/>
        <v>0</v>
      </c>
      <c r="Q152" s="334">
        <f t="shared" si="28"/>
        <v>0</v>
      </c>
      <c r="R152" s="334">
        <f t="shared" si="28"/>
        <v>0</v>
      </c>
      <c r="S152" s="334">
        <f>SUM(S150:S151)</f>
        <v>0</v>
      </c>
      <c r="T152" s="334">
        <f t="shared" si="28"/>
        <v>0</v>
      </c>
      <c r="U152" s="334">
        <f t="shared" si="28"/>
        <v>0</v>
      </c>
      <c r="V152" s="334">
        <f t="shared" si="28"/>
        <v>50</v>
      </c>
      <c r="W152" s="472">
        <f t="shared" si="28"/>
        <v>0</v>
      </c>
      <c r="X152" s="334"/>
      <c r="Y152" s="334"/>
      <c r="Z152" s="469"/>
    </row>
    <row r="153" spans="1:26" s="325" customFormat="1" ht="11.25" customHeight="1" x14ac:dyDescent="0.25">
      <c r="A153" s="328" t="s">
        <v>378</v>
      </c>
      <c r="B153" s="329" t="s">
        <v>424</v>
      </c>
      <c r="C153" s="329" t="s">
        <v>1358</v>
      </c>
      <c r="D153" s="329" t="s">
        <v>1068</v>
      </c>
      <c r="E153" s="329" t="s">
        <v>1069</v>
      </c>
      <c r="F153" s="330" t="s">
        <v>466</v>
      </c>
      <c r="G153" s="463" t="s">
        <v>1307</v>
      </c>
      <c r="H153" s="644">
        <v>73</v>
      </c>
      <c r="I153" s="640">
        <v>73</v>
      </c>
      <c r="J153" s="640"/>
      <c r="K153" s="640"/>
      <c r="L153" s="641"/>
      <c r="M153" s="328"/>
      <c r="N153" s="329"/>
      <c r="O153" s="329"/>
      <c r="P153" s="329"/>
      <c r="Q153" s="338"/>
      <c r="R153" s="642"/>
      <c r="S153" s="643">
        <f t="shared" si="25"/>
        <v>73</v>
      </c>
      <c r="T153" s="643">
        <f t="shared" si="25"/>
        <v>73</v>
      </c>
      <c r="U153" s="643">
        <f t="shared" si="18"/>
        <v>0</v>
      </c>
      <c r="V153" s="643">
        <f t="shared" si="19"/>
        <v>0</v>
      </c>
      <c r="W153" s="688">
        <f t="shared" si="20"/>
        <v>0</v>
      </c>
      <c r="X153" s="346"/>
      <c r="Y153" s="346"/>
      <c r="Z153" s="469"/>
    </row>
    <row r="154" spans="1:26" s="325" customFormat="1" ht="11.25" customHeight="1" x14ac:dyDescent="0.25">
      <c r="A154" s="328" t="s">
        <v>378</v>
      </c>
      <c r="B154" s="329" t="s">
        <v>424</v>
      </c>
      <c r="C154" s="346" t="s">
        <v>1358</v>
      </c>
      <c r="D154" s="346" t="s">
        <v>1066</v>
      </c>
      <c r="E154" s="735" t="s">
        <v>1067</v>
      </c>
      <c r="F154" s="347" t="s">
        <v>466</v>
      </c>
      <c r="G154" s="468" t="s">
        <v>1307</v>
      </c>
      <c r="H154" s="644">
        <v>86</v>
      </c>
      <c r="I154" s="640">
        <v>86</v>
      </c>
      <c r="J154" s="640"/>
      <c r="K154" s="640"/>
      <c r="L154" s="641"/>
      <c r="M154" s="328"/>
      <c r="N154" s="329"/>
      <c r="O154" s="329"/>
      <c r="P154" s="329"/>
      <c r="Q154" s="338"/>
      <c r="R154" s="642"/>
      <c r="S154" s="643">
        <f t="shared" si="25"/>
        <v>86</v>
      </c>
      <c r="T154" s="643">
        <f t="shared" si="25"/>
        <v>86</v>
      </c>
      <c r="U154" s="643">
        <f t="shared" si="18"/>
        <v>0</v>
      </c>
      <c r="V154" s="643">
        <f t="shared" si="19"/>
        <v>0</v>
      </c>
      <c r="W154" s="688">
        <f t="shared" si="20"/>
        <v>0</v>
      </c>
      <c r="X154" s="346"/>
      <c r="Y154" s="346"/>
      <c r="Z154" s="469"/>
    </row>
    <row r="155" spans="1:26" s="325" customFormat="1" ht="11.25" customHeight="1" x14ac:dyDescent="0.25">
      <c r="A155" s="331" t="s">
        <v>3</v>
      </c>
      <c r="B155" s="332"/>
      <c r="C155" s="332"/>
      <c r="D155" s="333"/>
      <c r="E155" s="334"/>
      <c r="F155" s="335"/>
      <c r="G155" s="472"/>
      <c r="H155" s="336">
        <f>SUM(H153:H154)</f>
        <v>159</v>
      </c>
      <c r="I155" s="334">
        <f>SUM(I153:I154)</f>
        <v>159</v>
      </c>
      <c r="J155" s="334">
        <f t="shared" ref="J155:Y155" si="29">SUM(J153:J154)</f>
        <v>0</v>
      </c>
      <c r="K155" s="334">
        <f t="shared" si="29"/>
        <v>0</v>
      </c>
      <c r="L155" s="334">
        <f t="shared" si="29"/>
        <v>0</v>
      </c>
      <c r="M155" s="334">
        <f t="shared" si="29"/>
        <v>0</v>
      </c>
      <c r="N155" s="334">
        <f t="shared" si="29"/>
        <v>0</v>
      </c>
      <c r="O155" s="334">
        <f t="shared" si="29"/>
        <v>0</v>
      </c>
      <c r="P155" s="334">
        <f t="shared" si="29"/>
        <v>0</v>
      </c>
      <c r="Q155" s="334">
        <f t="shared" si="29"/>
        <v>0</v>
      </c>
      <c r="R155" s="334">
        <f t="shared" si="29"/>
        <v>0</v>
      </c>
      <c r="S155" s="334">
        <f>SUM(S153:S154)</f>
        <v>159</v>
      </c>
      <c r="T155" s="334">
        <f t="shared" si="29"/>
        <v>159</v>
      </c>
      <c r="U155" s="334">
        <f t="shared" si="29"/>
        <v>0</v>
      </c>
      <c r="V155" s="334">
        <f t="shared" si="29"/>
        <v>0</v>
      </c>
      <c r="W155" s="334">
        <f t="shared" si="29"/>
        <v>0</v>
      </c>
      <c r="X155" s="334">
        <f t="shared" si="29"/>
        <v>0</v>
      </c>
      <c r="Y155" s="334">
        <f t="shared" si="29"/>
        <v>0</v>
      </c>
      <c r="Z155" s="469"/>
    </row>
    <row r="156" spans="1:26" ht="11.25" customHeight="1" x14ac:dyDescent="0.25">
      <c r="A156" s="328" t="s">
        <v>378</v>
      </c>
      <c r="B156" s="463" t="s">
        <v>424</v>
      </c>
      <c r="C156" s="749" t="s">
        <v>1136</v>
      </c>
      <c r="D156" s="750" t="s">
        <v>1732</v>
      </c>
      <c r="G156" s="329"/>
      <c r="H156" s="338">
        <v>101</v>
      </c>
      <c r="I156" s="338">
        <v>101</v>
      </c>
      <c r="J156" s="338"/>
      <c r="K156" s="338"/>
      <c r="L156" s="338">
        <v>2</v>
      </c>
      <c r="M156" s="329">
        <v>20</v>
      </c>
      <c r="N156" s="329">
        <v>20</v>
      </c>
      <c r="O156" s="329"/>
      <c r="P156" s="329"/>
      <c r="Q156" s="338"/>
      <c r="R156" s="338" t="s">
        <v>778</v>
      </c>
      <c r="S156" s="643">
        <f t="shared" si="25"/>
        <v>81</v>
      </c>
      <c r="T156" s="643">
        <f t="shared" si="25"/>
        <v>81</v>
      </c>
      <c r="U156" s="338"/>
      <c r="V156" s="338"/>
      <c r="W156" s="338"/>
      <c r="X156" s="338"/>
      <c r="Y156" s="338"/>
      <c r="Z156" s="329"/>
    </row>
    <row r="157" spans="1:26" ht="11.25" customHeight="1" x14ac:dyDescent="0.25">
      <c r="A157" s="328" t="s">
        <v>378</v>
      </c>
      <c r="B157" s="329" t="s">
        <v>1308</v>
      </c>
      <c r="C157" s="751" t="s">
        <v>1136</v>
      </c>
      <c r="D157" s="849" t="s">
        <v>1396</v>
      </c>
      <c r="G157" s="849"/>
      <c r="H157" s="850"/>
      <c r="I157" s="338"/>
      <c r="J157" s="338"/>
      <c r="K157" s="338"/>
      <c r="L157" s="338"/>
      <c r="M157" s="338"/>
      <c r="N157" s="338"/>
      <c r="O157" s="338"/>
      <c r="P157" s="338"/>
      <c r="Q157" s="338"/>
      <c r="R157" s="338"/>
      <c r="S157" s="643">
        <f t="shared" si="25"/>
        <v>0</v>
      </c>
      <c r="T157" s="643">
        <f t="shared" si="25"/>
        <v>0</v>
      </c>
      <c r="U157" s="338"/>
      <c r="V157" s="338"/>
      <c r="W157" s="338"/>
      <c r="X157" s="338"/>
      <c r="Y157" s="338"/>
      <c r="Z157" s="329"/>
    </row>
    <row r="158" spans="1:26" ht="11.25" customHeight="1" x14ac:dyDescent="0.25">
      <c r="A158" s="845" t="s">
        <v>378</v>
      </c>
      <c r="B158" s="846" t="s">
        <v>1308</v>
      </c>
      <c r="C158" s="847" t="s">
        <v>1136</v>
      </c>
      <c r="D158" s="329" t="s">
        <v>1904</v>
      </c>
      <c r="E158" s="329"/>
      <c r="F158" s="330"/>
      <c r="G158" s="329"/>
      <c r="H158" s="338"/>
      <c r="I158" s="338"/>
      <c r="J158" s="338"/>
      <c r="K158" s="338"/>
      <c r="L158" s="338"/>
      <c r="M158" s="338"/>
      <c r="N158" s="338"/>
      <c r="O158" s="338"/>
      <c r="P158" s="338"/>
      <c r="Q158" s="338"/>
      <c r="R158" s="338"/>
      <c r="S158" s="848"/>
      <c r="T158" s="848"/>
      <c r="U158" s="338"/>
      <c r="V158" s="338"/>
      <c r="W158" s="338"/>
      <c r="X158" s="338"/>
      <c r="Y158" s="338"/>
    </row>
    <row r="159" spans="1:26" s="325" customFormat="1" ht="11.25" customHeight="1" x14ac:dyDescent="0.25">
      <c r="A159" s="331" t="s">
        <v>3</v>
      </c>
      <c r="B159" s="332"/>
      <c r="C159" s="332"/>
      <c r="D159" s="851"/>
      <c r="E159" s="334"/>
      <c r="F159" s="335"/>
      <c r="G159" s="334"/>
      <c r="H159" s="334">
        <f>SUM(H156:H157)</f>
        <v>101</v>
      </c>
      <c r="I159" s="334">
        <f>SUM(I156:I157)</f>
        <v>101</v>
      </c>
      <c r="J159" s="334">
        <f t="shared" ref="J159:Y159" si="30">SUM(J156:J157)</f>
        <v>0</v>
      </c>
      <c r="K159" s="334">
        <f t="shared" si="30"/>
        <v>0</v>
      </c>
      <c r="L159" s="334">
        <f t="shared" si="30"/>
        <v>2</v>
      </c>
      <c r="M159" s="334">
        <f t="shared" si="30"/>
        <v>20</v>
      </c>
      <c r="N159" s="334">
        <f t="shared" si="30"/>
        <v>20</v>
      </c>
      <c r="O159" s="334">
        <f t="shared" si="30"/>
        <v>0</v>
      </c>
      <c r="P159" s="334">
        <f t="shared" si="30"/>
        <v>0</v>
      </c>
      <c r="Q159" s="334">
        <f t="shared" si="30"/>
        <v>0</v>
      </c>
      <c r="R159" s="334">
        <f t="shared" si="30"/>
        <v>0</v>
      </c>
      <c r="S159" s="334">
        <f>SUM(S156:S157)</f>
        <v>81</v>
      </c>
      <c r="T159" s="334">
        <f t="shared" si="30"/>
        <v>81</v>
      </c>
      <c r="U159" s="334">
        <f t="shared" si="30"/>
        <v>0</v>
      </c>
      <c r="V159" s="334">
        <f t="shared" si="30"/>
        <v>0</v>
      </c>
      <c r="W159" s="334">
        <f t="shared" si="30"/>
        <v>0</v>
      </c>
      <c r="X159" s="334">
        <f t="shared" si="30"/>
        <v>0</v>
      </c>
      <c r="Y159" s="334">
        <f t="shared" si="30"/>
        <v>0</v>
      </c>
      <c r="Z159" s="469"/>
    </row>
    <row r="160" spans="1:26" s="325" customFormat="1" ht="11.25" customHeight="1" x14ac:dyDescent="0.25">
      <c r="A160" s="328" t="s">
        <v>378</v>
      </c>
      <c r="B160" s="329" t="s">
        <v>1308</v>
      </c>
      <c r="C160" s="329" t="s">
        <v>309</v>
      </c>
      <c r="D160" s="329" t="s">
        <v>1359</v>
      </c>
      <c r="E160" s="329" t="s">
        <v>332</v>
      </c>
      <c r="F160" s="330" t="s">
        <v>466</v>
      </c>
      <c r="G160" s="463" t="s">
        <v>1307</v>
      </c>
      <c r="H160" s="644"/>
      <c r="I160" s="640"/>
      <c r="J160" s="640"/>
      <c r="K160" s="640"/>
      <c r="L160" s="641"/>
      <c r="M160" s="639"/>
      <c r="N160" s="338"/>
      <c r="O160" s="338"/>
      <c r="P160" s="338"/>
      <c r="Q160" s="338"/>
      <c r="R160" s="642"/>
      <c r="S160" s="643">
        <f t="shared" si="25"/>
        <v>0</v>
      </c>
      <c r="T160" s="643">
        <f t="shared" si="25"/>
        <v>0</v>
      </c>
      <c r="U160" s="643">
        <f t="shared" si="18"/>
        <v>0</v>
      </c>
      <c r="V160" s="643">
        <f t="shared" si="19"/>
        <v>0</v>
      </c>
      <c r="W160" s="688">
        <f t="shared" si="20"/>
        <v>0</v>
      </c>
      <c r="X160" s="346"/>
      <c r="Y160" s="346"/>
      <c r="Z160" s="469"/>
    </row>
    <row r="161" spans="1:26" s="325" customFormat="1" ht="11.25" customHeight="1" x14ac:dyDescent="0.25">
      <c r="A161" s="328" t="s">
        <v>378</v>
      </c>
      <c r="B161" s="329" t="s">
        <v>462</v>
      </c>
      <c r="C161" s="329" t="s">
        <v>309</v>
      </c>
      <c r="D161" s="329" t="s">
        <v>1360</v>
      </c>
      <c r="E161" s="329" t="s">
        <v>311</v>
      </c>
      <c r="F161" s="330" t="s">
        <v>464</v>
      </c>
      <c r="G161" s="465"/>
      <c r="H161" s="644">
        <v>0</v>
      </c>
      <c r="I161" s="640">
        <v>0</v>
      </c>
      <c r="J161" s="640">
        <v>30</v>
      </c>
      <c r="K161" s="640"/>
      <c r="L161" s="641">
        <v>0</v>
      </c>
      <c r="M161" s="639">
        <v>0</v>
      </c>
      <c r="N161" s="338">
        <v>0</v>
      </c>
      <c r="O161" s="338">
        <v>5</v>
      </c>
      <c r="P161" s="338">
        <v>0</v>
      </c>
      <c r="Q161" s="338">
        <v>0</v>
      </c>
      <c r="R161" s="642" t="s">
        <v>1601</v>
      </c>
      <c r="S161" s="643">
        <f t="shared" si="25"/>
        <v>0</v>
      </c>
      <c r="T161" s="643">
        <f t="shared" si="25"/>
        <v>0</v>
      </c>
      <c r="U161" s="643">
        <f t="shared" si="18"/>
        <v>25</v>
      </c>
      <c r="V161" s="643">
        <f t="shared" si="19"/>
        <v>0</v>
      </c>
      <c r="W161" s="688">
        <f t="shared" si="20"/>
        <v>0</v>
      </c>
      <c r="X161" s="346"/>
      <c r="Y161" s="346"/>
      <c r="Z161" s="469"/>
    </row>
    <row r="162" spans="1:26" s="325" customFormat="1" ht="11.25" customHeight="1" x14ac:dyDescent="0.25">
      <c r="A162" s="328" t="s">
        <v>378</v>
      </c>
      <c r="B162" s="329" t="s">
        <v>424</v>
      </c>
      <c r="C162" s="329" t="s">
        <v>309</v>
      </c>
      <c r="D162" s="329" t="s">
        <v>335</v>
      </c>
      <c r="E162" s="329" t="s">
        <v>334</v>
      </c>
      <c r="F162" s="330" t="s">
        <v>466</v>
      </c>
      <c r="G162" s="463" t="s">
        <v>1307</v>
      </c>
      <c r="H162" s="644">
        <v>10</v>
      </c>
      <c r="I162" s="640">
        <v>10</v>
      </c>
      <c r="J162" s="640">
        <v>10</v>
      </c>
      <c r="K162" s="640"/>
      <c r="L162" s="641"/>
      <c r="M162" s="328"/>
      <c r="N162" s="329"/>
      <c r="O162" s="329"/>
      <c r="P162" s="329"/>
      <c r="Q162" s="338"/>
      <c r="R162" s="642"/>
      <c r="S162" s="643">
        <f t="shared" si="25"/>
        <v>10</v>
      </c>
      <c r="T162" s="643">
        <f t="shared" si="25"/>
        <v>10</v>
      </c>
      <c r="U162" s="643">
        <f t="shared" si="18"/>
        <v>10</v>
      </c>
      <c r="V162" s="643">
        <f t="shared" si="19"/>
        <v>0</v>
      </c>
      <c r="W162" s="688">
        <f t="shared" si="20"/>
        <v>0</v>
      </c>
      <c r="X162" s="346"/>
      <c r="Y162" s="346"/>
      <c r="Z162" s="469" t="s">
        <v>1333</v>
      </c>
    </row>
    <row r="163" spans="1:26" s="325" customFormat="1" ht="11.25" customHeight="1" x14ac:dyDescent="0.25">
      <c r="A163" s="328" t="s">
        <v>378</v>
      </c>
      <c r="B163" s="329" t="s">
        <v>424</v>
      </c>
      <c r="C163" s="329" t="s">
        <v>309</v>
      </c>
      <c r="D163" s="329" t="s">
        <v>319</v>
      </c>
      <c r="E163" s="329" t="s">
        <v>318</v>
      </c>
      <c r="F163" s="330" t="s">
        <v>464</v>
      </c>
      <c r="G163" s="467"/>
      <c r="H163" s="644"/>
      <c r="I163" s="640"/>
      <c r="J163" s="640">
        <v>6</v>
      </c>
      <c r="K163" s="640">
        <v>20</v>
      </c>
      <c r="L163" s="641"/>
      <c r="M163" s="328"/>
      <c r="N163" s="329"/>
      <c r="O163" s="329"/>
      <c r="P163" s="329">
        <v>20</v>
      </c>
      <c r="Q163" s="338"/>
      <c r="R163" s="642"/>
      <c r="S163" s="643">
        <f t="shared" si="25"/>
        <v>0</v>
      </c>
      <c r="T163" s="643">
        <f t="shared" si="25"/>
        <v>0</v>
      </c>
      <c r="U163" s="643">
        <f t="shared" ref="U163:U180" si="31">J163-O163</f>
        <v>6</v>
      </c>
      <c r="V163" s="643">
        <f t="shared" ref="V163:V180" si="32">K163-P163</f>
        <v>0</v>
      </c>
      <c r="W163" s="688">
        <f t="shared" ref="W163:W180" si="33">L163-Q163</f>
        <v>0</v>
      </c>
      <c r="X163" s="346"/>
      <c r="Y163" s="346"/>
      <c r="Z163" s="469"/>
    </row>
    <row r="164" spans="1:26" s="325" customFormat="1" ht="11.25" customHeight="1" x14ac:dyDescent="0.25">
      <c r="A164" s="328" t="s">
        <v>378</v>
      </c>
      <c r="B164" s="329" t="s">
        <v>1308</v>
      </c>
      <c r="C164" s="329" t="s">
        <v>309</v>
      </c>
      <c r="D164" s="329" t="s">
        <v>1361</v>
      </c>
      <c r="E164" s="329" t="s">
        <v>320</v>
      </c>
      <c r="F164" s="330" t="s">
        <v>466</v>
      </c>
      <c r="G164" s="463" t="s">
        <v>1307</v>
      </c>
      <c r="H164" s="644">
        <v>279</v>
      </c>
      <c r="I164" s="640">
        <v>279</v>
      </c>
      <c r="J164" s="640"/>
      <c r="K164" s="640"/>
      <c r="L164" s="641"/>
      <c r="M164" s="639">
        <v>30</v>
      </c>
      <c r="N164" s="338">
        <v>30</v>
      </c>
      <c r="O164" s="338"/>
      <c r="P164" s="338"/>
      <c r="Q164" s="338"/>
      <c r="R164" s="642" t="s">
        <v>1643</v>
      </c>
      <c r="S164" s="643">
        <f t="shared" si="25"/>
        <v>249</v>
      </c>
      <c r="T164" s="643">
        <f t="shared" si="25"/>
        <v>249</v>
      </c>
      <c r="U164" s="643">
        <f t="shared" si="31"/>
        <v>0</v>
      </c>
      <c r="V164" s="643">
        <f t="shared" si="32"/>
        <v>0</v>
      </c>
      <c r="W164" s="688">
        <f t="shared" si="33"/>
        <v>0</v>
      </c>
      <c r="X164" s="346"/>
      <c r="Y164" s="346"/>
      <c r="Z164" s="469"/>
    </row>
    <row r="165" spans="1:26" s="325" customFormat="1" ht="11.25" customHeight="1" x14ac:dyDescent="0.25">
      <c r="A165" s="328" t="s">
        <v>378</v>
      </c>
      <c r="B165" s="329" t="s">
        <v>462</v>
      </c>
      <c r="C165" s="329" t="s">
        <v>309</v>
      </c>
      <c r="D165" s="329" t="s">
        <v>327</v>
      </c>
      <c r="E165" s="329" t="s">
        <v>326</v>
      </c>
      <c r="F165" s="330" t="s">
        <v>464</v>
      </c>
      <c r="G165" s="467"/>
      <c r="H165" s="644">
        <v>0</v>
      </c>
      <c r="I165" s="640">
        <v>0</v>
      </c>
      <c r="J165" s="640">
        <v>0</v>
      </c>
      <c r="K165" s="640">
        <v>40</v>
      </c>
      <c r="L165" s="641">
        <v>0</v>
      </c>
      <c r="M165" s="639">
        <v>0</v>
      </c>
      <c r="N165" s="338">
        <v>0</v>
      </c>
      <c r="O165" s="338">
        <v>0</v>
      </c>
      <c r="P165" s="338">
        <v>25</v>
      </c>
      <c r="Q165" s="338">
        <v>0</v>
      </c>
      <c r="R165" s="642" t="s">
        <v>1601</v>
      </c>
      <c r="S165" s="643">
        <f t="shared" si="25"/>
        <v>0</v>
      </c>
      <c r="T165" s="643">
        <f t="shared" si="25"/>
        <v>0</v>
      </c>
      <c r="U165" s="643">
        <f t="shared" si="31"/>
        <v>0</v>
      </c>
      <c r="V165" s="643">
        <f t="shared" si="32"/>
        <v>15</v>
      </c>
      <c r="W165" s="688">
        <f t="shared" si="33"/>
        <v>0</v>
      </c>
      <c r="X165" s="346"/>
      <c r="Y165" s="346"/>
      <c r="Z165" s="469"/>
    </row>
    <row r="166" spans="1:26" s="325" customFormat="1" ht="11.25" customHeight="1" x14ac:dyDescent="0.25">
      <c r="A166" s="328" t="s">
        <v>378</v>
      </c>
      <c r="B166" s="329" t="s">
        <v>1308</v>
      </c>
      <c r="C166" s="329" t="s">
        <v>309</v>
      </c>
      <c r="D166" s="329" t="s">
        <v>1362</v>
      </c>
      <c r="E166" s="329" t="s">
        <v>328</v>
      </c>
      <c r="F166" s="330" t="s">
        <v>464</v>
      </c>
      <c r="G166" s="463" t="s">
        <v>1307</v>
      </c>
      <c r="H166" s="644">
        <v>59</v>
      </c>
      <c r="I166" s="640">
        <v>59</v>
      </c>
      <c r="J166" s="640"/>
      <c r="K166" s="640"/>
      <c r="L166" s="641">
        <v>1</v>
      </c>
      <c r="M166" s="639">
        <v>50</v>
      </c>
      <c r="N166" s="338">
        <v>50</v>
      </c>
      <c r="O166" s="338"/>
      <c r="P166" s="338"/>
      <c r="Q166" s="338"/>
      <c r="R166" s="642" t="s">
        <v>1769</v>
      </c>
      <c r="S166" s="643">
        <f t="shared" si="25"/>
        <v>9</v>
      </c>
      <c r="T166" s="643">
        <f t="shared" si="25"/>
        <v>9</v>
      </c>
      <c r="U166" s="643">
        <f t="shared" si="31"/>
        <v>0</v>
      </c>
      <c r="V166" s="643">
        <f t="shared" si="32"/>
        <v>0</v>
      </c>
      <c r="W166" s="688">
        <f t="shared" si="33"/>
        <v>1</v>
      </c>
      <c r="X166" s="346"/>
      <c r="Y166" s="346"/>
      <c r="Z166" s="469" t="s">
        <v>1730</v>
      </c>
    </row>
    <row r="167" spans="1:26" s="325" customFormat="1" ht="11.25" customHeight="1" x14ac:dyDescent="0.25">
      <c r="A167" s="328" t="s">
        <v>378</v>
      </c>
      <c r="B167" s="329" t="s">
        <v>424</v>
      </c>
      <c r="C167" s="329" t="s">
        <v>309</v>
      </c>
      <c r="D167" s="329" t="s">
        <v>323</v>
      </c>
      <c r="E167" s="329" t="s">
        <v>322</v>
      </c>
      <c r="F167" s="330" t="s">
        <v>464</v>
      </c>
      <c r="G167" s="467" t="s">
        <v>1307</v>
      </c>
      <c r="H167" s="644">
        <v>50</v>
      </c>
      <c r="I167" s="640">
        <v>50</v>
      </c>
      <c r="J167" s="640">
        <v>20</v>
      </c>
      <c r="K167" s="640">
        <v>30</v>
      </c>
      <c r="L167" s="641"/>
      <c r="M167" s="328">
        <v>30</v>
      </c>
      <c r="N167" s="329">
        <v>90</v>
      </c>
      <c r="O167" s="329"/>
      <c r="P167" s="329"/>
      <c r="Q167" s="338"/>
      <c r="R167" s="642" t="s">
        <v>1724</v>
      </c>
      <c r="S167" s="643">
        <f t="shared" si="25"/>
        <v>20</v>
      </c>
      <c r="T167" s="643">
        <f t="shared" si="25"/>
        <v>-40</v>
      </c>
      <c r="U167" s="643">
        <f t="shared" si="31"/>
        <v>20</v>
      </c>
      <c r="V167" s="643">
        <f t="shared" si="32"/>
        <v>30</v>
      </c>
      <c r="W167" s="688">
        <f t="shared" si="33"/>
        <v>0</v>
      </c>
      <c r="X167" s="346"/>
      <c r="Y167" s="346"/>
      <c r="Z167" s="469"/>
    </row>
    <row r="168" spans="1:26" s="325" customFormat="1" ht="11.25" customHeight="1" x14ac:dyDescent="0.25">
      <c r="A168" s="328" t="s">
        <v>378</v>
      </c>
      <c r="B168" s="329" t="s">
        <v>424</v>
      </c>
      <c r="C168" s="329" t="s">
        <v>309</v>
      </c>
      <c r="D168" s="329" t="s">
        <v>325</v>
      </c>
      <c r="E168" s="329" t="s">
        <v>324</v>
      </c>
      <c r="F168" s="330" t="s">
        <v>464</v>
      </c>
      <c r="G168" s="463" t="s">
        <v>1307</v>
      </c>
      <c r="H168" s="644"/>
      <c r="I168" s="640"/>
      <c r="J168" s="640"/>
      <c r="K168" s="640">
        <v>20</v>
      </c>
      <c r="L168" s="641"/>
      <c r="M168" s="328"/>
      <c r="N168" s="329"/>
      <c r="O168" s="329"/>
      <c r="P168" s="329"/>
      <c r="Q168" s="338"/>
      <c r="R168" s="642"/>
      <c r="S168" s="643">
        <f t="shared" si="25"/>
        <v>0</v>
      </c>
      <c r="T168" s="643">
        <f t="shared" si="25"/>
        <v>0</v>
      </c>
      <c r="U168" s="643">
        <f t="shared" si="31"/>
        <v>0</v>
      </c>
      <c r="V168" s="643">
        <f t="shared" si="32"/>
        <v>20</v>
      </c>
      <c r="W168" s="688">
        <f t="shared" si="33"/>
        <v>0</v>
      </c>
      <c r="X168" s="346"/>
      <c r="Y168" s="346"/>
      <c r="Z168" s="469" t="s">
        <v>1333</v>
      </c>
    </row>
    <row r="169" spans="1:26" s="325" customFormat="1" ht="11.25" customHeight="1" x14ac:dyDescent="0.25">
      <c r="A169" s="328" t="s">
        <v>378</v>
      </c>
      <c r="B169" s="329" t="s">
        <v>462</v>
      </c>
      <c r="C169" s="329" t="s">
        <v>309</v>
      </c>
      <c r="D169" s="329" t="s">
        <v>342</v>
      </c>
      <c r="E169" s="329" t="s">
        <v>341</v>
      </c>
      <c r="F169" s="330" t="s">
        <v>464</v>
      </c>
      <c r="G169" s="467"/>
      <c r="H169" s="644">
        <v>5</v>
      </c>
      <c r="I169" s="640">
        <v>5</v>
      </c>
      <c r="J169" s="640">
        <v>1</v>
      </c>
      <c r="K169" s="742">
        <v>5</v>
      </c>
      <c r="L169" s="641">
        <v>0</v>
      </c>
      <c r="M169" s="639">
        <v>0</v>
      </c>
      <c r="N169" s="338">
        <v>0</v>
      </c>
      <c r="O169" s="338">
        <v>0</v>
      </c>
      <c r="P169" s="329">
        <v>6</v>
      </c>
      <c r="Q169" s="338">
        <v>0</v>
      </c>
      <c r="R169" s="642" t="s">
        <v>1601</v>
      </c>
      <c r="S169" s="643">
        <f t="shared" si="25"/>
        <v>5</v>
      </c>
      <c r="T169" s="643">
        <f t="shared" si="25"/>
        <v>5</v>
      </c>
      <c r="U169" s="643">
        <f t="shared" si="31"/>
        <v>1</v>
      </c>
      <c r="V169" s="643">
        <f t="shared" si="32"/>
        <v>-1</v>
      </c>
      <c r="W169" s="688">
        <f t="shared" si="33"/>
        <v>0</v>
      </c>
      <c r="X169" s="346"/>
      <c r="Y169" s="346"/>
      <c r="Z169" s="469"/>
    </row>
    <row r="170" spans="1:26" s="325" customFormat="1" ht="11.25" customHeight="1" x14ac:dyDescent="0.25">
      <c r="A170" s="328" t="s">
        <v>378</v>
      </c>
      <c r="B170" s="329" t="s">
        <v>424</v>
      </c>
      <c r="C170" s="329" t="s">
        <v>309</v>
      </c>
      <c r="D170" s="329" t="s">
        <v>1030</v>
      </c>
      <c r="E170" s="329" t="s">
        <v>343</v>
      </c>
      <c r="F170" s="330" t="s">
        <v>466</v>
      </c>
      <c r="G170" s="463" t="s">
        <v>1460</v>
      </c>
      <c r="H170" s="644">
        <v>46</v>
      </c>
      <c r="I170" s="640">
        <v>46</v>
      </c>
      <c r="J170" s="640"/>
      <c r="K170" s="640">
        <v>10</v>
      </c>
      <c r="L170" s="641"/>
      <c r="M170" s="328"/>
      <c r="N170" s="329"/>
      <c r="O170" s="329"/>
      <c r="P170" s="329"/>
      <c r="Q170" s="338"/>
      <c r="R170" s="642"/>
      <c r="S170" s="643">
        <f t="shared" si="25"/>
        <v>46</v>
      </c>
      <c r="T170" s="643">
        <f t="shared" si="25"/>
        <v>46</v>
      </c>
      <c r="U170" s="643">
        <f t="shared" si="31"/>
        <v>0</v>
      </c>
      <c r="V170" s="643">
        <f t="shared" si="32"/>
        <v>10</v>
      </c>
      <c r="W170" s="688">
        <f t="shared" si="33"/>
        <v>0</v>
      </c>
      <c r="X170" s="346"/>
      <c r="Y170" s="346"/>
      <c r="Z170" s="469" t="s">
        <v>1333</v>
      </c>
    </row>
    <row r="171" spans="1:26" s="325" customFormat="1" ht="11.25" customHeight="1" x14ac:dyDescent="0.25">
      <c r="A171" s="328" t="s">
        <v>378</v>
      </c>
      <c r="B171" s="329" t="s">
        <v>1308</v>
      </c>
      <c r="C171" s="329" t="s">
        <v>309</v>
      </c>
      <c r="D171" s="329" t="s">
        <v>1363</v>
      </c>
      <c r="E171" s="329" t="s">
        <v>352</v>
      </c>
      <c r="F171" s="343" t="s">
        <v>466</v>
      </c>
      <c r="G171" s="465"/>
      <c r="H171" s="644"/>
      <c r="I171" s="640"/>
      <c r="J171" s="640"/>
      <c r="K171" s="640"/>
      <c r="L171" s="641"/>
      <c r="M171" s="639"/>
      <c r="N171" s="338"/>
      <c r="O171" s="338"/>
      <c r="P171" s="338"/>
      <c r="Q171" s="338"/>
      <c r="R171" s="642"/>
      <c r="S171" s="643">
        <f t="shared" si="25"/>
        <v>0</v>
      </c>
      <c r="T171" s="643">
        <f t="shared" si="25"/>
        <v>0</v>
      </c>
      <c r="U171" s="643">
        <f t="shared" si="31"/>
        <v>0</v>
      </c>
      <c r="V171" s="643">
        <f t="shared" si="32"/>
        <v>0</v>
      </c>
      <c r="W171" s="688">
        <f t="shared" si="33"/>
        <v>0</v>
      </c>
      <c r="X171" s="346"/>
      <c r="Y171" s="346"/>
      <c r="Z171" s="469"/>
    </row>
    <row r="172" spans="1:26" s="325" customFormat="1" ht="11.25" customHeight="1" x14ac:dyDescent="0.25">
      <c r="A172" s="328" t="s">
        <v>378</v>
      </c>
      <c r="B172" s="329" t="s">
        <v>462</v>
      </c>
      <c r="C172" s="329" t="s">
        <v>309</v>
      </c>
      <c r="D172" s="329" t="s">
        <v>1364</v>
      </c>
      <c r="E172" s="329" t="s">
        <v>316</v>
      </c>
      <c r="F172" s="330" t="s">
        <v>464</v>
      </c>
      <c r="G172" s="463" t="s">
        <v>1307</v>
      </c>
      <c r="H172" s="644">
        <v>10</v>
      </c>
      <c r="I172" s="640">
        <v>10</v>
      </c>
      <c r="J172" s="640">
        <v>10</v>
      </c>
      <c r="K172" s="640">
        <v>45</v>
      </c>
      <c r="L172" s="641">
        <v>1</v>
      </c>
      <c r="M172" s="328">
        <v>5</v>
      </c>
      <c r="N172" s="329">
        <v>5</v>
      </c>
      <c r="O172" s="741">
        <v>0</v>
      </c>
      <c r="P172" s="329">
        <v>26</v>
      </c>
      <c r="Q172" s="338">
        <v>1</v>
      </c>
      <c r="R172" s="642" t="s">
        <v>1771</v>
      </c>
      <c r="S172" s="643">
        <f t="shared" si="25"/>
        <v>5</v>
      </c>
      <c r="T172" s="643">
        <f t="shared" si="25"/>
        <v>5</v>
      </c>
      <c r="U172" s="643">
        <f t="shared" si="31"/>
        <v>10</v>
      </c>
      <c r="V172" s="643">
        <f t="shared" si="32"/>
        <v>19</v>
      </c>
      <c r="W172" s="688">
        <f t="shared" si="33"/>
        <v>0</v>
      </c>
      <c r="X172" s="346"/>
      <c r="Y172" s="346"/>
      <c r="Z172" s="469"/>
    </row>
    <row r="173" spans="1:26" s="325" customFormat="1" ht="11.25" customHeight="1" x14ac:dyDescent="0.25">
      <c r="A173" s="328" t="s">
        <v>378</v>
      </c>
      <c r="B173" s="329" t="s">
        <v>424</v>
      </c>
      <c r="C173" s="329" t="s">
        <v>309</v>
      </c>
      <c r="D173" s="329" t="s">
        <v>1365</v>
      </c>
      <c r="E173" s="329" t="s">
        <v>339</v>
      </c>
      <c r="F173" s="330" t="s">
        <v>464</v>
      </c>
      <c r="G173" s="465" t="s">
        <v>1460</v>
      </c>
      <c r="H173" s="644">
        <v>20</v>
      </c>
      <c r="I173" s="640">
        <v>20</v>
      </c>
      <c r="J173" s="640"/>
      <c r="K173" s="640">
        <v>20</v>
      </c>
      <c r="L173" s="641"/>
      <c r="M173" s="328"/>
      <c r="N173" s="329"/>
      <c r="O173" s="329"/>
      <c r="P173" s="329">
        <v>20</v>
      </c>
      <c r="Q173" s="338"/>
      <c r="R173" s="642" t="s">
        <v>1602</v>
      </c>
      <c r="S173" s="643">
        <f t="shared" si="25"/>
        <v>20</v>
      </c>
      <c r="T173" s="643">
        <f t="shared" si="25"/>
        <v>20</v>
      </c>
      <c r="U173" s="643">
        <f t="shared" si="31"/>
        <v>0</v>
      </c>
      <c r="V173" s="643">
        <f t="shared" si="32"/>
        <v>0</v>
      </c>
      <c r="W173" s="688">
        <f t="shared" si="33"/>
        <v>0</v>
      </c>
      <c r="X173" s="346"/>
      <c r="Y173" s="346"/>
      <c r="Z173" s="469"/>
    </row>
    <row r="174" spans="1:26" s="325" customFormat="1" ht="11.25" customHeight="1" x14ac:dyDescent="0.25">
      <c r="A174" s="328" t="s">
        <v>378</v>
      </c>
      <c r="B174" s="329" t="s">
        <v>462</v>
      </c>
      <c r="C174" s="329" t="s">
        <v>309</v>
      </c>
      <c r="D174" s="329" t="s">
        <v>1366</v>
      </c>
      <c r="E174" s="329" t="s">
        <v>336</v>
      </c>
      <c r="F174" s="330" t="s">
        <v>464</v>
      </c>
      <c r="G174" s="463"/>
      <c r="H174" s="644"/>
      <c r="I174" s="640"/>
      <c r="J174" s="640"/>
      <c r="K174" s="640">
        <v>10</v>
      </c>
      <c r="L174" s="641">
        <v>0</v>
      </c>
      <c r="M174" s="639">
        <v>0</v>
      </c>
      <c r="N174" s="338">
        <v>0</v>
      </c>
      <c r="O174" s="338"/>
      <c r="P174" s="329">
        <v>10</v>
      </c>
      <c r="Q174" s="338">
        <v>0</v>
      </c>
      <c r="R174" s="642" t="s">
        <v>1601</v>
      </c>
      <c r="S174" s="643">
        <f t="shared" si="25"/>
        <v>0</v>
      </c>
      <c r="T174" s="643">
        <f t="shared" si="25"/>
        <v>0</v>
      </c>
      <c r="U174" s="643">
        <f t="shared" si="31"/>
        <v>0</v>
      </c>
      <c r="V174" s="643">
        <f t="shared" si="32"/>
        <v>0</v>
      </c>
      <c r="W174" s="688">
        <f t="shared" si="33"/>
        <v>0</v>
      </c>
      <c r="X174" s="346"/>
      <c r="Y174" s="346"/>
      <c r="Z174" s="469"/>
    </row>
    <row r="175" spans="1:26" s="325" customFormat="1" ht="11.25" customHeight="1" x14ac:dyDescent="0.25">
      <c r="A175" s="328" t="s">
        <v>378</v>
      </c>
      <c r="B175" s="329" t="s">
        <v>424</v>
      </c>
      <c r="C175" s="329" t="s">
        <v>309</v>
      </c>
      <c r="D175" s="329" t="s">
        <v>345</v>
      </c>
      <c r="E175" s="329" t="s">
        <v>344</v>
      </c>
      <c r="F175" s="330" t="s">
        <v>464</v>
      </c>
      <c r="G175" s="463" t="s">
        <v>1460</v>
      </c>
      <c r="H175" s="644">
        <v>20</v>
      </c>
      <c r="I175" s="640">
        <v>20</v>
      </c>
      <c r="J175" s="640"/>
      <c r="K175" s="640">
        <v>80</v>
      </c>
      <c r="L175" s="641">
        <v>0</v>
      </c>
      <c r="M175" s="328"/>
      <c r="N175" s="329"/>
      <c r="O175" s="329"/>
      <c r="P175" s="329"/>
      <c r="Q175" s="338"/>
      <c r="R175" s="642"/>
      <c r="S175" s="643">
        <f t="shared" si="25"/>
        <v>20</v>
      </c>
      <c r="T175" s="643">
        <f t="shared" si="25"/>
        <v>20</v>
      </c>
      <c r="U175" s="643">
        <f t="shared" si="31"/>
        <v>0</v>
      </c>
      <c r="V175" s="643">
        <f t="shared" si="32"/>
        <v>80</v>
      </c>
      <c r="W175" s="688">
        <f t="shared" si="33"/>
        <v>0</v>
      </c>
      <c r="X175" s="346"/>
      <c r="Y175" s="346"/>
      <c r="Z175" s="469" t="s">
        <v>1333</v>
      </c>
    </row>
    <row r="176" spans="1:26" s="325" customFormat="1" ht="11.25" customHeight="1" x14ac:dyDescent="0.25">
      <c r="A176" s="328" t="s">
        <v>378</v>
      </c>
      <c r="B176" s="329" t="s">
        <v>462</v>
      </c>
      <c r="C176" s="329" t="s">
        <v>309</v>
      </c>
      <c r="D176" s="329" t="s">
        <v>347</v>
      </c>
      <c r="E176" s="329" t="s">
        <v>346</v>
      </c>
      <c r="F176" s="330" t="s">
        <v>464</v>
      </c>
      <c r="G176" s="467"/>
      <c r="H176" s="644">
        <v>0</v>
      </c>
      <c r="I176" s="640">
        <v>10</v>
      </c>
      <c r="J176" s="640"/>
      <c r="K176" s="640">
        <v>15</v>
      </c>
      <c r="L176" s="641">
        <v>1</v>
      </c>
      <c r="M176" s="639">
        <v>0</v>
      </c>
      <c r="N176" s="338"/>
      <c r="O176" s="338"/>
      <c r="P176" s="338">
        <v>10</v>
      </c>
      <c r="Q176" s="338">
        <v>0</v>
      </c>
      <c r="R176" s="642" t="s">
        <v>1601</v>
      </c>
      <c r="S176" s="643">
        <f t="shared" si="25"/>
        <v>0</v>
      </c>
      <c r="T176" s="643">
        <f t="shared" si="25"/>
        <v>10</v>
      </c>
      <c r="U176" s="643">
        <f t="shared" si="31"/>
        <v>0</v>
      </c>
      <c r="V176" s="643">
        <f t="shared" si="32"/>
        <v>5</v>
      </c>
      <c r="W176" s="688">
        <f t="shared" si="33"/>
        <v>1</v>
      </c>
      <c r="X176" s="346"/>
      <c r="Y176" s="346"/>
      <c r="Z176" s="469"/>
    </row>
    <row r="177" spans="1:26" s="325" customFormat="1" ht="11.25" customHeight="1" x14ac:dyDescent="0.25">
      <c r="A177" s="328" t="s">
        <v>378</v>
      </c>
      <c r="B177" s="329" t="s">
        <v>462</v>
      </c>
      <c r="C177" s="329" t="s">
        <v>309</v>
      </c>
      <c r="D177" s="338" t="s">
        <v>1367</v>
      </c>
      <c r="E177" s="329" t="s">
        <v>314</v>
      </c>
      <c r="F177" s="330" t="s">
        <v>464</v>
      </c>
      <c r="G177" s="463"/>
      <c r="H177" s="644">
        <v>0</v>
      </c>
      <c r="I177" s="640">
        <v>0</v>
      </c>
      <c r="J177" s="640">
        <v>0</v>
      </c>
      <c r="K177" s="640">
        <v>20</v>
      </c>
      <c r="L177" s="641">
        <v>1</v>
      </c>
      <c r="M177" s="639">
        <v>0</v>
      </c>
      <c r="N177" s="338">
        <v>0</v>
      </c>
      <c r="O177" s="338">
        <v>0</v>
      </c>
      <c r="P177" s="329">
        <v>15</v>
      </c>
      <c r="Q177" s="338">
        <v>0</v>
      </c>
      <c r="R177" s="642" t="s">
        <v>1601</v>
      </c>
      <c r="S177" s="643">
        <f t="shared" si="25"/>
        <v>0</v>
      </c>
      <c r="T177" s="643">
        <f t="shared" si="25"/>
        <v>0</v>
      </c>
      <c r="U177" s="643">
        <f t="shared" si="31"/>
        <v>0</v>
      </c>
      <c r="V177" s="643">
        <f t="shared" si="32"/>
        <v>5</v>
      </c>
      <c r="W177" s="688">
        <f t="shared" si="33"/>
        <v>1</v>
      </c>
      <c r="X177" s="346"/>
      <c r="Y177" s="346"/>
      <c r="Z177" s="469"/>
    </row>
    <row r="178" spans="1:26" s="325" customFormat="1" ht="11.25" customHeight="1" x14ac:dyDescent="0.25">
      <c r="A178" s="328" t="s">
        <v>378</v>
      </c>
      <c r="B178" s="329" t="s">
        <v>424</v>
      </c>
      <c r="C178" s="329" t="s">
        <v>309</v>
      </c>
      <c r="D178" s="338" t="s">
        <v>1266</v>
      </c>
      <c r="E178" s="329" t="s">
        <v>1264</v>
      </c>
      <c r="F178" s="330" t="s">
        <v>466</v>
      </c>
      <c r="G178" s="463" t="s">
        <v>1307</v>
      </c>
      <c r="H178" s="644">
        <v>15</v>
      </c>
      <c r="I178" s="640">
        <v>15</v>
      </c>
      <c r="J178" s="640"/>
      <c r="K178" s="640"/>
      <c r="L178" s="641">
        <v>2</v>
      </c>
      <c r="M178" s="328">
        <v>0</v>
      </c>
      <c r="N178" s="329">
        <v>0</v>
      </c>
      <c r="O178" s="329">
        <v>0</v>
      </c>
      <c r="P178" s="329"/>
      <c r="Q178" s="338">
        <v>2</v>
      </c>
      <c r="R178" s="642" t="s">
        <v>1616</v>
      </c>
      <c r="S178" s="643">
        <f t="shared" si="25"/>
        <v>15</v>
      </c>
      <c r="T178" s="643">
        <f t="shared" si="25"/>
        <v>15</v>
      </c>
      <c r="U178" s="643">
        <f t="shared" si="31"/>
        <v>0</v>
      </c>
      <c r="V178" s="643">
        <f t="shared" si="32"/>
        <v>0</v>
      </c>
      <c r="W178" s="688">
        <f t="shared" si="33"/>
        <v>0</v>
      </c>
      <c r="X178" s="346"/>
      <c r="Y178" s="346"/>
      <c r="Z178" s="469" t="s">
        <v>1333</v>
      </c>
    </row>
    <row r="179" spans="1:26" s="325" customFormat="1" ht="11.25" customHeight="1" x14ac:dyDescent="0.25">
      <c r="A179" s="328" t="s">
        <v>378</v>
      </c>
      <c r="B179" s="329" t="s">
        <v>424</v>
      </c>
      <c r="C179" s="329" t="s">
        <v>309</v>
      </c>
      <c r="D179" s="338" t="s">
        <v>1750</v>
      </c>
      <c r="E179" s="329" t="s">
        <v>1698</v>
      </c>
      <c r="F179" s="330" t="s">
        <v>464</v>
      </c>
      <c r="G179" s="463"/>
      <c r="H179" s="644">
        <v>79</v>
      </c>
      <c r="I179" s="640">
        <v>79</v>
      </c>
      <c r="J179" s="640"/>
      <c r="K179" s="640"/>
      <c r="L179" s="641">
        <v>2</v>
      </c>
      <c r="M179" s="328">
        <v>30</v>
      </c>
      <c r="N179" s="329">
        <v>30</v>
      </c>
      <c r="O179" s="329"/>
      <c r="P179" s="329"/>
      <c r="Q179" s="338"/>
      <c r="R179" s="642" t="s">
        <v>1261</v>
      </c>
      <c r="S179" s="643">
        <f t="shared" si="25"/>
        <v>49</v>
      </c>
      <c r="T179" s="643">
        <f t="shared" si="25"/>
        <v>49</v>
      </c>
      <c r="U179" s="643"/>
      <c r="V179" s="643"/>
      <c r="W179" s="688"/>
      <c r="X179" s="346">
        <v>40</v>
      </c>
      <c r="Y179" s="346"/>
      <c r="Z179" s="469"/>
    </row>
    <row r="180" spans="1:26" s="325" customFormat="1" ht="11.25" customHeight="1" x14ac:dyDescent="0.25">
      <c r="A180" s="328" t="s">
        <v>378</v>
      </c>
      <c r="B180" s="329" t="s">
        <v>1308</v>
      </c>
      <c r="C180" s="329" t="s">
        <v>309</v>
      </c>
      <c r="D180" s="329" t="s">
        <v>1368</v>
      </c>
      <c r="E180" s="329" t="s">
        <v>350</v>
      </c>
      <c r="F180" s="343" t="s">
        <v>466</v>
      </c>
      <c r="G180" s="465"/>
      <c r="H180" s="644">
        <v>700</v>
      </c>
      <c r="I180" s="640">
        <v>700</v>
      </c>
      <c r="J180" s="640">
        <v>1</v>
      </c>
      <c r="K180" s="640"/>
      <c r="L180" s="641"/>
      <c r="M180" s="639">
        <v>48</v>
      </c>
      <c r="N180" s="338">
        <v>48</v>
      </c>
      <c r="O180" s="338">
        <v>40</v>
      </c>
      <c r="P180" s="338"/>
      <c r="Q180" s="338"/>
      <c r="R180" s="642" t="s">
        <v>1650</v>
      </c>
      <c r="S180" s="643">
        <f t="shared" si="25"/>
        <v>652</v>
      </c>
      <c r="T180" s="643">
        <f t="shared" si="25"/>
        <v>652</v>
      </c>
      <c r="U180" s="643">
        <f t="shared" si="31"/>
        <v>-39</v>
      </c>
      <c r="V180" s="643">
        <f t="shared" si="32"/>
        <v>0</v>
      </c>
      <c r="W180" s="688">
        <f t="shared" si="33"/>
        <v>0</v>
      </c>
      <c r="X180" s="346"/>
      <c r="Y180" s="346"/>
      <c r="Z180" s="469"/>
    </row>
    <row r="181" spans="1:26" s="325" customFormat="1" ht="11.25" customHeight="1" x14ac:dyDescent="0.25">
      <c r="A181" s="331" t="s">
        <v>3</v>
      </c>
      <c r="B181" s="332"/>
      <c r="C181" s="332"/>
      <c r="D181" s="333"/>
      <c r="E181" s="334"/>
      <c r="F181" s="335"/>
      <c r="G181" s="472"/>
      <c r="H181" s="336">
        <f t="shared" ref="H181:Y181" si="34">SUM(H160:H180)</f>
        <v>1293</v>
      </c>
      <c r="I181" s="334">
        <f t="shared" si="34"/>
        <v>1303</v>
      </c>
      <c r="J181" s="334">
        <f t="shared" si="34"/>
        <v>78</v>
      </c>
      <c r="K181" s="334">
        <f t="shared" si="34"/>
        <v>315</v>
      </c>
      <c r="L181" s="334">
        <f t="shared" si="34"/>
        <v>8</v>
      </c>
      <c r="M181" s="334">
        <f t="shared" si="34"/>
        <v>193</v>
      </c>
      <c r="N181" s="334">
        <f t="shared" si="34"/>
        <v>253</v>
      </c>
      <c r="O181" s="334">
        <f t="shared" si="34"/>
        <v>45</v>
      </c>
      <c r="P181" s="334">
        <f t="shared" si="34"/>
        <v>132</v>
      </c>
      <c r="Q181" s="334">
        <f t="shared" si="34"/>
        <v>3</v>
      </c>
      <c r="R181" s="334">
        <f t="shared" si="34"/>
        <v>0</v>
      </c>
      <c r="S181" s="334">
        <f t="shared" si="34"/>
        <v>1100</v>
      </c>
      <c r="T181" s="334">
        <f t="shared" si="34"/>
        <v>1050</v>
      </c>
      <c r="U181" s="334">
        <f t="shared" si="34"/>
        <v>33</v>
      </c>
      <c r="V181" s="334">
        <f t="shared" si="34"/>
        <v>183</v>
      </c>
      <c r="W181" s="334">
        <f t="shared" si="34"/>
        <v>3</v>
      </c>
      <c r="X181" s="334">
        <f t="shared" si="34"/>
        <v>40</v>
      </c>
      <c r="Y181" s="334">
        <f t="shared" si="34"/>
        <v>0</v>
      </c>
      <c r="Z181" s="327"/>
    </row>
    <row r="182" spans="1:26" s="325" customFormat="1" ht="11.25" customHeight="1" thickBot="1" x14ac:dyDescent="0.3">
      <c r="A182" s="348"/>
      <c r="B182" s="349"/>
      <c r="C182" s="349" t="s">
        <v>1369</v>
      </c>
      <c r="D182" s="349"/>
      <c r="E182" s="349"/>
      <c r="F182" s="350"/>
      <c r="G182" s="473"/>
      <c r="H182" s="652">
        <f t="shared" ref="H182:R182" si="35">H14+H20+H44+H46+H48+H63+H73+H77+H86+H89+H102+H106+H134+H141+H146+H149+H152+H155+H181</f>
        <v>5349</v>
      </c>
      <c r="I182" s="653">
        <f t="shared" si="35"/>
        <v>5436</v>
      </c>
      <c r="J182" s="653">
        <f t="shared" si="35"/>
        <v>1579</v>
      </c>
      <c r="K182" s="653">
        <f t="shared" si="35"/>
        <v>1748</v>
      </c>
      <c r="L182" s="653">
        <f t="shared" si="35"/>
        <v>26</v>
      </c>
      <c r="M182" s="653">
        <f t="shared" si="35"/>
        <v>1650</v>
      </c>
      <c r="N182" s="653">
        <f t="shared" si="35"/>
        <v>1640</v>
      </c>
      <c r="O182" s="653">
        <f t="shared" si="35"/>
        <v>1075</v>
      </c>
      <c r="P182" s="653">
        <f t="shared" si="35"/>
        <v>937</v>
      </c>
      <c r="Q182" s="653">
        <f t="shared" si="35"/>
        <v>6</v>
      </c>
      <c r="R182" s="653">
        <f t="shared" si="35"/>
        <v>0</v>
      </c>
      <c r="S182" s="653">
        <f>H182-M182</f>
        <v>3699</v>
      </c>
      <c r="T182" s="653">
        <f t="shared" ref="T182:Y182" si="36">T14+T20+T44+T46+T48+T63+T73+T77+T86+T89+T102+T106+T134+T141+T146+T149+T152+T155+T181</f>
        <v>3410</v>
      </c>
      <c r="U182" s="653">
        <f t="shared" si="36"/>
        <v>504</v>
      </c>
      <c r="V182" s="653">
        <f t="shared" si="36"/>
        <v>811</v>
      </c>
      <c r="W182" s="653">
        <f t="shared" si="36"/>
        <v>16</v>
      </c>
      <c r="X182" s="653">
        <f t="shared" si="36"/>
        <v>698</v>
      </c>
      <c r="Y182" s="653">
        <f t="shared" si="36"/>
        <v>599</v>
      </c>
      <c r="Z182" s="351"/>
    </row>
  </sheetData>
  <autoFilter ref="A4:Z182"/>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5:Y13 H182:Y1048576 H156:R158 U156:Y158">
    <cfRule type="cellIs" dxfId="36" priority="5" operator="greaterThan">
      <formula>0</formula>
    </cfRule>
  </conditionalFormatting>
  <conditionalFormatting sqref="R15">
    <cfRule type="cellIs" dxfId="35" priority="1" operator="greaterThan">
      <formula>0</formula>
    </cfRule>
  </conditionalFormatting>
  <pageMargins left="0.7" right="0.7" top="0.75" bottom="0.75" header="0.3" footer="0.3"/>
  <pageSetup scale="2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4"/>
  <sheetViews>
    <sheetView workbookViewId="0">
      <selection activeCell="I9" sqref="I9"/>
    </sheetView>
  </sheetViews>
  <sheetFormatPr defaultRowHeight="14.4" x14ac:dyDescent="0.3"/>
  <cols>
    <col min="1" max="1" width="13.88671875" customWidth="1"/>
    <col min="2" max="2" width="51.77734375"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05" t="s">
        <v>537</v>
      </c>
      <c r="M1" s="139" t="s">
        <v>458</v>
      </c>
      <c r="N1" s="305" t="s">
        <v>537</v>
      </c>
    </row>
    <row r="2" spans="1:22" x14ac:dyDescent="0.3">
      <c r="G2" s="37"/>
      <c r="U2" s="139" t="s">
        <v>458</v>
      </c>
      <c r="V2" s="305" t="s">
        <v>537</v>
      </c>
    </row>
    <row r="3" spans="1:22" x14ac:dyDescent="0.3">
      <c r="A3" s="139" t="s">
        <v>0</v>
      </c>
      <c r="B3" s="139" t="s">
        <v>507</v>
      </c>
      <c r="G3" s="139" t="s">
        <v>507</v>
      </c>
      <c r="H3" s="139" t="s">
        <v>833</v>
      </c>
      <c r="I3" s="139" t="s">
        <v>458</v>
      </c>
      <c r="J3" s="139" t="s">
        <v>782</v>
      </c>
      <c r="K3" t="s">
        <v>794</v>
      </c>
      <c r="M3" s="139" t="s">
        <v>833</v>
      </c>
      <c r="N3" s="139" t="s">
        <v>507</v>
      </c>
      <c r="O3" s="139" t="s">
        <v>0</v>
      </c>
      <c r="P3" s="305" t="s">
        <v>794</v>
      </c>
      <c r="Q3" s="305" t="s">
        <v>764</v>
      </c>
    </row>
    <row r="4" spans="1:22" x14ac:dyDescent="0.3">
      <c r="A4" s="305" t="s">
        <v>5</v>
      </c>
      <c r="B4" s="305" t="s">
        <v>6</v>
      </c>
      <c r="G4" s="305" t="s">
        <v>128</v>
      </c>
      <c r="H4" s="305" t="s">
        <v>127</v>
      </c>
      <c r="I4" s="305" t="s">
        <v>775</v>
      </c>
      <c r="J4" s="305" t="s">
        <v>1220</v>
      </c>
      <c r="K4" s="133">
        <v>0</v>
      </c>
      <c r="M4" s="305" t="s">
        <v>236</v>
      </c>
      <c r="N4" s="305" t="s">
        <v>238</v>
      </c>
      <c r="O4" s="305" t="s">
        <v>237</v>
      </c>
      <c r="P4" s="133">
        <v>75</v>
      </c>
      <c r="Q4" s="133">
        <v>433</v>
      </c>
      <c r="U4" s="139" t="s">
        <v>833</v>
      </c>
    </row>
    <row r="5" spans="1:22" x14ac:dyDescent="0.3">
      <c r="A5" s="305" t="s">
        <v>5</v>
      </c>
      <c r="B5" s="305" t="s">
        <v>465</v>
      </c>
      <c r="G5" s="305" t="s">
        <v>62</v>
      </c>
      <c r="H5" s="305" t="s">
        <v>61</v>
      </c>
      <c r="I5" s="305" t="s">
        <v>775</v>
      </c>
      <c r="J5" s="73">
        <v>41275</v>
      </c>
      <c r="K5" s="133"/>
      <c r="M5" s="305" t="s">
        <v>267</v>
      </c>
      <c r="N5" s="305" t="s">
        <v>268</v>
      </c>
      <c r="O5" s="305" t="s">
        <v>237</v>
      </c>
      <c r="P5" s="133">
        <v>68</v>
      </c>
      <c r="Q5" s="133">
        <v>298</v>
      </c>
      <c r="U5" s="305" t="s">
        <v>236</v>
      </c>
    </row>
    <row r="6" spans="1:22" x14ac:dyDescent="0.3">
      <c r="A6" s="305" t="s">
        <v>5</v>
      </c>
      <c r="B6" s="305" t="s">
        <v>10</v>
      </c>
      <c r="G6" s="305" t="s">
        <v>120</v>
      </c>
      <c r="H6" s="305" t="s">
        <v>119</v>
      </c>
      <c r="I6" s="305" t="s">
        <v>1745</v>
      </c>
      <c r="J6" s="73">
        <v>41275</v>
      </c>
      <c r="K6" s="133">
        <v>68</v>
      </c>
      <c r="M6" s="305" t="s">
        <v>249</v>
      </c>
      <c r="N6" s="305" t="s">
        <v>250</v>
      </c>
      <c r="O6" s="305" t="s">
        <v>237</v>
      </c>
      <c r="P6" s="133">
        <v>32</v>
      </c>
      <c r="Q6" s="133">
        <v>174</v>
      </c>
      <c r="U6" s="305" t="s">
        <v>267</v>
      </c>
    </row>
    <row r="7" spans="1:22" x14ac:dyDescent="0.3">
      <c r="A7" s="305" t="s">
        <v>5</v>
      </c>
      <c r="B7" s="305" t="s">
        <v>12</v>
      </c>
      <c r="G7" s="305" t="s">
        <v>1154</v>
      </c>
      <c r="H7" s="305" t="s">
        <v>1160</v>
      </c>
      <c r="I7" s="305" t="s">
        <v>775</v>
      </c>
      <c r="J7" s="73">
        <v>42584</v>
      </c>
      <c r="K7" s="133"/>
      <c r="M7" s="305" t="s">
        <v>247</v>
      </c>
      <c r="N7" s="305" t="s">
        <v>248</v>
      </c>
      <c r="O7" s="305" t="s">
        <v>237</v>
      </c>
      <c r="P7" s="133">
        <v>16</v>
      </c>
      <c r="Q7" s="133">
        <v>77</v>
      </c>
      <c r="U7" s="305" t="s">
        <v>249</v>
      </c>
    </row>
    <row r="8" spans="1:22" x14ac:dyDescent="0.3">
      <c r="A8" s="305" t="s">
        <v>5</v>
      </c>
      <c r="B8" s="305" t="s">
        <v>14</v>
      </c>
      <c r="G8" s="305" t="s">
        <v>6</v>
      </c>
      <c r="H8" s="305" t="s">
        <v>4</v>
      </c>
      <c r="I8" s="305" t="s">
        <v>1745</v>
      </c>
      <c r="J8" s="73">
        <v>40848</v>
      </c>
      <c r="K8" s="133">
        <v>235</v>
      </c>
      <c r="M8" s="305" t="s">
        <v>273</v>
      </c>
      <c r="N8" s="305" t="s">
        <v>274</v>
      </c>
      <c r="O8" s="305" t="s">
        <v>237</v>
      </c>
      <c r="P8" s="133">
        <v>46</v>
      </c>
      <c r="Q8" s="133">
        <v>242</v>
      </c>
      <c r="U8" s="305" t="s">
        <v>247</v>
      </c>
    </row>
    <row r="9" spans="1:22" x14ac:dyDescent="0.3">
      <c r="A9" s="305" t="s">
        <v>5</v>
      </c>
      <c r="B9" s="305" t="s">
        <v>16</v>
      </c>
      <c r="G9" s="305" t="s">
        <v>1529</v>
      </c>
      <c r="H9" s="305" t="s">
        <v>1547</v>
      </c>
      <c r="I9" s="305" t="s">
        <v>775</v>
      </c>
      <c r="J9" s="73">
        <v>42963</v>
      </c>
      <c r="K9" s="133">
        <v>25</v>
      </c>
      <c r="M9" s="305" t="s">
        <v>275</v>
      </c>
      <c r="N9" s="305" t="s">
        <v>276</v>
      </c>
      <c r="O9" s="305" t="s">
        <v>237</v>
      </c>
      <c r="P9" s="133">
        <v>120</v>
      </c>
      <c r="Q9" s="133">
        <v>582</v>
      </c>
      <c r="U9" s="305" t="s">
        <v>273</v>
      </c>
    </row>
    <row r="10" spans="1:22" x14ac:dyDescent="0.3">
      <c r="A10" s="305" t="s">
        <v>5</v>
      </c>
      <c r="B10" s="305" t="s">
        <v>18</v>
      </c>
      <c r="G10" s="305" t="s">
        <v>41</v>
      </c>
      <c r="H10" s="305" t="s">
        <v>40</v>
      </c>
      <c r="I10" s="305" t="s">
        <v>1745</v>
      </c>
      <c r="J10" s="73">
        <v>41275</v>
      </c>
      <c r="K10" s="133">
        <v>70</v>
      </c>
      <c r="M10" s="305" t="s">
        <v>277</v>
      </c>
      <c r="N10" s="305" t="s">
        <v>278</v>
      </c>
      <c r="O10" s="305" t="s">
        <v>237</v>
      </c>
      <c r="P10" s="133">
        <v>23</v>
      </c>
      <c r="Q10" s="133">
        <v>113</v>
      </c>
      <c r="U10" s="305" t="s">
        <v>275</v>
      </c>
    </row>
    <row r="11" spans="1:22" x14ac:dyDescent="0.3">
      <c r="A11" s="305" t="s">
        <v>5</v>
      </c>
      <c r="B11" s="305" t="s">
        <v>8</v>
      </c>
      <c r="G11" s="305" t="s">
        <v>43</v>
      </c>
      <c r="H11" s="305" t="s">
        <v>42</v>
      </c>
      <c r="I11" s="305" t="s">
        <v>1745</v>
      </c>
      <c r="J11" s="73">
        <v>41275</v>
      </c>
      <c r="K11" s="133">
        <v>14</v>
      </c>
      <c r="M11" s="305" t="s">
        <v>259</v>
      </c>
      <c r="N11" s="305" t="s">
        <v>260</v>
      </c>
      <c r="O11" s="305" t="s">
        <v>237</v>
      </c>
      <c r="P11" s="133">
        <v>103</v>
      </c>
      <c r="Q11" s="133">
        <v>586</v>
      </c>
      <c r="U11" s="305" t="s">
        <v>277</v>
      </c>
    </row>
    <row r="12" spans="1:22" x14ac:dyDescent="0.3">
      <c r="A12" s="305" t="s">
        <v>5</v>
      </c>
      <c r="B12" s="305" t="s">
        <v>20</v>
      </c>
      <c r="G12" s="305" t="s">
        <v>39</v>
      </c>
      <c r="H12" s="305" t="s">
        <v>38</v>
      </c>
      <c r="I12" s="305" t="s">
        <v>775</v>
      </c>
      <c r="J12" s="305" t="s">
        <v>1220</v>
      </c>
      <c r="K12" s="133"/>
      <c r="M12" s="305" t="s">
        <v>279</v>
      </c>
      <c r="N12" s="305" t="s">
        <v>280</v>
      </c>
      <c r="O12" s="305" t="s">
        <v>237</v>
      </c>
      <c r="P12" s="133">
        <v>91</v>
      </c>
      <c r="Q12" s="133">
        <v>511</v>
      </c>
      <c r="U12" s="305" t="s">
        <v>259</v>
      </c>
    </row>
    <row r="13" spans="1:22" x14ac:dyDescent="0.3">
      <c r="A13" s="305" t="s">
        <v>5</v>
      </c>
      <c r="B13" s="305" t="s">
        <v>364</v>
      </c>
      <c r="G13" s="305" t="s">
        <v>1210</v>
      </c>
      <c r="H13" s="305" t="s">
        <v>1178</v>
      </c>
      <c r="I13" s="305" t="s">
        <v>775</v>
      </c>
      <c r="J13" s="305" t="s">
        <v>1220</v>
      </c>
      <c r="K13" s="133"/>
      <c r="M13" s="305" t="s">
        <v>244</v>
      </c>
      <c r="N13" s="305" t="s">
        <v>1512</v>
      </c>
      <c r="O13" s="305" t="s">
        <v>237</v>
      </c>
      <c r="P13" s="133">
        <v>42</v>
      </c>
      <c r="Q13" s="133">
        <v>187</v>
      </c>
      <c r="U13" s="305" t="s">
        <v>279</v>
      </c>
    </row>
    <row r="14" spans="1:22" x14ac:dyDescent="0.3">
      <c r="A14" s="305" t="s">
        <v>5</v>
      </c>
      <c r="B14" s="305" t="s">
        <v>22</v>
      </c>
      <c r="G14" s="305" t="s">
        <v>465</v>
      </c>
      <c r="H14" s="305" t="s">
        <v>375</v>
      </c>
      <c r="I14" s="305" t="s">
        <v>1745</v>
      </c>
      <c r="J14" s="73">
        <v>40787</v>
      </c>
      <c r="K14" s="133">
        <v>12</v>
      </c>
      <c r="M14" s="305" t="s">
        <v>255</v>
      </c>
      <c r="N14" s="305" t="s">
        <v>256</v>
      </c>
      <c r="O14" s="305" t="s">
        <v>237</v>
      </c>
      <c r="P14" s="133">
        <v>45</v>
      </c>
      <c r="Q14" s="133">
        <v>209</v>
      </c>
      <c r="U14" s="305" t="s">
        <v>244</v>
      </c>
    </row>
    <row r="15" spans="1:22" x14ac:dyDescent="0.3">
      <c r="A15" s="305" t="s">
        <v>5</v>
      </c>
      <c r="B15" s="305" t="s">
        <v>822</v>
      </c>
      <c r="G15" s="305" t="s">
        <v>48</v>
      </c>
      <c r="H15" s="305" t="s">
        <v>47</v>
      </c>
      <c r="I15" s="305" t="s">
        <v>775</v>
      </c>
      <c r="J15" s="305" t="s">
        <v>1220</v>
      </c>
      <c r="K15" s="133"/>
      <c r="M15" s="305" t="s">
        <v>283</v>
      </c>
      <c r="N15" s="305" t="s">
        <v>284</v>
      </c>
      <c r="O15" s="305" t="s">
        <v>237</v>
      </c>
      <c r="P15" s="133">
        <v>138</v>
      </c>
      <c r="Q15" s="133">
        <v>701</v>
      </c>
      <c r="U15" s="305" t="s">
        <v>255</v>
      </c>
    </row>
    <row r="16" spans="1:22" x14ac:dyDescent="0.3">
      <c r="A16" s="305" t="s">
        <v>5</v>
      </c>
      <c r="B16" s="305" t="s">
        <v>24</v>
      </c>
      <c r="G16" s="305" t="s">
        <v>50</v>
      </c>
      <c r="H16" s="305" t="s">
        <v>49</v>
      </c>
      <c r="I16" s="305" t="s">
        <v>775</v>
      </c>
      <c r="J16" s="305" t="s">
        <v>1220</v>
      </c>
      <c r="K16" s="133"/>
      <c r="M16" s="305" t="s">
        <v>239</v>
      </c>
      <c r="N16" s="305" t="s">
        <v>240</v>
      </c>
      <c r="O16" s="305" t="s">
        <v>237</v>
      </c>
      <c r="P16" s="133">
        <v>108</v>
      </c>
      <c r="Q16" s="133">
        <v>603</v>
      </c>
      <c r="U16" s="305" t="s">
        <v>283</v>
      </c>
    </row>
    <row r="17" spans="1:21" x14ac:dyDescent="0.3">
      <c r="A17" s="305" t="s">
        <v>5</v>
      </c>
      <c r="B17" s="305" t="s">
        <v>795</v>
      </c>
      <c r="G17" s="305" t="s">
        <v>1194</v>
      </c>
      <c r="H17" s="305" t="s">
        <v>1182</v>
      </c>
      <c r="I17" s="305" t="s">
        <v>775</v>
      </c>
      <c r="J17" s="305" t="s">
        <v>1220</v>
      </c>
      <c r="K17" s="133"/>
      <c r="M17" s="305" t="s">
        <v>257</v>
      </c>
      <c r="N17" s="305" t="s">
        <v>258</v>
      </c>
      <c r="O17" s="305" t="s">
        <v>237</v>
      </c>
      <c r="P17" s="133">
        <v>62</v>
      </c>
      <c r="Q17" s="133">
        <v>306</v>
      </c>
      <c r="U17" s="305" t="s">
        <v>239</v>
      </c>
    </row>
    <row r="18" spans="1:21" x14ac:dyDescent="0.3">
      <c r="A18" s="305" t="s">
        <v>5</v>
      </c>
      <c r="B18" s="305" t="s">
        <v>26</v>
      </c>
      <c r="G18" s="305" t="s">
        <v>1195</v>
      </c>
      <c r="H18" s="305" t="s">
        <v>1183</v>
      </c>
      <c r="I18" s="305" t="s">
        <v>775</v>
      </c>
      <c r="J18" s="305" t="s">
        <v>1220</v>
      </c>
      <c r="K18" s="133"/>
      <c r="M18" s="305" t="s">
        <v>265</v>
      </c>
      <c r="N18" s="305" t="s">
        <v>266</v>
      </c>
      <c r="O18" s="305" t="s">
        <v>237</v>
      </c>
      <c r="P18" s="133"/>
      <c r="Q18" s="133"/>
      <c r="U18" s="305" t="s">
        <v>257</v>
      </c>
    </row>
    <row r="19" spans="1:21" x14ac:dyDescent="0.3">
      <c r="A19" s="305" t="s">
        <v>5</v>
      </c>
      <c r="B19" s="305" t="s">
        <v>877</v>
      </c>
      <c r="G19" s="305" t="s">
        <v>808</v>
      </c>
      <c r="H19" s="305" t="s">
        <v>806</v>
      </c>
      <c r="I19" s="305" t="s">
        <v>775</v>
      </c>
      <c r="J19" s="305" t="s">
        <v>1220</v>
      </c>
      <c r="K19" s="133">
        <v>0</v>
      </c>
      <c r="M19" s="305" t="s">
        <v>251</v>
      </c>
      <c r="N19" s="305" t="s">
        <v>252</v>
      </c>
      <c r="O19" s="305" t="s">
        <v>237</v>
      </c>
      <c r="P19" s="133">
        <v>199</v>
      </c>
      <c r="Q19" s="133">
        <v>1118</v>
      </c>
      <c r="U19" s="305" t="s">
        <v>265</v>
      </c>
    </row>
    <row r="20" spans="1:21" x14ac:dyDescent="0.3">
      <c r="A20" s="305" t="s">
        <v>27</v>
      </c>
      <c r="B20" s="305" t="s">
        <v>28</v>
      </c>
      <c r="G20" s="305" t="s">
        <v>803</v>
      </c>
      <c r="H20" s="305" t="s">
        <v>807</v>
      </c>
      <c r="I20" s="305" t="s">
        <v>775</v>
      </c>
      <c r="J20" s="305" t="s">
        <v>1220</v>
      </c>
      <c r="K20" s="133">
        <v>0</v>
      </c>
      <c r="M20" s="305" t="s">
        <v>253</v>
      </c>
      <c r="N20" s="305" t="s">
        <v>254</v>
      </c>
      <c r="O20" s="305" t="s">
        <v>237</v>
      </c>
      <c r="P20" s="133">
        <v>117</v>
      </c>
      <c r="Q20" s="133">
        <v>575</v>
      </c>
      <c r="U20" s="305" t="s">
        <v>251</v>
      </c>
    </row>
    <row r="21" spans="1:21" x14ac:dyDescent="0.3">
      <c r="A21" s="305" t="s">
        <v>27</v>
      </c>
      <c r="B21" s="305" t="s">
        <v>32</v>
      </c>
      <c r="G21" s="305" t="s">
        <v>804</v>
      </c>
      <c r="H21" s="305" t="s">
        <v>805</v>
      </c>
      <c r="I21" s="305" t="s">
        <v>775</v>
      </c>
      <c r="J21" s="305" t="s">
        <v>1220</v>
      </c>
      <c r="K21" s="133">
        <v>0</v>
      </c>
      <c r="M21" s="305" t="s">
        <v>261</v>
      </c>
      <c r="N21" s="305" t="s">
        <v>262</v>
      </c>
      <c r="O21" s="305" t="s">
        <v>237</v>
      </c>
      <c r="P21" s="133">
        <v>22</v>
      </c>
      <c r="Q21" s="133">
        <v>92</v>
      </c>
      <c r="U21" s="305" t="s">
        <v>253</v>
      </c>
    </row>
    <row r="22" spans="1:21" x14ac:dyDescent="0.3">
      <c r="A22" s="305" t="s">
        <v>27</v>
      </c>
      <c r="B22" s="305" t="s">
        <v>362</v>
      </c>
      <c r="G22" s="305" t="s">
        <v>52</v>
      </c>
      <c r="H22" s="305" t="s">
        <v>51</v>
      </c>
      <c r="I22" s="305" t="s">
        <v>1745</v>
      </c>
      <c r="J22" s="73">
        <v>41275</v>
      </c>
      <c r="K22" s="133">
        <v>36</v>
      </c>
      <c r="M22" s="305" t="s">
        <v>263</v>
      </c>
      <c r="N22" s="305" t="s">
        <v>264</v>
      </c>
      <c r="O22" s="305" t="s">
        <v>237</v>
      </c>
      <c r="P22" s="133">
        <v>21</v>
      </c>
      <c r="Q22" s="133">
        <v>121</v>
      </c>
      <c r="U22" s="305" t="s">
        <v>261</v>
      </c>
    </row>
    <row r="23" spans="1:21" x14ac:dyDescent="0.3">
      <c r="A23" s="305" t="s">
        <v>27</v>
      </c>
      <c r="B23" s="305" t="s">
        <v>34</v>
      </c>
      <c r="G23" s="305" t="s">
        <v>58</v>
      </c>
      <c r="H23" s="305" t="s">
        <v>57</v>
      </c>
      <c r="I23" s="305" t="s">
        <v>775</v>
      </c>
      <c r="J23" s="305" t="s">
        <v>1220</v>
      </c>
      <c r="K23" s="133"/>
      <c r="M23" s="305" t="s">
        <v>281</v>
      </c>
      <c r="N23" s="305" t="s">
        <v>282</v>
      </c>
      <c r="O23" s="305" t="s">
        <v>237</v>
      </c>
      <c r="P23" s="133">
        <v>7</v>
      </c>
      <c r="Q23" s="133">
        <v>37</v>
      </c>
      <c r="U23" s="305" t="s">
        <v>263</v>
      </c>
    </row>
    <row r="24" spans="1:21" x14ac:dyDescent="0.3">
      <c r="A24" s="305" t="s">
        <v>27</v>
      </c>
      <c r="B24" s="305" t="s">
        <v>363</v>
      </c>
      <c r="G24" s="305" t="s">
        <v>60</v>
      </c>
      <c r="H24" s="305" t="s">
        <v>59</v>
      </c>
      <c r="I24" s="305" t="s">
        <v>775</v>
      </c>
      <c r="J24" s="73">
        <v>41275</v>
      </c>
      <c r="K24" s="133"/>
      <c r="M24" s="305" t="s">
        <v>241</v>
      </c>
      <c r="N24" s="305" t="s">
        <v>1031</v>
      </c>
      <c r="O24" s="305" t="s">
        <v>237</v>
      </c>
      <c r="P24" s="133">
        <v>55</v>
      </c>
      <c r="Q24" s="133">
        <v>262</v>
      </c>
      <c r="U24" s="305" t="s">
        <v>281</v>
      </c>
    </row>
    <row r="25" spans="1:21" x14ac:dyDescent="0.3">
      <c r="A25" s="305" t="s">
        <v>27</v>
      </c>
      <c r="B25" s="305" t="s">
        <v>790</v>
      </c>
      <c r="G25" s="305" t="s">
        <v>356</v>
      </c>
      <c r="H25" s="305" t="s">
        <v>355</v>
      </c>
      <c r="I25" s="305" t="s">
        <v>775</v>
      </c>
      <c r="J25" s="305" t="s">
        <v>1220</v>
      </c>
      <c r="K25" s="133">
        <v>0</v>
      </c>
      <c r="M25" s="305" t="s">
        <v>269</v>
      </c>
      <c r="N25" s="305" t="s">
        <v>270</v>
      </c>
      <c r="O25" s="305" t="s">
        <v>237</v>
      </c>
      <c r="P25" s="133">
        <v>59</v>
      </c>
      <c r="Q25" s="133">
        <v>314</v>
      </c>
      <c r="U25" s="305" t="s">
        <v>241</v>
      </c>
    </row>
    <row r="26" spans="1:21" x14ac:dyDescent="0.3">
      <c r="A26" s="305" t="s">
        <v>27</v>
      </c>
      <c r="B26" s="305" t="s">
        <v>37</v>
      </c>
      <c r="G26" s="305" t="s">
        <v>333</v>
      </c>
      <c r="H26" s="305" t="s">
        <v>332</v>
      </c>
      <c r="I26" s="305" t="s">
        <v>1745</v>
      </c>
      <c r="J26" s="73">
        <v>40848</v>
      </c>
      <c r="K26" s="133">
        <v>124</v>
      </c>
      <c r="M26" s="305" t="s">
        <v>339</v>
      </c>
      <c r="N26" s="305" t="s">
        <v>340</v>
      </c>
      <c r="O26" s="305" t="s">
        <v>309</v>
      </c>
      <c r="P26" s="133">
        <v>66</v>
      </c>
      <c r="Q26" s="133">
        <v>338</v>
      </c>
      <c r="U26" s="305" t="s">
        <v>269</v>
      </c>
    </row>
    <row r="27" spans="1:21" x14ac:dyDescent="0.3">
      <c r="A27" s="305" t="s">
        <v>27</v>
      </c>
      <c r="B27" s="305" t="s">
        <v>875</v>
      </c>
      <c r="G27" s="305" t="s">
        <v>188</v>
      </c>
      <c r="H27" s="305" t="s">
        <v>187</v>
      </c>
      <c r="I27" s="305" t="s">
        <v>1745</v>
      </c>
      <c r="J27" s="73">
        <v>40817</v>
      </c>
      <c r="K27" s="133">
        <v>362</v>
      </c>
      <c r="M27" s="305" t="s">
        <v>348</v>
      </c>
      <c r="N27" s="305" t="s">
        <v>349</v>
      </c>
      <c r="O27" s="305" t="s">
        <v>309</v>
      </c>
      <c r="P27" s="133">
        <v>92</v>
      </c>
      <c r="Q27" s="133">
        <v>505</v>
      </c>
      <c r="U27" s="305" t="s">
        <v>339</v>
      </c>
    </row>
    <row r="28" spans="1:21" x14ac:dyDescent="0.3">
      <c r="A28" s="305" t="s">
        <v>480</v>
      </c>
      <c r="B28" s="305" t="s">
        <v>128</v>
      </c>
      <c r="G28" s="305" t="s">
        <v>888</v>
      </c>
      <c r="H28" s="305" t="s">
        <v>889</v>
      </c>
      <c r="I28" s="305" t="s">
        <v>775</v>
      </c>
      <c r="J28" s="73">
        <v>40817</v>
      </c>
      <c r="K28" s="133"/>
      <c r="M28" s="305" t="s">
        <v>318</v>
      </c>
      <c r="N28" s="305" t="s">
        <v>319</v>
      </c>
      <c r="O28" s="305" t="s">
        <v>309</v>
      </c>
      <c r="P28" s="133">
        <v>31</v>
      </c>
      <c r="Q28" s="133">
        <v>181</v>
      </c>
      <c r="U28" s="305" t="s">
        <v>348</v>
      </c>
    </row>
    <row r="29" spans="1:21" x14ac:dyDescent="0.3">
      <c r="A29" s="305" t="s">
        <v>480</v>
      </c>
      <c r="B29" s="305" t="s">
        <v>62</v>
      </c>
      <c r="G29" s="305" t="s">
        <v>72</v>
      </c>
      <c r="H29" s="305" t="s">
        <v>71</v>
      </c>
      <c r="I29" s="305" t="s">
        <v>1745</v>
      </c>
      <c r="J29" s="73">
        <v>41487</v>
      </c>
      <c r="K29" s="133">
        <v>6</v>
      </c>
      <c r="M29" s="305" t="s">
        <v>311</v>
      </c>
      <c r="N29" s="305" t="s">
        <v>312</v>
      </c>
      <c r="O29" s="305" t="s">
        <v>309</v>
      </c>
      <c r="P29" s="133">
        <v>92</v>
      </c>
      <c r="Q29" s="133">
        <v>447</v>
      </c>
      <c r="U29" s="305" t="s">
        <v>318</v>
      </c>
    </row>
    <row r="30" spans="1:21" x14ac:dyDescent="0.3">
      <c r="A30" s="305" t="s">
        <v>480</v>
      </c>
      <c r="B30" s="305" t="s">
        <v>120</v>
      </c>
      <c r="G30" s="305" t="s">
        <v>70</v>
      </c>
      <c r="H30" s="305" t="s">
        <v>69</v>
      </c>
      <c r="I30" s="305" t="s">
        <v>775</v>
      </c>
      <c r="J30" s="305" t="s">
        <v>1220</v>
      </c>
      <c r="K30" s="133"/>
      <c r="M30" s="305" t="s">
        <v>328</v>
      </c>
      <c r="N30" s="305" t="s">
        <v>329</v>
      </c>
      <c r="O30" s="305" t="s">
        <v>309</v>
      </c>
      <c r="P30" s="133">
        <v>335</v>
      </c>
      <c r="Q30" s="133">
        <v>1774</v>
      </c>
      <c r="U30" s="305" t="s">
        <v>311</v>
      </c>
    </row>
    <row r="31" spans="1:21" x14ac:dyDescent="0.3">
      <c r="A31" s="305" t="s">
        <v>480</v>
      </c>
      <c r="B31" s="305" t="s">
        <v>41</v>
      </c>
      <c r="G31" s="305" t="s">
        <v>28</v>
      </c>
      <c r="H31" s="305" t="s">
        <v>30</v>
      </c>
      <c r="I31" s="305" t="s">
        <v>1745</v>
      </c>
      <c r="J31" s="73">
        <v>41244</v>
      </c>
      <c r="K31" s="133">
        <v>161</v>
      </c>
      <c r="M31" s="305" t="s">
        <v>336</v>
      </c>
      <c r="N31" s="305" t="s">
        <v>337</v>
      </c>
      <c r="O31" s="305" t="s">
        <v>309</v>
      </c>
      <c r="P31" s="133">
        <v>35</v>
      </c>
      <c r="Q31" s="133">
        <v>185</v>
      </c>
      <c r="U31" s="305" t="s">
        <v>328</v>
      </c>
    </row>
    <row r="32" spans="1:21" x14ac:dyDescent="0.3">
      <c r="A32" s="305" t="s">
        <v>480</v>
      </c>
      <c r="B32" s="305" t="s">
        <v>43</v>
      </c>
      <c r="G32" s="305" t="s">
        <v>10</v>
      </c>
      <c r="H32" s="305" t="s">
        <v>9</v>
      </c>
      <c r="I32" s="305" t="s">
        <v>775</v>
      </c>
      <c r="J32" s="305" t="s">
        <v>1220</v>
      </c>
      <c r="K32" s="133">
        <v>0</v>
      </c>
      <c r="M32" s="305" t="s">
        <v>326</v>
      </c>
      <c r="N32" s="305" t="s">
        <v>327</v>
      </c>
      <c r="O32" s="305" t="s">
        <v>309</v>
      </c>
      <c r="P32" s="133">
        <v>347</v>
      </c>
      <c r="Q32" s="133">
        <v>2039</v>
      </c>
      <c r="U32" s="305" t="s">
        <v>336</v>
      </c>
    </row>
    <row r="33" spans="1:21" x14ac:dyDescent="0.3">
      <c r="A33" s="305" t="s">
        <v>480</v>
      </c>
      <c r="B33" s="305" t="s">
        <v>39</v>
      </c>
      <c r="G33" s="305" t="s">
        <v>1080</v>
      </c>
      <c r="H33" s="305" t="s">
        <v>1081</v>
      </c>
      <c r="I33" s="305" t="s">
        <v>775</v>
      </c>
      <c r="J33" s="305" t="s">
        <v>1220</v>
      </c>
      <c r="K33" s="133"/>
      <c r="M33" s="305" t="s">
        <v>316</v>
      </c>
      <c r="N33" s="305" t="s">
        <v>317</v>
      </c>
      <c r="O33" s="305" t="s">
        <v>309</v>
      </c>
      <c r="P33" s="133">
        <v>122</v>
      </c>
      <c r="Q33" s="133">
        <v>515</v>
      </c>
      <c r="U33" s="305" t="s">
        <v>326</v>
      </c>
    </row>
    <row r="34" spans="1:21" x14ac:dyDescent="0.3">
      <c r="A34" s="305" t="s">
        <v>480</v>
      </c>
      <c r="B34" s="305" t="s">
        <v>48</v>
      </c>
      <c r="G34" s="305" t="s">
        <v>76</v>
      </c>
      <c r="H34" s="305" t="s">
        <v>75</v>
      </c>
      <c r="I34" s="305" t="s">
        <v>1745</v>
      </c>
      <c r="J34" s="73">
        <v>41275</v>
      </c>
      <c r="K34" s="133">
        <v>70</v>
      </c>
      <c r="M34" s="305" t="s">
        <v>341</v>
      </c>
      <c r="N34" s="305" t="s">
        <v>342</v>
      </c>
      <c r="O34" s="305" t="s">
        <v>309</v>
      </c>
      <c r="P34" s="133">
        <v>20</v>
      </c>
      <c r="Q34" s="133">
        <v>86</v>
      </c>
      <c r="U34" s="305" t="s">
        <v>316</v>
      </c>
    </row>
    <row r="35" spans="1:21" x14ac:dyDescent="0.3">
      <c r="A35" s="305" t="s">
        <v>480</v>
      </c>
      <c r="B35" s="305" t="s">
        <v>50</v>
      </c>
      <c r="G35" s="305" t="s">
        <v>1512</v>
      </c>
      <c r="H35" s="305" t="s">
        <v>244</v>
      </c>
      <c r="I35" s="305" t="s">
        <v>1745</v>
      </c>
      <c r="J35" s="73">
        <v>40695</v>
      </c>
      <c r="K35" s="133">
        <v>42</v>
      </c>
      <c r="M35" s="305" t="s">
        <v>358</v>
      </c>
      <c r="N35" s="305" t="s">
        <v>1034</v>
      </c>
      <c r="O35" s="305" t="s">
        <v>309</v>
      </c>
      <c r="P35" s="133"/>
      <c r="Q35" s="133"/>
      <c r="U35" s="305" t="s">
        <v>341</v>
      </c>
    </row>
    <row r="36" spans="1:21" x14ac:dyDescent="0.3">
      <c r="A36" s="305" t="s">
        <v>480</v>
      </c>
      <c r="B36" s="305" t="s">
        <v>52</v>
      </c>
      <c r="G36" s="305" t="s">
        <v>192</v>
      </c>
      <c r="H36" s="305" t="s">
        <v>191</v>
      </c>
      <c r="I36" s="305" t="s">
        <v>1745</v>
      </c>
      <c r="J36" s="73">
        <v>40756</v>
      </c>
      <c r="K36" s="133">
        <v>88</v>
      </c>
      <c r="M36" s="305" t="s">
        <v>357</v>
      </c>
      <c r="N36" s="305" t="s">
        <v>1033</v>
      </c>
      <c r="O36" s="305" t="s">
        <v>309</v>
      </c>
      <c r="P36" s="133"/>
      <c r="Q36" s="133"/>
      <c r="U36" s="305" t="s">
        <v>358</v>
      </c>
    </row>
    <row r="37" spans="1:21" x14ac:dyDescent="0.3">
      <c r="A37" s="305" t="s">
        <v>480</v>
      </c>
      <c r="B37" s="305" t="s">
        <v>58</v>
      </c>
      <c r="G37" s="305" t="s">
        <v>78</v>
      </c>
      <c r="H37" s="305" t="s">
        <v>77</v>
      </c>
      <c r="I37" s="305" t="s">
        <v>775</v>
      </c>
      <c r="J37" s="305" t="s">
        <v>1220</v>
      </c>
      <c r="K37" s="133"/>
      <c r="M37" s="305" t="s">
        <v>308</v>
      </c>
      <c r="N37" s="305" t="s">
        <v>310</v>
      </c>
      <c r="O37" s="305" t="s">
        <v>309</v>
      </c>
      <c r="P37" s="133"/>
      <c r="Q37" s="133"/>
      <c r="U37" s="305" t="s">
        <v>357</v>
      </c>
    </row>
    <row r="38" spans="1:21" x14ac:dyDescent="0.3">
      <c r="A38" s="305" t="s">
        <v>480</v>
      </c>
      <c r="B38" s="305" t="s">
        <v>60</v>
      </c>
      <c r="G38" s="305" t="s">
        <v>1668</v>
      </c>
      <c r="H38" s="305" t="s">
        <v>1655</v>
      </c>
      <c r="I38" s="305" t="s">
        <v>1745</v>
      </c>
      <c r="J38" s="73">
        <v>43212</v>
      </c>
      <c r="K38" s="133">
        <v>34</v>
      </c>
      <c r="M38" s="305" t="s">
        <v>346</v>
      </c>
      <c r="N38" s="305" t="s">
        <v>347</v>
      </c>
      <c r="O38" s="305" t="s">
        <v>309</v>
      </c>
      <c r="P38" s="133">
        <v>45</v>
      </c>
      <c r="Q38" s="133">
        <v>187</v>
      </c>
      <c r="U38" s="305" t="s">
        <v>308</v>
      </c>
    </row>
    <row r="39" spans="1:21" x14ac:dyDescent="0.3">
      <c r="A39" s="305" t="s">
        <v>480</v>
      </c>
      <c r="B39" s="305" t="s">
        <v>72</v>
      </c>
      <c r="G39" s="305" t="s">
        <v>82</v>
      </c>
      <c r="H39" s="305" t="s">
        <v>81</v>
      </c>
      <c r="I39" s="305" t="s">
        <v>775</v>
      </c>
      <c r="J39" s="305" t="s">
        <v>1220</v>
      </c>
      <c r="K39" s="133"/>
      <c r="M39" s="305" t="s">
        <v>314</v>
      </c>
      <c r="N39" s="305" t="s">
        <v>315</v>
      </c>
      <c r="O39" s="305" t="s">
        <v>309</v>
      </c>
      <c r="P39" s="133">
        <v>66</v>
      </c>
      <c r="Q39" s="133">
        <v>274</v>
      </c>
      <c r="U39" s="305" t="s">
        <v>346</v>
      </c>
    </row>
    <row r="40" spans="1:21" x14ac:dyDescent="0.3">
      <c r="A40" s="305" t="s">
        <v>480</v>
      </c>
      <c r="B40" s="305" t="s">
        <v>70</v>
      </c>
      <c r="G40" s="305" t="s">
        <v>837</v>
      </c>
      <c r="H40" s="305" t="s">
        <v>838</v>
      </c>
      <c r="I40" s="305" t="s">
        <v>775</v>
      </c>
      <c r="J40" s="305" t="s">
        <v>1220</v>
      </c>
      <c r="K40" s="133">
        <v>0</v>
      </c>
      <c r="M40" s="305" t="s">
        <v>324</v>
      </c>
      <c r="N40" s="305" t="s">
        <v>325</v>
      </c>
      <c r="O40" s="305" t="s">
        <v>309</v>
      </c>
      <c r="P40" s="133">
        <v>52</v>
      </c>
      <c r="Q40" s="133">
        <v>234</v>
      </c>
      <c r="U40" s="305" t="s">
        <v>314</v>
      </c>
    </row>
    <row r="41" spans="1:21" x14ac:dyDescent="0.3">
      <c r="A41" s="305" t="s">
        <v>480</v>
      </c>
      <c r="B41" s="305" t="s">
        <v>76</v>
      </c>
      <c r="G41" s="305" t="s">
        <v>839</v>
      </c>
      <c r="H41" s="305" t="s">
        <v>840</v>
      </c>
      <c r="I41" s="305" t="s">
        <v>775</v>
      </c>
      <c r="J41" s="305" t="s">
        <v>1220</v>
      </c>
      <c r="K41" s="133">
        <v>0</v>
      </c>
      <c r="M41" s="305" t="s">
        <v>322</v>
      </c>
      <c r="N41" s="305" t="s">
        <v>323</v>
      </c>
      <c r="O41" s="305" t="s">
        <v>309</v>
      </c>
      <c r="P41" s="133">
        <v>523</v>
      </c>
      <c r="Q41" s="133">
        <v>2768</v>
      </c>
      <c r="U41" s="305" t="s">
        <v>324</v>
      </c>
    </row>
    <row r="42" spans="1:21" x14ac:dyDescent="0.3">
      <c r="A42" s="305" t="s">
        <v>480</v>
      </c>
      <c r="B42" s="305" t="s">
        <v>78</v>
      </c>
      <c r="G42" s="305" t="s">
        <v>32</v>
      </c>
      <c r="H42" s="305" t="s">
        <v>31</v>
      </c>
      <c r="I42" s="305" t="s">
        <v>775</v>
      </c>
      <c r="J42" s="305" t="s">
        <v>1220</v>
      </c>
      <c r="K42" s="133"/>
      <c r="M42" s="305" t="s">
        <v>344</v>
      </c>
      <c r="N42" s="305" t="s">
        <v>345</v>
      </c>
      <c r="O42" s="305" t="s">
        <v>309</v>
      </c>
      <c r="P42" s="133">
        <v>182</v>
      </c>
      <c r="Q42" s="133">
        <v>1027</v>
      </c>
      <c r="U42" s="305" t="s">
        <v>322</v>
      </c>
    </row>
    <row r="43" spans="1:21" x14ac:dyDescent="0.3">
      <c r="A43" s="305" t="s">
        <v>480</v>
      </c>
      <c r="B43" s="305" t="s">
        <v>82</v>
      </c>
      <c r="G43" s="305" t="s">
        <v>1193</v>
      </c>
      <c r="H43" s="305" t="s">
        <v>1181</v>
      </c>
      <c r="I43" s="305" t="s">
        <v>775</v>
      </c>
      <c r="J43" s="305" t="s">
        <v>1220</v>
      </c>
      <c r="K43" s="133"/>
      <c r="M43" s="305" t="s">
        <v>30</v>
      </c>
      <c r="N43" s="305" t="s">
        <v>28</v>
      </c>
      <c r="O43" s="305" t="s">
        <v>27</v>
      </c>
      <c r="P43" s="133">
        <v>161</v>
      </c>
      <c r="Q43" s="133">
        <v>799</v>
      </c>
      <c r="U43" s="305" t="s">
        <v>344</v>
      </c>
    </row>
    <row r="44" spans="1:21" x14ac:dyDescent="0.3">
      <c r="A44" s="305" t="s">
        <v>480</v>
      </c>
      <c r="B44" s="305" t="s">
        <v>88</v>
      </c>
      <c r="G44" s="305" t="s">
        <v>1255</v>
      </c>
      <c r="H44" s="305" t="s">
        <v>1252</v>
      </c>
      <c r="I44" s="305" t="s">
        <v>1745</v>
      </c>
      <c r="J44" s="305" t="s">
        <v>1220</v>
      </c>
      <c r="K44" s="133">
        <v>62</v>
      </c>
      <c r="M44" s="305" t="s">
        <v>29</v>
      </c>
      <c r="N44" s="305" t="s">
        <v>362</v>
      </c>
      <c r="O44" s="305" t="s">
        <v>27</v>
      </c>
      <c r="P44" s="133">
        <v>163</v>
      </c>
      <c r="Q44" s="133">
        <v>936</v>
      </c>
      <c r="U44" s="305" t="s">
        <v>30</v>
      </c>
    </row>
    <row r="45" spans="1:21" x14ac:dyDescent="0.3">
      <c r="A45" s="305" t="s">
        <v>480</v>
      </c>
      <c r="B45" s="305" t="s">
        <v>44</v>
      </c>
      <c r="G45" s="305" t="s">
        <v>312</v>
      </c>
      <c r="H45" s="305" t="s">
        <v>311</v>
      </c>
      <c r="I45" s="305" t="s">
        <v>1745</v>
      </c>
      <c r="J45" s="73">
        <v>40695</v>
      </c>
      <c r="K45" s="133">
        <v>92</v>
      </c>
      <c r="M45" s="305" t="s">
        <v>36</v>
      </c>
      <c r="N45" s="305" t="s">
        <v>37</v>
      </c>
      <c r="O45" s="305" t="s">
        <v>27</v>
      </c>
      <c r="P45" s="133"/>
      <c r="Q45" s="133"/>
      <c r="U45" s="305" t="s">
        <v>29</v>
      </c>
    </row>
    <row r="46" spans="1:21" x14ac:dyDescent="0.3">
      <c r="A46" s="305" t="s">
        <v>480</v>
      </c>
      <c r="B46" s="305" t="s">
        <v>56</v>
      </c>
      <c r="G46" s="305" t="s">
        <v>335</v>
      </c>
      <c r="H46" s="305" t="s">
        <v>334</v>
      </c>
      <c r="I46" s="305" t="s">
        <v>1745</v>
      </c>
      <c r="J46" s="73">
        <v>40878</v>
      </c>
      <c r="K46" s="133">
        <v>136</v>
      </c>
      <c r="M46" s="305" t="s">
        <v>33</v>
      </c>
      <c r="N46" s="305" t="s">
        <v>34</v>
      </c>
      <c r="O46" s="305" t="s">
        <v>27</v>
      </c>
      <c r="P46" s="133"/>
      <c r="Q46" s="133"/>
      <c r="U46" s="305" t="s">
        <v>36</v>
      </c>
    </row>
    <row r="47" spans="1:21" x14ac:dyDescent="0.3">
      <c r="A47" s="305" t="s">
        <v>480</v>
      </c>
      <c r="B47" s="305" t="s">
        <v>90</v>
      </c>
      <c r="G47" s="305" t="s">
        <v>88</v>
      </c>
      <c r="H47" s="305" t="s">
        <v>87</v>
      </c>
      <c r="I47" s="305" t="s">
        <v>1745</v>
      </c>
      <c r="J47" s="73">
        <v>41183</v>
      </c>
      <c r="K47" s="133">
        <v>34</v>
      </c>
      <c r="M47" s="305" t="s">
        <v>31</v>
      </c>
      <c r="N47" s="305" t="s">
        <v>32</v>
      </c>
      <c r="O47" s="305" t="s">
        <v>27</v>
      </c>
      <c r="P47" s="133"/>
      <c r="Q47" s="133"/>
      <c r="U47" s="305" t="s">
        <v>33</v>
      </c>
    </row>
    <row r="48" spans="1:21" x14ac:dyDescent="0.3">
      <c r="A48" s="305" t="s">
        <v>480</v>
      </c>
      <c r="B48" s="305" t="s">
        <v>92</v>
      </c>
      <c r="G48" s="305" t="s">
        <v>44</v>
      </c>
      <c r="H48" s="305" t="s">
        <v>45</v>
      </c>
      <c r="I48" s="305" t="s">
        <v>1745</v>
      </c>
      <c r="J48" s="73">
        <v>41122</v>
      </c>
      <c r="K48" s="133">
        <v>2</v>
      </c>
      <c r="M48" s="305" t="s">
        <v>21</v>
      </c>
      <c r="N48" s="305" t="s">
        <v>22</v>
      </c>
      <c r="O48" s="305" t="s">
        <v>5</v>
      </c>
      <c r="P48" s="133">
        <v>641</v>
      </c>
      <c r="Q48" s="133">
        <v>3702</v>
      </c>
      <c r="U48" s="305" t="s">
        <v>31</v>
      </c>
    </row>
    <row r="49" spans="1:21" x14ac:dyDescent="0.3">
      <c r="A49" s="305" t="s">
        <v>480</v>
      </c>
      <c r="B49" s="305" t="s">
        <v>94</v>
      </c>
      <c r="G49" s="305" t="s">
        <v>56</v>
      </c>
      <c r="H49" s="305" t="s">
        <v>55</v>
      </c>
      <c r="I49" s="305" t="s">
        <v>775</v>
      </c>
      <c r="J49" s="305" t="s">
        <v>1220</v>
      </c>
      <c r="K49" s="133">
        <v>0</v>
      </c>
      <c r="M49" s="305" t="s">
        <v>15</v>
      </c>
      <c r="N49" s="305" t="s">
        <v>16</v>
      </c>
      <c r="O49" s="305" t="s">
        <v>5</v>
      </c>
      <c r="P49" s="133"/>
      <c r="Q49" s="133"/>
      <c r="U49" s="305" t="s">
        <v>21</v>
      </c>
    </row>
    <row r="50" spans="1:21" x14ac:dyDescent="0.3">
      <c r="A50" s="305" t="s">
        <v>480</v>
      </c>
      <c r="B50" s="305" t="s">
        <v>54</v>
      </c>
      <c r="G50" s="305" t="s">
        <v>984</v>
      </c>
      <c r="H50" s="305" t="s">
        <v>986</v>
      </c>
      <c r="I50" s="305" t="s">
        <v>1745</v>
      </c>
      <c r="J50" s="73">
        <v>41275</v>
      </c>
      <c r="K50" s="133">
        <v>27</v>
      </c>
      <c r="M50" s="305" t="s">
        <v>17</v>
      </c>
      <c r="N50" s="305" t="s">
        <v>18</v>
      </c>
      <c r="O50" s="305" t="s">
        <v>5</v>
      </c>
      <c r="P50" s="133">
        <v>132</v>
      </c>
      <c r="Q50" s="133">
        <v>748</v>
      </c>
      <c r="U50" s="305" t="s">
        <v>15</v>
      </c>
    </row>
    <row r="51" spans="1:21" x14ac:dyDescent="0.3">
      <c r="A51" s="305" t="s">
        <v>480</v>
      </c>
      <c r="B51" s="305" t="s">
        <v>66</v>
      </c>
      <c r="G51" s="305" t="s">
        <v>12</v>
      </c>
      <c r="H51" s="305" t="s">
        <v>11</v>
      </c>
      <c r="I51" s="305" t="s">
        <v>1745</v>
      </c>
      <c r="J51" s="305" t="s">
        <v>1220</v>
      </c>
      <c r="K51" s="133">
        <v>190</v>
      </c>
      <c r="M51" s="305" t="s">
        <v>4</v>
      </c>
      <c r="N51" s="305" t="s">
        <v>6</v>
      </c>
      <c r="O51" s="305" t="s">
        <v>5</v>
      </c>
      <c r="P51" s="133">
        <v>235</v>
      </c>
      <c r="Q51" s="133">
        <v>1161</v>
      </c>
      <c r="U51" s="305" t="s">
        <v>17</v>
      </c>
    </row>
    <row r="52" spans="1:21" x14ac:dyDescent="0.3">
      <c r="A52" s="305" t="s">
        <v>480</v>
      </c>
      <c r="B52" s="305" t="s">
        <v>80</v>
      </c>
      <c r="G52" s="305" t="s">
        <v>12</v>
      </c>
      <c r="H52" s="305" t="s">
        <v>388</v>
      </c>
      <c r="I52" s="305" t="s">
        <v>1745</v>
      </c>
      <c r="J52" s="305" t="s">
        <v>1220</v>
      </c>
      <c r="K52" s="133">
        <v>80</v>
      </c>
      <c r="M52" s="305" t="s">
        <v>7</v>
      </c>
      <c r="N52" s="305" t="s">
        <v>8</v>
      </c>
      <c r="O52" s="305" t="s">
        <v>5</v>
      </c>
      <c r="P52" s="133">
        <v>13</v>
      </c>
      <c r="Q52" s="133">
        <v>57</v>
      </c>
      <c r="U52" s="305" t="s">
        <v>4</v>
      </c>
    </row>
    <row r="53" spans="1:21" x14ac:dyDescent="0.3">
      <c r="A53" s="305" t="s">
        <v>480</v>
      </c>
      <c r="B53" s="305" t="s">
        <v>102</v>
      </c>
      <c r="G53" s="305" t="s">
        <v>12</v>
      </c>
      <c r="H53" s="305" t="s">
        <v>389</v>
      </c>
      <c r="I53" s="305" t="s">
        <v>1745</v>
      </c>
      <c r="J53" s="305" t="s">
        <v>1220</v>
      </c>
      <c r="K53" s="133">
        <v>223</v>
      </c>
      <c r="M53" s="305" t="s">
        <v>13</v>
      </c>
      <c r="N53" s="305" t="s">
        <v>14</v>
      </c>
      <c r="O53" s="305" t="s">
        <v>5</v>
      </c>
      <c r="P53" s="133">
        <v>41</v>
      </c>
      <c r="Q53" s="133">
        <v>225</v>
      </c>
      <c r="U53" s="305" t="s">
        <v>7</v>
      </c>
    </row>
    <row r="54" spans="1:21" x14ac:dyDescent="0.3">
      <c r="A54" s="305" t="s">
        <v>480</v>
      </c>
      <c r="B54" s="305" t="s">
        <v>106</v>
      </c>
      <c r="G54" s="305" t="s">
        <v>12</v>
      </c>
      <c r="H54" s="305" t="s">
        <v>391</v>
      </c>
      <c r="I54" s="305" t="s">
        <v>775</v>
      </c>
      <c r="J54" s="305" t="s">
        <v>1220</v>
      </c>
      <c r="K54" s="133"/>
      <c r="M54" s="305" t="s">
        <v>25</v>
      </c>
      <c r="N54" s="305" t="s">
        <v>26</v>
      </c>
      <c r="O54" s="305" t="s">
        <v>5</v>
      </c>
      <c r="P54" s="133">
        <v>13</v>
      </c>
      <c r="Q54" s="133">
        <v>63</v>
      </c>
      <c r="U54" s="305" t="s">
        <v>13</v>
      </c>
    </row>
    <row r="55" spans="1:21" x14ac:dyDescent="0.3">
      <c r="A55" s="305" t="s">
        <v>480</v>
      </c>
      <c r="B55" s="305" t="s">
        <v>116</v>
      </c>
      <c r="G55" s="305" t="s">
        <v>169</v>
      </c>
      <c r="H55" s="305" t="s">
        <v>168</v>
      </c>
      <c r="I55" s="305" t="s">
        <v>775</v>
      </c>
      <c r="J55" s="305" t="s">
        <v>1220</v>
      </c>
      <c r="K55" s="133"/>
      <c r="M55" s="305" t="s">
        <v>19</v>
      </c>
      <c r="N55" s="305" t="s">
        <v>20</v>
      </c>
      <c r="O55" s="305" t="s">
        <v>5</v>
      </c>
      <c r="P55" s="133">
        <v>17</v>
      </c>
      <c r="Q55" s="133">
        <v>76</v>
      </c>
      <c r="U55" s="305" t="s">
        <v>25</v>
      </c>
    </row>
    <row r="56" spans="1:21" x14ac:dyDescent="0.3">
      <c r="A56" s="305" t="s">
        <v>480</v>
      </c>
      <c r="B56" s="305" t="s">
        <v>130</v>
      </c>
      <c r="G56" s="305" t="s">
        <v>716</v>
      </c>
      <c r="H56" s="305" t="s">
        <v>1245</v>
      </c>
      <c r="I56" s="305" t="s">
        <v>1745</v>
      </c>
      <c r="J56" s="305" t="s">
        <v>1220</v>
      </c>
      <c r="K56" s="133">
        <v>153</v>
      </c>
      <c r="M56" s="305" t="s">
        <v>23</v>
      </c>
      <c r="N56" s="305" t="s">
        <v>24</v>
      </c>
      <c r="O56" s="305" t="s">
        <v>5</v>
      </c>
      <c r="P56" s="133">
        <v>20</v>
      </c>
      <c r="Q56" s="133">
        <v>95</v>
      </c>
      <c r="U56" s="305" t="s">
        <v>19</v>
      </c>
    </row>
    <row r="57" spans="1:21" x14ac:dyDescent="0.3">
      <c r="A57" s="305" t="s">
        <v>480</v>
      </c>
      <c r="B57" s="305" t="s">
        <v>138</v>
      </c>
      <c r="G57" s="305" t="s">
        <v>231</v>
      </c>
      <c r="H57" s="305" t="s">
        <v>386</v>
      </c>
      <c r="I57" s="305" t="s">
        <v>775</v>
      </c>
      <c r="J57" s="305" t="s">
        <v>1220</v>
      </c>
      <c r="K57" s="133">
        <v>32</v>
      </c>
      <c r="M57" s="305" t="s">
        <v>208</v>
      </c>
      <c r="N57" s="305" t="s">
        <v>209</v>
      </c>
      <c r="O57" s="305" t="s">
        <v>185</v>
      </c>
      <c r="P57" s="133">
        <v>427</v>
      </c>
      <c r="Q57" s="133">
        <v>1874</v>
      </c>
      <c r="U57" s="305" t="s">
        <v>23</v>
      </c>
    </row>
    <row r="58" spans="1:21" x14ac:dyDescent="0.3">
      <c r="A58" s="305" t="s">
        <v>480</v>
      </c>
      <c r="B58" s="305" t="s">
        <v>136</v>
      </c>
      <c r="G58" s="305" t="s">
        <v>915</v>
      </c>
      <c r="H58" s="305" t="s">
        <v>916</v>
      </c>
      <c r="I58" s="305" t="s">
        <v>1745</v>
      </c>
      <c r="J58" s="73">
        <v>41122</v>
      </c>
      <c r="K58" s="133">
        <v>106</v>
      </c>
      <c r="M58" s="305" t="s">
        <v>210</v>
      </c>
      <c r="N58" s="305" t="s">
        <v>211</v>
      </c>
      <c r="O58" s="305" t="s">
        <v>185</v>
      </c>
      <c r="P58" s="133"/>
      <c r="Q58" s="133"/>
      <c r="U58" s="305" t="s">
        <v>208</v>
      </c>
    </row>
    <row r="59" spans="1:21" x14ac:dyDescent="0.3">
      <c r="A59" s="305" t="s">
        <v>480</v>
      </c>
      <c r="B59" s="305" t="s">
        <v>68</v>
      </c>
      <c r="G59" s="305" t="s">
        <v>362</v>
      </c>
      <c r="H59" s="305" t="s">
        <v>29</v>
      </c>
      <c r="I59" s="305" t="s">
        <v>1745</v>
      </c>
      <c r="J59" s="73">
        <v>41030</v>
      </c>
      <c r="K59" s="133">
        <v>163</v>
      </c>
      <c r="M59" s="305" t="s">
        <v>206</v>
      </c>
      <c r="N59" s="305" t="s">
        <v>207</v>
      </c>
      <c r="O59" s="305" t="s">
        <v>185</v>
      </c>
      <c r="P59" s="133"/>
      <c r="Q59" s="133"/>
      <c r="U59" s="305" t="s">
        <v>210</v>
      </c>
    </row>
    <row r="60" spans="1:21" x14ac:dyDescent="0.3">
      <c r="A60" s="305" t="s">
        <v>480</v>
      </c>
      <c r="B60" s="305" t="s">
        <v>84</v>
      </c>
      <c r="G60" s="305" t="s">
        <v>194</v>
      </c>
      <c r="H60" s="305" t="s">
        <v>193</v>
      </c>
      <c r="I60" s="305" t="s">
        <v>1745</v>
      </c>
      <c r="J60" s="73">
        <v>40695</v>
      </c>
      <c r="K60" s="133">
        <v>719</v>
      </c>
      <c r="M60" s="305" t="s">
        <v>216</v>
      </c>
      <c r="N60" s="305" t="s">
        <v>217</v>
      </c>
      <c r="O60" s="305" t="s">
        <v>185</v>
      </c>
      <c r="P60" s="133"/>
      <c r="Q60" s="133"/>
      <c r="U60" s="305" t="s">
        <v>206</v>
      </c>
    </row>
    <row r="61" spans="1:21" x14ac:dyDescent="0.3">
      <c r="A61" s="305" t="s">
        <v>480</v>
      </c>
      <c r="B61" s="305" t="s">
        <v>86</v>
      </c>
      <c r="G61" s="305" t="s">
        <v>14</v>
      </c>
      <c r="H61" s="305" t="s">
        <v>13</v>
      </c>
      <c r="I61" s="305" t="s">
        <v>1745</v>
      </c>
      <c r="J61" s="73">
        <v>40878</v>
      </c>
      <c r="K61" s="133">
        <v>41</v>
      </c>
      <c r="M61" s="305" t="s">
        <v>226</v>
      </c>
      <c r="N61" s="305" t="s">
        <v>227</v>
      </c>
      <c r="O61" s="305" t="s">
        <v>185</v>
      </c>
      <c r="P61" s="133"/>
      <c r="Q61" s="133"/>
      <c r="U61" s="305" t="s">
        <v>216</v>
      </c>
    </row>
    <row r="62" spans="1:21" x14ac:dyDescent="0.3">
      <c r="A62" s="305" t="s">
        <v>480</v>
      </c>
      <c r="B62" s="305" t="s">
        <v>100</v>
      </c>
      <c r="G62" s="305" t="s">
        <v>751</v>
      </c>
      <c r="H62" s="305" t="s">
        <v>752</v>
      </c>
      <c r="I62" s="305" t="s">
        <v>1745</v>
      </c>
      <c r="J62" s="305" t="s">
        <v>1220</v>
      </c>
      <c r="K62" s="133"/>
      <c r="M62" s="305" t="s">
        <v>212</v>
      </c>
      <c r="N62" s="305" t="s">
        <v>213</v>
      </c>
      <c r="O62" s="305" t="s">
        <v>185</v>
      </c>
      <c r="P62" s="133">
        <v>47</v>
      </c>
      <c r="Q62" s="133">
        <v>153</v>
      </c>
      <c r="U62" s="305" t="s">
        <v>226</v>
      </c>
    </row>
    <row r="63" spans="1:21" x14ac:dyDescent="0.3">
      <c r="A63" s="305" t="s">
        <v>480</v>
      </c>
      <c r="B63" s="305" t="s">
        <v>104</v>
      </c>
      <c r="G63" s="305" t="s">
        <v>810</v>
      </c>
      <c r="H63" s="305" t="s">
        <v>809</v>
      </c>
      <c r="I63" s="305" t="s">
        <v>775</v>
      </c>
      <c r="J63" s="305" t="s">
        <v>1220</v>
      </c>
      <c r="K63" s="133">
        <v>0</v>
      </c>
      <c r="M63" s="305" t="s">
        <v>201</v>
      </c>
      <c r="N63" s="305" t="s">
        <v>202</v>
      </c>
      <c r="O63" s="305" t="s">
        <v>185</v>
      </c>
      <c r="P63" s="133">
        <v>304</v>
      </c>
      <c r="Q63" s="133">
        <v>1389</v>
      </c>
      <c r="U63" s="305" t="s">
        <v>212</v>
      </c>
    </row>
    <row r="64" spans="1:21" x14ac:dyDescent="0.3">
      <c r="A64" s="305" t="s">
        <v>480</v>
      </c>
      <c r="B64" s="305" t="s">
        <v>98</v>
      </c>
      <c r="G64" s="305" t="s">
        <v>892</v>
      </c>
      <c r="H64" s="305" t="s">
        <v>893</v>
      </c>
      <c r="I64" s="305" t="s">
        <v>1745</v>
      </c>
      <c r="J64" s="73">
        <v>41487</v>
      </c>
      <c r="K64" s="133">
        <v>10</v>
      </c>
      <c r="M64" s="305" t="s">
        <v>203</v>
      </c>
      <c r="N64" s="305" t="s">
        <v>204</v>
      </c>
      <c r="O64" s="305" t="s">
        <v>185</v>
      </c>
      <c r="P64" s="133"/>
      <c r="Q64" s="133"/>
      <c r="U64" s="305" t="s">
        <v>201</v>
      </c>
    </row>
    <row r="65" spans="1:21" x14ac:dyDescent="0.3">
      <c r="A65" s="305" t="s">
        <v>480</v>
      </c>
      <c r="B65" s="305" t="s">
        <v>142</v>
      </c>
      <c r="G65" s="305" t="s">
        <v>252</v>
      </c>
      <c r="H65" s="305" t="s">
        <v>251</v>
      </c>
      <c r="I65" s="305" t="s">
        <v>1745</v>
      </c>
      <c r="J65" s="73">
        <v>40725</v>
      </c>
      <c r="K65" s="133">
        <v>199</v>
      </c>
      <c r="M65" s="305" t="s">
        <v>199</v>
      </c>
      <c r="N65" s="305" t="s">
        <v>200</v>
      </c>
      <c r="O65" s="305" t="s">
        <v>185</v>
      </c>
      <c r="P65" s="133"/>
      <c r="Q65" s="133"/>
      <c r="U65" s="305" t="s">
        <v>203</v>
      </c>
    </row>
    <row r="66" spans="1:21" x14ac:dyDescent="0.3">
      <c r="A66" s="305" t="s">
        <v>480</v>
      </c>
      <c r="B66" s="305" t="s">
        <v>551</v>
      </c>
      <c r="G66" s="305" t="s">
        <v>254</v>
      </c>
      <c r="H66" s="305" t="s">
        <v>253</v>
      </c>
      <c r="I66" s="305" t="s">
        <v>1745</v>
      </c>
      <c r="J66" s="73">
        <v>40725</v>
      </c>
      <c r="K66" s="133">
        <v>117</v>
      </c>
      <c r="M66" s="305" t="s">
        <v>220</v>
      </c>
      <c r="N66" s="305" t="s">
        <v>221</v>
      </c>
      <c r="O66" s="305" t="s">
        <v>185</v>
      </c>
      <c r="P66" s="133"/>
      <c r="Q66" s="133"/>
      <c r="U66" s="305" t="s">
        <v>199</v>
      </c>
    </row>
    <row r="67" spans="1:21" x14ac:dyDescent="0.3">
      <c r="A67" s="305" t="s">
        <v>480</v>
      </c>
      <c r="B67" s="305" t="s">
        <v>108</v>
      </c>
      <c r="G67" s="305" t="s">
        <v>1770</v>
      </c>
      <c r="H67" s="305" t="s">
        <v>1694</v>
      </c>
      <c r="I67" s="305" t="s">
        <v>1745</v>
      </c>
      <c r="J67" s="73">
        <v>43312</v>
      </c>
      <c r="K67" s="133">
        <v>141</v>
      </c>
      <c r="M67" s="305" t="s">
        <v>150</v>
      </c>
      <c r="N67" s="305" t="s">
        <v>152</v>
      </c>
      <c r="O67" s="305" t="s">
        <v>151</v>
      </c>
      <c r="P67" s="133">
        <v>189</v>
      </c>
      <c r="Q67" s="133">
        <v>840</v>
      </c>
      <c r="U67" s="305" t="s">
        <v>220</v>
      </c>
    </row>
    <row r="68" spans="1:21" x14ac:dyDescent="0.3">
      <c r="A68" s="305" t="s">
        <v>480</v>
      </c>
      <c r="B68" s="305" t="s">
        <v>110</v>
      </c>
      <c r="G68" s="305" t="s">
        <v>196</v>
      </c>
      <c r="H68" s="305" t="s">
        <v>195</v>
      </c>
      <c r="I68" s="305" t="s">
        <v>1745</v>
      </c>
      <c r="J68" s="73">
        <v>41061</v>
      </c>
      <c r="K68" s="133">
        <v>1491</v>
      </c>
      <c r="M68" s="305" t="s">
        <v>304</v>
      </c>
      <c r="N68" s="305" t="s">
        <v>305</v>
      </c>
      <c r="O68" s="305" t="s">
        <v>301</v>
      </c>
      <c r="P68" s="133">
        <v>91</v>
      </c>
      <c r="Q68" s="133">
        <v>344</v>
      </c>
      <c r="U68" s="305" t="s">
        <v>150</v>
      </c>
    </row>
    <row r="69" spans="1:21" x14ac:dyDescent="0.3">
      <c r="A69" s="305" t="s">
        <v>480</v>
      </c>
      <c r="B69" s="305" t="s">
        <v>112</v>
      </c>
      <c r="G69" s="305" t="s">
        <v>1199</v>
      </c>
      <c r="H69" s="305" t="s">
        <v>1177</v>
      </c>
      <c r="I69" s="305" t="s">
        <v>775</v>
      </c>
      <c r="J69" s="305" t="s">
        <v>1220</v>
      </c>
      <c r="K69" s="133"/>
      <c r="M69" s="305" t="s">
        <v>306</v>
      </c>
      <c r="N69" s="305" t="s">
        <v>307</v>
      </c>
      <c r="O69" s="305" t="s">
        <v>301</v>
      </c>
      <c r="P69" s="133">
        <v>47</v>
      </c>
      <c r="Q69" s="133">
        <v>197</v>
      </c>
      <c r="U69" s="305" t="s">
        <v>304</v>
      </c>
    </row>
    <row r="70" spans="1:21" x14ac:dyDescent="0.3">
      <c r="A70" s="305" t="s">
        <v>480</v>
      </c>
      <c r="B70" s="305" t="s">
        <v>114</v>
      </c>
      <c r="G70" s="305" t="s">
        <v>1515</v>
      </c>
      <c r="H70" s="305" t="s">
        <v>1546</v>
      </c>
      <c r="I70" s="305" t="s">
        <v>1745</v>
      </c>
      <c r="J70" s="73">
        <v>42929</v>
      </c>
      <c r="K70" s="133">
        <v>14</v>
      </c>
      <c r="M70" s="305" t="s">
        <v>222</v>
      </c>
      <c r="N70" s="305" t="s">
        <v>223</v>
      </c>
      <c r="O70" s="305" t="s">
        <v>185</v>
      </c>
      <c r="P70" s="133">
        <v>129</v>
      </c>
      <c r="Q70" s="133">
        <v>641</v>
      </c>
      <c r="U70" s="305" t="s">
        <v>306</v>
      </c>
    </row>
    <row r="71" spans="1:21" x14ac:dyDescent="0.3">
      <c r="A71" s="305" t="s">
        <v>480</v>
      </c>
      <c r="B71" s="305" t="s">
        <v>118</v>
      </c>
      <c r="G71" s="305" t="s">
        <v>1209</v>
      </c>
      <c r="H71" s="305" t="s">
        <v>1176</v>
      </c>
      <c r="I71" s="305" t="s">
        <v>775</v>
      </c>
      <c r="J71" s="305" t="s">
        <v>1220</v>
      </c>
      <c r="K71" s="133"/>
      <c r="M71" s="305" t="s">
        <v>189</v>
      </c>
      <c r="N71" s="305" t="s">
        <v>190</v>
      </c>
      <c r="O71" s="305" t="s">
        <v>185</v>
      </c>
      <c r="P71" s="133">
        <v>204</v>
      </c>
      <c r="Q71" s="133">
        <v>1105</v>
      </c>
      <c r="U71" s="305" t="s">
        <v>222</v>
      </c>
    </row>
    <row r="72" spans="1:21" x14ac:dyDescent="0.3">
      <c r="A72" s="305" t="s">
        <v>480</v>
      </c>
      <c r="B72" s="305" t="s">
        <v>122</v>
      </c>
      <c r="G72" s="305" t="s">
        <v>16</v>
      </c>
      <c r="H72" s="305" t="s">
        <v>15</v>
      </c>
      <c r="I72" s="305" t="s">
        <v>775</v>
      </c>
      <c r="J72" s="305" t="s">
        <v>1220</v>
      </c>
      <c r="K72" s="133"/>
      <c r="M72" s="305" t="s">
        <v>184</v>
      </c>
      <c r="N72" s="305" t="s">
        <v>186</v>
      </c>
      <c r="O72" s="305" t="s">
        <v>185</v>
      </c>
      <c r="P72" s="133">
        <v>41</v>
      </c>
      <c r="Q72" s="133">
        <v>237</v>
      </c>
      <c r="U72" s="305" t="s">
        <v>189</v>
      </c>
    </row>
    <row r="73" spans="1:21" x14ac:dyDescent="0.3">
      <c r="A73" s="305" t="s">
        <v>480</v>
      </c>
      <c r="B73" s="305" t="s">
        <v>124</v>
      </c>
      <c r="G73" s="305" t="s">
        <v>1707</v>
      </c>
      <c r="H73" s="305" t="s">
        <v>1699</v>
      </c>
      <c r="I73" s="305" t="s">
        <v>1745</v>
      </c>
      <c r="J73" s="305" t="s">
        <v>1220</v>
      </c>
      <c r="K73" s="133">
        <v>15</v>
      </c>
      <c r="M73" s="305" t="s">
        <v>228</v>
      </c>
      <c r="N73" s="305" t="s">
        <v>229</v>
      </c>
      <c r="O73" s="305" t="s">
        <v>185</v>
      </c>
      <c r="P73" s="133">
        <v>48</v>
      </c>
      <c r="Q73" s="133">
        <v>300</v>
      </c>
      <c r="U73" s="305" t="s">
        <v>184</v>
      </c>
    </row>
    <row r="74" spans="1:21" x14ac:dyDescent="0.3">
      <c r="A74" s="305" t="s">
        <v>480</v>
      </c>
      <c r="B74" s="305" t="s">
        <v>96</v>
      </c>
      <c r="G74" s="305" t="s">
        <v>1198</v>
      </c>
      <c r="H74" s="305" t="s">
        <v>1174</v>
      </c>
      <c r="I74" s="305" t="s">
        <v>775</v>
      </c>
      <c r="J74" s="305" t="s">
        <v>1220</v>
      </c>
      <c r="K74" s="133"/>
      <c r="M74" s="305" t="s">
        <v>224</v>
      </c>
      <c r="N74" s="305" t="s">
        <v>225</v>
      </c>
      <c r="O74" s="305" t="s">
        <v>185</v>
      </c>
      <c r="P74" s="133">
        <v>43</v>
      </c>
      <c r="Q74" s="133">
        <v>432</v>
      </c>
      <c r="U74" s="305" t="s">
        <v>228</v>
      </c>
    </row>
    <row r="75" spans="1:21" x14ac:dyDescent="0.3">
      <c r="A75" s="305" t="s">
        <v>480</v>
      </c>
      <c r="B75" s="305" t="s">
        <v>132</v>
      </c>
      <c r="G75" s="305" t="s">
        <v>474</v>
      </c>
      <c r="H75" s="305" t="s">
        <v>475</v>
      </c>
      <c r="I75" s="305" t="s">
        <v>1745</v>
      </c>
      <c r="J75" s="305" t="s">
        <v>1220</v>
      </c>
      <c r="K75" s="133">
        <v>3</v>
      </c>
      <c r="M75" s="305" t="s">
        <v>143</v>
      </c>
      <c r="N75" s="305" t="s">
        <v>145</v>
      </c>
      <c r="O75" s="305" t="s">
        <v>144</v>
      </c>
      <c r="P75" s="133"/>
      <c r="Q75" s="133"/>
      <c r="U75" s="305" t="s">
        <v>224</v>
      </c>
    </row>
    <row r="76" spans="1:21" x14ac:dyDescent="0.3">
      <c r="A76" s="305" t="s">
        <v>480</v>
      </c>
      <c r="B76" s="305" t="s">
        <v>134</v>
      </c>
      <c r="G76" s="305" t="s">
        <v>370</v>
      </c>
      <c r="H76" s="305" t="s">
        <v>380</v>
      </c>
      <c r="I76" s="305" t="s">
        <v>775</v>
      </c>
      <c r="J76" s="73">
        <v>41275</v>
      </c>
      <c r="K76" s="133"/>
      <c r="M76" s="305" t="s">
        <v>298</v>
      </c>
      <c r="N76" s="305" t="s">
        <v>300</v>
      </c>
      <c r="O76" s="305" t="s">
        <v>299</v>
      </c>
      <c r="P76" s="133">
        <v>14</v>
      </c>
      <c r="Q76" s="133">
        <v>75</v>
      </c>
      <c r="U76" s="305" t="s">
        <v>143</v>
      </c>
    </row>
    <row r="77" spans="1:21" x14ac:dyDescent="0.3">
      <c r="A77" s="305" t="s">
        <v>480</v>
      </c>
      <c r="B77" s="305" t="s">
        <v>64</v>
      </c>
      <c r="G77" s="305" t="s">
        <v>956</v>
      </c>
      <c r="H77" s="305" t="s">
        <v>957</v>
      </c>
      <c r="I77" s="305" t="s">
        <v>775</v>
      </c>
      <c r="J77" s="73">
        <v>42019</v>
      </c>
      <c r="K77" s="133"/>
      <c r="M77" s="305" t="s">
        <v>175</v>
      </c>
      <c r="N77" s="305" t="s">
        <v>1489</v>
      </c>
      <c r="O77" s="305" t="s">
        <v>173</v>
      </c>
      <c r="P77" s="133">
        <v>15</v>
      </c>
      <c r="Q77" s="133">
        <v>74</v>
      </c>
      <c r="U77" s="305" t="s">
        <v>298</v>
      </c>
    </row>
    <row r="78" spans="1:21" x14ac:dyDescent="0.3">
      <c r="A78" s="305" t="s">
        <v>480</v>
      </c>
      <c r="B78" s="305" t="s">
        <v>126</v>
      </c>
      <c r="G78" s="305" t="s">
        <v>367</v>
      </c>
      <c r="H78" s="305" t="s">
        <v>381</v>
      </c>
      <c r="I78" s="305" t="s">
        <v>1745</v>
      </c>
      <c r="J78" s="73">
        <v>41244</v>
      </c>
      <c r="K78" s="133">
        <v>53</v>
      </c>
      <c r="M78" s="305" t="s">
        <v>172</v>
      </c>
      <c r="N78" s="305" t="s">
        <v>174</v>
      </c>
      <c r="O78" s="305" t="s">
        <v>173</v>
      </c>
      <c r="P78" s="133">
        <v>13</v>
      </c>
      <c r="Q78" s="133">
        <v>71</v>
      </c>
      <c r="U78" s="305" t="s">
        <v>175</v>
      </c>
    </row>
    <row r="79" spans="1:21" x14ac:dyDescent="0.3">
      <c r="A79" s="305" t="s">
        <v>480</v>
      </c>
      <c r="B79" s="305" t="s">
        <v>74</v>
      </c>
      <c r="G79" s="305" t="s">
        <v>1232</v>
      </c>
      <c r="H79" s="305" t="s">
        <v>1231</v>
      </c>
      <c r="I79" s="305" t="s">
        <v>1745</v>
      </c>
      <c r="J79" s="73">
        <v>42724</v>
      </c>
      <c r="K79" s="133">
        <v>37</v>
      </c>
      <c r="M79" s="305" t="s">
        <v>177</v>
      </c>
      <c r="N79" s="305" t="s">
        <v>178</v>
      </c>
      <c r="O79" s="305" t="s">
        <v>173</v>
      </c>
      <c r="P79" s="133">
        <v>10</v>
      </c>
      <c r="Q79" s="133">
        <v>42</v>
      </c>
      <c r="U79" s="305" t="s">
        <v>172</v>
      </c>
    </row>
    <row r="80" spans="1:21" x14ac:dyDescent="0.3">
      <c r="A80" s="305" t="s">
        <v>480</v>
      </c>
      <c r="B80" s="305" t="s">
        <v>140</v>
      </c>
      <c r="G80" s="305" t="s">
        <v>368</v>
      </c>
      <c r="H80" s="305" t="s">
        <v>382</v>
      </c>
      <c r="I80" s="305" t="s">
        <v>1745</v>
      </c>
      <c r="J80" s="73">
        <v>41244</v>
      </c>
      <c r="K80" s="133">
        <v>28</v>
      </c>
      <c r="M80" s="305" t="s">
        <v>179</v>
      </c>
      <c r="N80" s="305" t="s">
        <v>181</v>
      </c>
      <c r="O80" s="305" t="s">
        <v>180</v>
      </c>
      <c r="P80" s="133">
        <v>11</v>
      </c>
      <c r="Q80" s="133">
        <v>55</v>
      </c>
      <c r="U80" s="305" t="s">
        <v>177</v>
      </c>
    </row>
    <row r="81" spans="1:21" x14ac:dyDescent="0.3">
      <c r="A81" s="305" t="s">
        <v>480</v>
      </c>
      <c r="B81" s="305" t="s">
        <v>467</v>
      </c>
      <c r="G81" s="305" t="s">
        <v>1278</v>
      </c>
      <c r="H81" s="305" t="s">
        <v>1277</v>
      </c>
      <c r="I81" s="305" t="s">
        <v>1745</v>
      </c>
      <c r="J81" s="73">
        <v>42781</v>
      </c>
      <c r="K81" s="133">
        <v>61</v>
      </c>
      <c r="M81" s="305" t="s">
        <v>182</v>
      </c>
      <c r="N81" s="305" t="s">
        <v>183</v>
      </c>
      <c r="O81" s="305" t="s">
        <v>180</v>
      </c>
      <c r="P81" s="133">
        <v>0</v>
      </c>
      <c r="Q81" s="133">
        <v>0</v>
      </c>
      <c r="U81" s="305" t="s">
        <v>179</v>
      </c>
    </row>
    <row r="82" spans="1:21" x14ac:dyDescent="0.3">
      <c r="A82" s="305" t="s">
        <v>480</v>
      </c>
      <c r="B82" s="305" t="s">
        <v>915</v>
      </c>
      <c r="G82" s="305" t="s">
        <v>256</v>
      </c>
      <c r="H82" s="305" t="s">
        <v>255</v>
      </c>
      <c r="I82" s="305" t="s">
        <v>1745</v>
      </c>
      <c r="J82" s="73">
        <v>40909</v>
      </c>
      <c r="K82" s="133">
        <v>45</v>
      </c>
      <c r="M82" s="305" t="s">
        <v>109</v>
      </c>
      <c r="N82" s="305" t="s">
        <v>110</v>
      </c>
      <c r="O82" s="305" t="s">
        <v>480</v>
      </c>
      <c r="P82" s="133">
        <v>0</v>
      </c>
      <c r="Q82" s="133">
        <v>0</v>
      </c>
      <c r="U82" s="305" t="s">
        <v>182</v>
      </c>
    </row>
    <row r="83" spans="1:21" x14ac:dyDescent="0.3">
      <c r="A83" s="305" t="s">
        <v>480</v>
      </c>
      <c r="B83" s="305" t="s">
        <v>956</v>
      </c>
      <c r="G83" s="305" t="s">
        <v>174</v>
      </c>
      <c r="H83" s="305" t="s">
        <v>172</v>
      </c>
      <c r="I83" s="305" t="s">
        <v>1745</v>
      </c>
      <c r="J83" s="73">
        <v>41030</v>
      </c>
      <c r="K83" s="133">
        <v>13</v>
      </c>
      <c r="M83" s="305" t="s">
        <v>111</v>
      </c>
      <c r="N83" s="305" t="s">
        <v>112</v>
      </c>
      <c r="O83" s="305" t="s">
        <v>480</v>
      </c>
      <c r="P83" s="133">
        <v>0</v>
      </c>
      <c r="Q83" s="133">
        <v>0</v>
      </c>
      <c r="U83" s="305" t="s">
        <v>109</v>
      </c>
    </row>
    <row r="84" spans="1:21" x14ac:dyDescent="0.3">
      <c r="A84" s="305" t="s">
        <v>480</v>
      </c>
      <c r="B84" s="305" t="s">
        <v>1133</v>
      </c>
      <c r="G84" s="305" t="s">
        <v>145</v>
      </c>
      <c r="H84" s="305" t="s">
        <v>143</v>
      </c>
      <c r="I84" s="305" t="s">
        <v>775</v>
      </c>
      <c r="J84" s="305" t="s">
        <v>1220</v>
      </c>
      <c r="K84" s="133"/>
      <c r="M84" s="305" t="s">
        <v>85</v>
      </c>
      <c r="N84" s="305" t="s">
        <v>86</v>
      </c>
      <c r="O84" s="305" t="s">
        <v>480</v>
      </c>
      <c r="P84" s="133">
        <v>0</v>
      </c>
      <c r="Q84" s="133">
        <v>0</v>
      </c>
      <c r="U84" s="305" t="s">
        <v>111</v>
      </c>
    </row>
    <row r="85" spans="1:21" x14ac:dyDescent="0.3">
      <c r="A85" s="305" t="s">
        <v>480</v>
      </c>
      <c r="B85" s="305" t="s">
        <v>1154</v>
      </c>
      <c r="G85" s="305" t="s">
        <v>469</v>
      </c>
      <c r="H85" s="305" t="s">
        <v>470</v>
      </c>
      <c r="I85" s="305" t="s">
        <v>775</v>
      </c>
      <c r="J85" s="73">
        <v>41365</v>
      </c>
      <c r="K85" s="133">
        <v>0</v>
      </c>
      <c r="M85" s="305" t="s">
        <v>83</v>
      </c>
      <c r="N85" s="305" t="s">
        <v>84</v>
      </c>
      <c r="O85" s="305" t="s">
        <v>480</v>
      </c>
      <c r="P85" s="133">
        <v>0</v>
      </c>
      <c r="Q85" s="133">
        <v>0</v>
      </c>
      <c r="U85" s="305" t="s">
        <v>85</v>
      </c>
    </row>
    <row r="86" spans="1:21" x14ac:dyDescent="0.3">
      <c r="A86" s="305" t="s">
        <v>480</v>
      </c>
      <c r="B86" s="305" t="s">
        <v>1158</v>
      </c>
      <c r="G86" s="305" t="s">
        <v>1035</v>
      </c>
      <c r="H86" s="305" t="s">
        <v>313</v>
      </c>
      <c r="I86" s="305" t="s">
        <v>775</v>
      </c>
      <c r="J86" s="73">
        <v>40695</v>
      </c>
      <c r="K86" s="133">
        <v>0</v>
      </c>
      <c r="M86" s="305" t="s">
        <v>69</v>
      </c>
      <c r="N86" s="305" t="s">
        <v>70</v>
      </c>
      <c r="O86" s="305" t="s">
        <v>480</v>
      </c>
      <c r="P86" s="133"/>
      <c r="Q86" s="133"/>
      <c r="U86" s="305" t="s">
        <v>83</v>
      </c>
    </row>
    <row r="87" spans="1:21" x14ac:dyDescent="0.3">
      <c r="A87" s="305" t="s">
        <v>480</v>
      </c>
      <c r="B87" s="305" t="s">
        <v>1155</v>
      </c>
      <c r="G87" s="305" t="s">
        <v>1665</v>
      </c>
      <c r="H87" s="305" t="s">
        <v>1653</v>
      </c>
      <c r="I87" s="305" t="s">
        <v>1745</v>
      </c>
      <c r="J87" s="73">
        <v>43212</v>
      </c>
      <c r="K87" s="133">
        <v>80</v>
      </c>
      <c r="M87" s="305" t="s">
        <v>103</v>
      </c>
      <c r="N87" s="305" t="s">
        <v>104</v>
      </c>
      <c r="O87" s="305" t="s">
        <v>480</v>
      </c>
      <c r="P87" s="133">
        <v>0</v>
      </c>
      <c r="Q87" s="133">
        <v>0</v>
      </c>
      <c r="U87" s="305" t="s">
        <v>69</v>
      </c>
    </row>
    <row r="88" spans="1:21" x14ac:dyDescent="0.3">
      <c r="A88" s="305" t="s">
        <v>480</v>
      </c>
      <c r="B88" s="305" t="s">
        <v>1157</v>
      </c>
      <c r="G88" s="305" t="s">
        <v>34</v>
      </c>
      <c r="H88" s="305" t="s">
        <v>33</v>
      </c>
      <c r="I88" s="305" t="s">
        <v>775</v>
      </c>
      <c r="J88" s="305" t="s">
        <v>1220</v>
      </c>
      <c r="K88" s="133"/>
      <c r="M88" s="305" t="s">
        <v>67</v>
      </c>
      <c r="N88" s="305" t="s">
        <v>68</v>
      </c>
      <c r="O88" s="305" t="s">
        <v>480</v>
      </c>
      <c r="P88" s="133">
        <v>0</v>
      </c>
      <c r="Q88" s="133">
        <v>0</v>
      </c>
      <c r="U88" s="305" t="s">
        <v>103</v>
      </c>
    </row>
    <row r="89" spans="1:21" x14ac:dyDescent="0.3">
      <c r="A89" s="305" t="s">
        <v>480</v>
      </c>
      <c r="B89" s="305" t="s">
        <v>1156</v>
      </c>
      <c r="G89" s="305" t="s">
        <v>198</v>
      </c>
      <c r="H89" s="305" t="s">
        <v>197</v>
      </c>
      <c r="I89" s="305" t="s">
        <v>1745</v>
      </c>
      <c r="J89" s="73">
        <v>40817</v>
      </c>
      <c r="K89" s="133">
        <v>535</v>
      </c>
      <c r="M89" s="305" t="s">
        <v>99</v>
      </c>
      <c r="N89" s="305" t="s">
        <v>100</v>
      </c>
      <c r="O89" s="305" t="s">
        <v>480</v>
      </c>
      <c r="P89" s="133">
        <v>4</v>
      </c>
      <c r="Q89" s="133">
        <v>15</v>
      </c>
      <c r="U89" s="305" t="s">
        <v>67</v>
      </c>
    </row>
    <row r="90" spans="1:21" x14ac:dyDescent="0.3">
      <c r="A90" s="305" t="s">
        <v>480</v>
      </c>
      <c r="B90" s="305" t="s">
        <v>1279</v>
      </c>
      <c r="G90" s="305" t="s">
        <v>1642</v>
      </c>
      <c r="H90" s="305" t="s">
        <v>1697</v>
      </c>
      <c r="I90" s="305" t="s">
        <v>1745</v>
      </c>
      <c r="J90" s="305" t="s">
        <v>1220</v>
      </c>
      <c r="K90" s="133">
        <v>46</v>
      </c>
      <c r="M90" s="305" t="s">
        <v>49</v>
      </c>
      <c r="N90" s="305" t="s">
        <v>50</v>
      </c>
      <c r="O90" s="305" t="s">
        <v>480</v>
      </c>
      <c r="P90" s="133"/>
      <c r="Q90" s="133"/>
      <c r="U90" s="305" t="s">
        <v>99</v>
      </c>
    </row>
    <row r="91" spans="1:21" x14ac:dyDescent="0.3">
      <c r="A91" s="305" t="s">
        <v>480</v>
      </c>
      <c r="B91" s="305" t="s">
        <v>1642</v>
      </c>
      <c r="G91" s="305" t="s">
        <v>303</v>
      </c>
      <c r="H91" s="305" t="s">
        <v>302</v>
      </c>
      <c r="I91" s="305" t="s">
        <v>1745</v>
      </c>
      <c r="J91" s="73">
        <v>41701</v>
      </c>
      <c r="K91" s="133">
        <v>375</v>
      </c>
      <c r="M91" s="305" t="s">
        <v>65</v>
      </c>
      <c r="N91" s="305" t="s">
        <v>66</v>
      </c>
      <c r="O91" s="305" t="s">
        <v>480</v>
      </c>
      <c r="P91" s="133">
        <v>0</v>
      </c>
      <c r="Q91" s="133">
        <v>0</v>
      </c>
      <c r="U91" s="305" t="s">
        <v>49</v>
      </c>
    </row>
    <row r="92" spans="1:21" x14ac:dyDescent="0.3">
      <c r="A92" s="305" t="s">
        <v>480</v>
      </c>
      <c r="B92" s="305" t="s">
        <v>1707</v>
      </c>
      <c r="G92" s="305" t="s">
        <v>35</v>
      </c>
      <c r="H92" s="305" t="s">
        <v>360</v>
      </c>
      <c r="I92" s="305" t="s">
        <v>775</v>
      </c>
      <c r="J92" s="305" t="s">
        <v>1220</v>
      </c>
      <c r="K92" s="133">
        <v>0</v>
      </c>
      <c r="M92" s="305" t="s">
        <v>53</v>
      </c>
      <c r="N92" s="305" t="s">
        <v>54</v>
      </c>
      <c r="O92" s="305" t="s">
        <v>480</v>
      </c>
      <c r="P92" s="133">
        <v>0</v>
      </c>
      <c r="Q92" s="133">
        <v>0</v>
      </c>
      <c r="U92" s="305" t="s">
        <v>65</v>
      </c>
    </row>
    <row r="93" spans="1:21" x14ac:dyDescent="0.3">
      <c r="A93" s="305" t="s">
        <v>719</v>
      </c>
      <c r="B93" s="305" t="s">
        <v>535</v>
      </c>
      <c r="G93" s="305" t="s">
        <v>1279</v>
      </c>
      <c r="H93" s="305" t="s">
        <v>1270</v>
      </c>
      <c r="I93" s="305" t="s">
        <v>1745</v>
      </c>
      <c r="J93" s="73">
        <v>42887</v>
      </c>
      <c r="K93" s="133">
        <v>124</v>
      </c>
      <c r="M93" s="305" t="s">
        <v>115</v>
      </c>
      <c r="N93" s="305" t="s">
        <v>116</v>
      </c>
      <c r="O93" s="305" t="s">
        <v>480</v>
      </c>
      <c r="P93" s="133">
        <v>0</v>
      </c>
      <c r="Q93" s="133">
        <v>0</v>
      </c>
      <c r="U93" s="305" t="s">
        <v>53</v>
      </c>
    </row>
    <row r="94" spans="1:21" x14ac:dyDescent="0.3">
      <c r="A94" s="305" t="s">
        <v>719</v>
      </c>
      <c r="B94" s="305" t="s">
        <v>1060</v>
      </c>
      <c r="G94" s="305" t="s">
        <v>240</v>
      </c>
      <c r="H94" s="305" t="s">
        <v>239</v>
      </c>
      <c r="I94" s="305" t="s">
        <v>1745</v>
      </c>
      <c r="J94" s="73">
        <v>40603</v>
      </c>
      <c r="K94" s="133">
        <v>108</v>
      </c>
      <c r="M94" s="305" t="s">
        <v>79</v>
      </c>
      <c r="N94" s="305" t="s">
        <v>80</v>
      </c>
      <c r="O94" s="305" t="s">
        <v>480</v>
      </c>
      <c r="P94" s="133">
        <v>0</v>
      </c>
      <c r="Q94" s="133">
        <v>0</v>
      </c>
      <c r="U94" s="305" t="s">
        <v>115</v>
      </c>
    </row>
    <row r="95" spans="1:21" x14ac:dyDescent="0.3">
      <c r="A95" s="305" t="s">
        <v>719</v>
      </c>
      <c r="B95" s="305" t="s">
        <v>1143</v>
      </c>
      <c r="G95" s="305" t="s">
        <v>284</v>
      </c>
      <c r="H95" s="305" t="s">
        <v>283</v>
      </c>
      <c r="I95" s="305" t="s">
        <v>1745</v>
      </c>
      <c r="J95" s="73">
        <v>40695</v>
      </c>
      <c r="K95" s="133">
        <v>138</v>
      </c>
      <c r="M95" s="305" t="s">
        <v>137</v>
      </c>
      <c r="N95" s="305" t="s">
        <v>138</v>
      </c>
      <c r="O95" s="305" t="s">
        <v>480</v>
      </c>
      <c r="P95" s="133">
        <v>0</v>
      </c>
      <c r="Q95" s="133">
        <v>0</v>
      </c>
      <c r="U95" s="305" t="s">
        <v>79</v>
      </c>
    </row>
    <row r="96" spans="1:21" x14ac:dyDescent="0.3">
      <c r="A96" s="305" t="s">
        <v>361</v>
      </c>
      <c r="B96" s="305" t="s">
        <v>35</v>
      </c>
      <c r="G96" s="305" t="s">
        <v>363</v>
      </c>
      <c r="H96" s="305" t="s">
        <v>376</v>
      </c>
      <c r="I96" s="305" t="s">
        <v>1745</v>
      </c>
      <c r="J96" s="73">
        <v>40940</v>
      </c>
      <c r="K96" s="133">
        <v>204</v>
      </c>
      <c r="M96" s="305" t="s">
        <v>101</v>
      </c>
      <c r="N96" s="305" t="s">
        <v>102</v>
      </c>
      <c r="O96" s="305" t="s">
        <v>480</v>
      </c>
      <c r="P96" s="133">
        <v>0</v>
      </c>
      <c r="Q96" s="133">
        <v>0</v>
      </c>
      <c r="U96" s="305" t="s">
        <v>137</v>
      </c>
    </row>
    <row r="97" spans="1:21" x14ac:dyDescent="0.3">
      <c r="A97" s="305" t="s">
        <v>144</v>
      </c>
      <c r="B97" s="305" t="s">
        <v>145</v>
      </c>
      <c r="G97" s="305" t="s">
        <v>90</v>
      </c>
      <c r="H97" s="305" t="s">
        <v>89</v>
      </c>
      <c r="I97" s="305" t="s">
        <v>1745</v>
      </c>
      <c r="J97" s="73">
        <v>41275</v>
      </c>
      <c r="K97" s="133">
        <v>18</v>
      </c>
      <c r="M97" s="305" t="s">
        <v>105</v>
      </c>
      <c r="N97" s="305" t="s">
        <v>106</v>
      </c>
      <c r="O97" s="305" t="s">
        <v>480</v>
      </c>
      <c r="P97" s="133">
        <v>0</v>
      </c>
      <c r="Q97" s="133">
        <v>0</v>
      </c>
      <c r="U97" s="305" t="s">
        <v>101</v>
      </c>
    </row>
    <row r="98" spans="1:21" x14ac:dyDescent="0.3">
      <c r="A98" s="305" t="s">
        <v>146</v>
      </c>
      <c r="B98" s="305" t="s">
        <v>837</v>
      </c>
      <c r="G98" s="305" t="s">
        <v>92</v>
      </c>
      <c r="H98" s="305" t="s">
        <v>91</v>
      </c>
      <c r="I98" s="305" t="s">
        <v>1745</v>
      </c>
      <c r="J98" s="73">
        <v>41275</v>
      </c>
      <c r="K98" s="133">
        <v>11</v>
      </c>
      <c r="M98" s="305" t="s">
        <v>129</v>
      </c>
      <c r="N98" s="305" t="s">
        <v>130</v>
      </c>
      <c r="O98" s="305" t="s">
        <v>480</v>
      </c>
      <c r="P98" s="133">
        <v>0</v>
      </c>
      <c r="Q98" s="133">
        <v>0</v>
      </c>
      <c r="U98" s="305" t="s">
        <v>105</v>
      </c>
    </row>
    <row r="99" spans="1:21" x14ac:dyDescent="0.3">
      <c r="A99" s="305" t="s">
        <v>146</v>
      </c>
      <c r="B99" s="305" t="s">
        <v>839</v>
      </c>
      <c r="G99" s="305" t="s">
        <v>18</v>
      </c>
      <c r="H99" s="305" t="s">
        <v>17</v>
      </c>
      <c r="I99" s="305" t="s">
        <v>1745</v>
      </c>
      <c r="J99" s="73">
        <v>40695</v>
      </c>
      <c r="K99" s="133">
        <v>132</v>
      </c>
      <c r="M99" s="305" t="s">
        <v>133</v>
      </c>
      <c r="N99" s="305" t="s">
        <v>134</v>
      </c>
      <c r="O99" s="305" t="s">
        <v>480</v>
      </c>
      <c r="P99" s="133"/>
      <c r="Q99" s="133"/>
      <c r="U99" s="305" t="s">
        <v>129</v>
      </c>
    </row>
    <row r="100" spans="1:21" x14ac:dyDescent="0.3">
      <c r="A100" s="305" t="s">
        <v>146</v>
      </c>
      <c r="B100" s="305" t="s">
        <v>370</v>
      </c>
      <c r="G100" s="305" t="s">
        <v>1191</v>
      </c>
      <c r="H100" s="305" t="s">
        <v>1173</v>
      </c>
      <c r="I100" s="305" t="s">
        <v>1745</v>
      </c>
      <c r="J100" s="305" t="s">
        <v>1220</v>
      </c>
      <c r="K100" s="133">
        <v>35</v>
      </c>
      <c r="M100" s="305" t="s">
        <v>113</v>
      </c>
      <c r="N100" s="305" t="s">
        <v>114</v>
      </c>
      <c r="O100" s="305" t="s">
        <v>480</v>
      </c>
      <c r="P100" s="133">
        <v>0</v>
      </c>
      <c r="Q100" s="133">
        <v>0</v>
      </c>
      <c r="U100" s="305" t="s">
        <v>133</v>
      </c>
    </row>
    <row r="101" spans="1:21" x14ac:dyDescent="0.3">
      <c r="A101" s="305" t="s">
        <v>146</v>
      </c>
      <c r="B101" s="305" t="s">
        <v>367</v>
      </c>
      <c r="G101" s="305" t="s">
        <v>186</v>
      </c>
      <c r="H101" s="305" t="s">
        <v>184</v>
      </c>
      <c r="I101" s="305" t="s">
        <v>1745</v>
      </c>
      <c r="J101" s="73">
        <v>41030</v>
      </c>
      <c r="K101" s="133">
        <v>41</v>
      </c>
      <c r="M101" s="305" t="s">
        <v>107</v>
      </c>
      <c r="N101" s="305" t="s">
        <v>108</v>
      </c>
      <c r="O101" s="305" t="s">
        <v>480</v>
      </c>
      <c r="P101" s="133">
        <v>50</v>
      </c>
      <c r="Q101" s="133">
        <v>237</v>
      </c>
      <c r="U101" s="305" t="s">
        <v>113</v>
      </c>
    </row>
    <row r="102" spans="1:21" x14ac:dyDescent="0.3">
      <c r="A102" s="305" t="s">
        <v>146</v>
      </c>
      <c r="B102" s="305" t="s">
        <v>368</v>
      </c>
      <c r="G102" s="305" t="s">
        <v>223</v>
      </c>
      <c r="H102" s="305" t="s">
        <v>222</v>
      </c>
      <c r="I102" s="305" t="s">
        <v>1745</v>
      </c>
      <c r="J102" s="73">
        <v>40848</v>
      </c>
      <c r="K102" s="133">
        <v>129</v>
      </c>
      <c r="M102" s="305" t="s">
        <v>95</v>
      </c>
      <c r="N102" s="305" t="s">
        <v>96</v>
      </c>
      <c r="O102" s="305" t="s">
        <v>480</v>
      </c>
      <c r="P102" s="133">
        <v>0</v>
      </c>
      <c r="Q102" s="133">
        <v>0</v>
      </c>
      <c r="U102" s="305" t="s">
        <v>107</v>
      </c>
    </row>
    <row r="103" spans="1:21" x14ac:dyDescent="0.3">
      <c r="A103" s="305" t="s">
        <v>146</v>
      </c>
      <c r="B103" s="305" t="s">
        <v>369</v>
      </c>
      <c r="G103" s="305" t="s">
        <v>190</v>
      </c>
      <c r="H103" s="305" t="s">
        <v>189</v>
      </c>
      <c r="I103" s="305" t="s">
        <v>1745</v>
      </c>
      <c r="J103" s="73">
        <v>41000</v>
      </c>
      <c r="K103" s="133">
        <v>204</v>
      </c>
      <c r="M103" s="305" t="s">
        <v>139</v>
      </c>
      <c r="N103" s="305" t="s">
        <v>140</v>
      </c>
      <c r="O103" s="305" t="s">
        <v>480</v>
      </c>
      <c r="P103" s="133">
        <v>16</v>
      </c>
      <c r="Q103" s="133">
        <v>68</v>
      </c>
      <c r="U103" s="305" t="s">
        <v>95</v>
      </c>
    </row>
    <row r="104" spans="1:21" x14ac:dyDescent="0.3">
      <c r="A104" s="305" t="s">
        <v>146</v>
      </c>
      <c r="B104" s="305" t="s">
        <v>365</v>
      </c>
      <c r="G104" s="305" t="s">
        <v>158</v>
      </c>
      <c r="H104" s="305" t="s">
        <v>157</v>
      </c>
      <c r="I104" s="305" t="s">
        <v>775</v>
      </c>
      <c r="J104" s="73">
        <v>41122</v>
      </c>
      <c r="K104" s="133">
        <v>0</v>
      </c>
      <c r="M104" s="305" t="s">
        <v>135</v>
      </c>
      <c r="N104" s="305" t="s">
        <v>136</v>
      </c>
      <c r="O104" s="305" t="s">
        <v>480</v>
      </c>
      <c r="P104" s="133">
        <v>0</v>
      </c>
      <c r="Q104" s="133">
        <v>0</v>
      </c>
      <c r="U104" s="305" t="s">
        <v>139</v>
      </c>
    </row>
    <row r="105" spans="1:21" x14ac:dyDescent="0.3">
      <c r="A105" s="305" t="s">
        <v>146</v>
      </c>
      <c r="B105" s="305" t="s">
        <v>149</v>
      </c>
      <c r="G105" s="305" t="s">
        <v>1046</v>
      </c>
      <c r="H105" s="305" t="s">
        <v>1045</v>
      </c>
      <c r="I105" s="305" t="s">
        <v>1745</v>
      </c>
      <c r="J105" s="73">
        <v>42180</v>
      </c>
      <c r="K105" s="133">
        <v>61</v>
      </c>
      <c r="M105" s="305" t="s">
        <v>93</v>
      </c>
      <c r="N105" s="305" t="s">
        <v>94</v>
      </c>
      <c r="O105" s="305" t="s">
        <v>480</v>
      </c>
      <c r="P105" s="133">
        <v>0</v>
      </c>
      <c r="Q105" s="133">
        <v>0</v>
      </c>
      <c r="U105" s="305" t="s">
        <v>135</v>
      </c>
    </row>
    <row r="106" spans="1:21" x14ac:dyDescent="0.3">
      <c r="A106" s="305" t="s">
        <v>146</v>
      </c>
      <c r="B106" s="305" t="s">
        <v>371</v>
      </c>
      <c r="G106" s="305" t="s">
        <v>1489</v>
      </c>
      <c r="H106" s="305" t="s">
        <v>175</v>
      </c>
      <c r="I106" s="305" t="s">
        <v>1745</v>
      </c>
      <c r="J106" s="73">
        <v>41030</v>
      </c>
      <c r="K106" s="133">
        <v>15</v>
      </c>
      <c r="M106" s="305" t="s">
        <v>121</v>
      </c>
      <c r="N106" s="305" t="s">
        <v>122</v>
      </c>
      <c r="O106" s="305" t="s">
        <v>480</v>
      </c>
      <c r="P106" s="133">
        <v>0</v>
      </c>
      <c r="Q106" s="133">
        <v>0</v>
      </c>
      <c r="U106" s="305" t="s">
        <v>93</v>
      </c>
    </row>
    <row r="107" spans="1:21" x14ac:dyDescent="0.3">
      <c r="A107" s="305" t="s">
        <v>146</v>
      </c>
      <c r="B107" s="305" t="s">
        <v>943</v>
      </c>
      <c r="G107" s="305" t="s">
        <v>1054</v>
      </c>
      <c r="H107" s="305" t="s">
        <v>1057</v>
      </c>
      <c r="I107" s="305" t="s">
        <v>775</v>
      </c>
      <c r="J107" s="73">
        <v>42125</v>
      </c>
      <c r="K107" s="133">
        <v>6</v>
      </c>
      <c r="M107" s="305" t="s">
        <v>71</v>
      </c>
      <c r="N107" s="305" t="s">
        <v>72</v>
      </c>
      <c r="O107" s="305" t="s">
        <v>480</v>
      </c>
      <c r="P107" s="133">
        <v>6</v>
      </c>
      <c r="Q107" s="133">
        <v>31</v>
      </c>
      <c r="U107" s="305" t="s">
        <v>121</v>
      </c>
    </row>
    <row r="108" spans="1:21" x14ac:dyDescent="0.3">
      <c r="A108" s="305" t="s">
        <v>146</v>
      </c>
      <c r="B108" s="305" t="s">
        <v>1082</v>
      </c>
      <c r="G108" s="305" t="s">
        <v>94</v>
      </c>
      <c r="H108" s="305" t="s">
        <v>93</v>
      </c>
      <c r="I108" s="305" t="s">
        <v>775</v>
      </c>
      <c r="J108" s="305" t="s">
        <v>1220</v>
      </c>
      <c r="K108" s="133">
        <v>0</v>
      </c>
      <c r="M108" s="305" t="s">
        <v>131</v>
      </c>
      <c r="N108" s="305" t="s">
        <v>132</v>
      </c>
      <c r="O108" s="305" t="s">
        <v>480</v>
      </c>
      <c r="P108" s="133">
        <v>0</v>
      </c>
      <c r="Q108" s="133">
        <v>0</v>
      </c>
      <c r="U108" s="305" t="s">
        <v>71</v>
      </c>
    </row>
    <row r="109" spans="1:21" x14ac:dyDescent="0.3">
      <c r="A109" s="305" t="s">
        <v>146</v>
      </c>
      <c r="B109" s="305" t="s">
        <v>1146</v>
      </c>
      <c r="G109" s="305" t="s">
        <v>819</v>
      </c>
      <c r="H109" s="305" t="s">
        <v>820</v>
      </c>
      <c r="I109" s="305" t="s">
        <v>775</v>
      </c>
      <c r="J109" s="73">
        <v>41518</v>
      </c>
      <c r="K109" s="133"/>
      <c r="M109" s="305" t="s">
        <v>354</v>
      </c>
      <c r="N109" s="305" t="s">
        <v>1032</v>
      </c>
      <c r="O109" s="305" t="s">
        <v>309</v>
      </c>
      <c r="P109" s="133"/>
      <c r="Q109" s="133"/>
      <c r="U109" s="305" t="s">
        <v>131</v>
      </c>
    </row>
    <row r="110" spans="1:21" x14ac:dyDescent="0.3">
      <c r="A110" s="305" t="s">
        <v>146</v>
      </c>
      <c r="B110" s="305" t="s">
        <v>1232</v>
      </c>
      <c r="G110" s="305" t="s">
        <v>319</v>
      </c>
      <c r="H110" s="305" t="s">
        <v>318</v>
      </c>
      <c r="I110" s="305" t="s">
        <v>1745</v>
      </c>
      <c r="J110" s="73">
        <v>41030</v>
      </c>
      <c r="K110" s="133">
        <v>31</v>
      </c>
      <c r="M110" s="305" t="s">
        <v>332</v>
      </c>
      <c r="N110" s="305" t="s">
        <v>333</v>
      </c>
      <c r="O110" s="305" t="s">
        <v>309</v>
      </c>
      <c r="P110" s="133">
        <v>124</v>
      </c>
      <c r="Q110" s="133">
        <v>471</v>
      </c>
      <c r="U110" s="305" t="s">
        <v>354</v>
      </c>
    </row>
    <row r="111" spans="1:21" x14ac:dyDescent="0.3">
      <c r="A111" s="305" t="s">
        <v>146</v>
      </c>
      <c r="B111" s="305" t="s">
        <v>1241</v>
      </c>
      <c r="G111" s="305" t="s">
        <v>321</v>
      </c>
      <c r="H111" s="305" t="s">
        <v>320</v>
      </c>
      <c r="I111" s="305" t="s">
        <v>1745</v>
      </c>
      <c r="J111" s="73">
        <v>40695</v>
      </c>
      <c r="K111" s="133">
        <v>411</v>
      </c>
      <c r="M111" s="305" t="s">
        <v>355</v>
      </c>
      <c r="N111" s="305" t="s">
        <v>356</v>
      </c>
      <c r="O111" s="305" t="s">
        <v>309</v>
      </c>
      <c r="P111" s="133">
        <v>0</v>
      </c>
      <c r="Q111" s="133">
        <v>0</v>
      </c>
      <c r="U111" s="305" t="s">
        <v>332</v>
      </c>
    </row>
    <row r="112" spans="1:21" x14ac:dyDescent="0.3">
      <c r="A112" s="305" t="s">
        <v>146</v>
      </c>
      <c r="B112" s="305" t="s">
        <v>1532</v>
      </c>
      <c r="G112" s="305" t="s">
        <v>200</v>
      </c>
      <c r="H112" s="305" t="s">
        <v>199</v>
      </c>
      <c r="I112" s="305" t="s">
        <v>775</v>
      </c>
      <c r="J112" s="305" t="s">
        <v>1220</v>
      </c>
      <c r="K112" s="133"/>
      <c r="M112" s="305" t="s">
        <v>334</v>
      </c>
      <c r="N112" s="305" t="s">
        <v>335</v>
      </c>
      <c r="O112" s="305" t="s">
        <v>309</v>
      </c>
      <c r="P112" s="133">
        <v>136</v>
      </c>
      <c r="Q112" s="133">
        <v>986</v>
      </c>
      <c r="U112" s="305" t="s">
        <v>355</v>
      </c>
    </row>
    <row r="113" spans="1:21" x14ac:dyDescent="0.3">
      <c r="A113" s="305" t="s">
        <v>146</v>
      </c>
      <c r="B113" s="305" t="s">
        <v>1573</v>
      </c>
      <c r="G113" s="305" t="s">
        <v>1618</v>
      </c>
      <c r="H113" s="305" t="s">
        <v>1121</v>
      </c>
      <c r="I113" s="305" t="s">
        <v>1745</v>
      </c>
      <c r="J113" s="73">
        <v>42435</v>
      </c>
      <c r="K113" s="133">
        <v>82</v>
      </c>
      <c r="M113" s="305" t="s">
        <v>350</v>
      </c>
      <c r="N113" s="305" t="s">
        <v>351</v>
      </c>
      <c r="O113" s="305" t="s">
        <v>309</v>
      </c>
      <c r="P113" s="133">
        <v>1426</v>
      </c>
      <c r="Q113" s="133">
        <v>7119</v>
      </c>
      <c r="U113" s="305" t="s">
        <v>334</v>
      </c>
    </row>
    <row r="114" spans="1:21" x14ac:dyDescent="0.3">
      <c r="A114" s="305" t="s">
        <v>146</v>
      </c>
      <c r="B114" s="305" t="s">
        <v>1617</v>
      </c>
      <c r="G114" s="305" t="s">
        <v>327</v>
      </c>
      <c r="H114" s="305" t="s">
        <v>326</v>
      </c>
      <c r="I114" s="305" t="s">
        <v>1745</v>
      </c>
      <c r="J114" s="73">
        <v>41456</v>
      </c>
      <c r="K114" s="133">
        <v>347</v>
      </c>
      <c r="M114" s="305" t="s">
        <v>313</v>
      </c>
      <c r="N114" s="305" t="s">
        <v>1035</v>
      </c>
      <c r="O114" s="305" t="s">
        <v>309</v>
      </c>
      <c r="P114" s="133">
        <v>0</v>
      </c>
      <c r="Q114" s="133">
        <v>0</v>
      </c>
      <c r="U114" s="305" t="s">
        <v>350</v>
      </c>
    </row>
    <row r="115" spans="1:21" x14ac:dyDescent="0.3">
      <c r="A115" s="305" t="s">
        <v>146</v>
      </c>
      <c r="B115" s="305" t="s">
        <v>1618</v>
      </c>
      <c r="G115" s="305" t="s">
        <v>329</v>
      </c>
      <c r="H115" s="305" t="s">
        <v>328</v>
      </c>
      <c r="I115" s="305" t="s">
        <v>1745</v>
      </c>
      <c r="J115" s="73">
        <v>41426</v>
      </c>
      <c r="K115" s="133">
        <v>335</v>
      </c>
      <c r="M115" s="305" t="s">
        <v>330</v>
      </c>
      <c r="N115" s="305" t="s">
        <v>331</v>
      </c>
      <c r="O115" s="305" t="s">
        <v>309</v>
      </c>
      <c r="P115" s="133">
        <v>0</v>
      </c>
      <c r="Q115" s="133">
        <v>0</v>
      </c>
      <c r="U115" s="305" t="s">
        <v>313</v>
      </c>
    </row>
    <row r="116" spans="1:21" x14ac:dyDescent="0.3">
      <c r="A116" s="305" t="s">
        <v>817</v>
      </c>
      <c r="B116" s="305" t="s">
        <v>819</v>
      </c>
      <c r="G116" s="305" t="s">
        <v>323</v>
      </c>
      <c r="H116" s="305" t="s">
        <v>322</v>
      </c>
      <c r="I116" s="305" t="s">
        <v>1745</v>
      </c>
      <c r="J116" s="73">
        <v>41061</v>
      </c>
      <c r="K116" s="133">
        <v>523</v>
      </c>
      <c r="M116" s="305" t="s">
        <v>320</v>
      </c>
      <c r="N116" s="305" t="s">
        <v>321</v>
      </c>
      <c r="O116" s="305" t="s">
        <v>309</v>
      </c>
      <c r="P116" s="133">
        <v>411</v>
      </c>
      <c r="Q116" s="133">
        <v>1545</v>
      </c>
      <c r="U116" s="305" t="s">
        <v>330</v>
      </c>
    </row>
    <row r="117" spans="1:21" x14ac:dyDescent="0.3">
      <c r="A117" s="305" t="s">
        <v>151</v>
      </c>
      <c r="B117" s="305" t="s">
        <v>808</v>
      </c>
      <c r="G117" s="305" t="s">
        <v>325</v>
      </c>
      <c r="H117" s="305" t="s">
        <v>324</v>
      </c>
      <c r="I117" s="305" t="s">
        <v>1745</v>
      </c>
      <c r="J117" s="73">
        <v>40878</v>
      </c>
      <c r="K117" s="133">
        <v>52</v>
      </c>
      <c r="M117" s="305" t="s">
        <v>343</v>
      </c>
      <c r="N117" s="305" t="s">
        <v>1030</v>
      </c>
      <c r="O117" s="305" t="s">
        <v>309</v>
      </c>
      <c r="P117" s="133">
        <v>185</v>
      </c>
      <c r="Q117" s="133">
        <v>868</v>
      </c>
      <c r="U117" s="305" t="s">
        <v>320</v>
      </c>
    </row>
    <row r="118" spans="1:21" x14ac:dyDescent="0.3">
      <c r="A118" s="305" t="s">
        <v>151</v>
      </c>
      <c r="B118" s="305" t="s">
        <v>803</v>
      </c>
      <c r="G118" s="305" t="s">
        <v>1747</v>
      </c>
      <c r="H118" s="305" t="s">
        <v>1748</v>
      </c>
      <c r="I118" s="305" t="s">
        <v>1744</v>
      </c>
      <c r="J118" s="73">
        <v>43252</v>
      </c>
      <c r="K118" s="133">
        <v>95</v>
      </c>
      <c r="M118" s="305" t="s">
        <v>195</v>
      </c>
      <c r="N118" s="305" t="s">
        <v>196</v>
      </c>
      <c r="O118" s="305" t="s">
        <v>185</v>
      </c>
      <c r="P118" s="133">
        <v>1491</v>
      </c>
      <c r="Q118" s="133">
        <v>8574</v>
      </c>
      <c r="U118" s="305" t="s">
        <v>343</v>
      </c>
    </row>
    <row r="119" spans="1:21" x14ac:dyDescent="0.3">
      <c r="A119" s="305" t="s">
        <v>151</v>
      </c>
      <c r="B119" s="305" t="s">
        <v>804</v>
      </c>
      <c r="G119" s="305" t="s">
        <v>811</v>
      </c>
      <c r="H119" s="305" t="s">
        <v>812</v>
      </c>
      <c r="I119" s="305" t="s">
        <v>1745</v>
      </c>
      <c r="J119" s="73">
        <v>41548</v>
      </c>
      <c r="K119" s="133">
        <v>433</v>
      </c>
      <c r="M119" s="305" t="s">
        <v>193</v>
      </c>
      <c r="N119" s="305" t="s">
        <v>194</v>
      </c>
      <c r="O119" s="305" t="s">
        <v>185</v>
      </c>
      <c r="P119" s="133">
        <v>719</v>
      </c>
      <c r="Q119" s="133">
        <v>3648</v>
      </c>
      <c r="U119" s="305" t="s">
        <v>195</v>
      </c>
    </row>
    <row r="120" spans="1:21" x14ac:dyDescent="0.3">
      <c r="A120" s="305" t="s">
        <v>151</v>
      </c>
      <c r="B120" s="305" t="s">
        <v>188</v>
      </c>
      <c r="G120" s="305" t="s">
        <v>847</v>
      </c>
      <c r="H120" s="305" t="s">
        <v>846</v>
      </c>
      <c r="I120" s="305" t="s">
        <v>1745</v>
      </c>
      <c r="J120" s="73">
        <v>41548</v>
      </c>
      <c r="K120" s="133">
        <v>169</v>
      </c>
      <c r="M120" s="305" t="s">
        <v>191</v>
      </c>
      <c r="N120" s="305" t="s">
        <v>192</v>
      </c>
      <c r="O120" s="305" t="s">
        <v>185</v>
      </c>
      <c r="P120" s="133">
        <v>88</v>
      </c>
      <c r="Q120" s="133">
        <v>338</v>
      </c>
      <c r="U120" s="305" t="s">
        <v>193</v>
      </c>
    </row>
    <row r="121" spans="1:21" x14ac:dyDescent="0.3">
      <c r="A121" s="305" t="s">
        <v>151</v>
      </c>
      <c r="B121" s="305" t="s">
        <v>12</v>
      </c>
      <c r="G121" s="305" t="s">
        <v>258</v>
      </c>
      <c r="H121" s="305" t="s">
        <v>257</v>
      </c>
      <c r="I121" s="305" t="s">
        <v>1745</v>
      </c>
      <c r="J121" s="73">
        <v>40756</v>
      </c>
      <c r="K121" s="133">
        <v>62</v>
      </c>
      <c r="M121" s="305" t="s">
        <v>218</v>
      </c>
      <c r="N121" s="305" t="s">
        <v>219</v>
      </c>
      <c r="O121" s="305" t="s">
        <v>185</v>
      </c>
      <c r="P121" s="133">
        <v>632</v>
      </c>
      <c r="Q121" s="133">
        <v>3551</v>
      </c>
      <c r="U121" s="305" t="s">
        <v>191</v>
      </c>
    </row>
    <row r="122" spans="1:21" x14ac:dyDescent="0.3">
      <c r="A122" s="305" t="s">
        <v>151</v>
      </c>
      <c r="B122" s="305" t="s">
        <v>810</v>
      </c>
      <c r="G122" s="305" t="s">
        <v>202</v>
      </c>
      <c r="H122" s="305" t="s">
        <v>201</v>
      </c>
      <c r="I122" s="305" t="s">
        <v>1745</v>
      </c>
      <c r="J122" s="73">
        <v>41030</v>
      </c>
      <c r="K122" s="133">
        <v>304</v>
      </c>
      <c r="M122" s="305" t="s">
        <v>197</v>
      </c>
      <c r="N122" s="305" t="s">
        <v>198</v>
      </c>
      <c r="O122" s="305" t="s">
        <v>151</v>
      </c>
      <c r="P122" s="133">
        <v>535</v>
      </c>
      <c r="Q122" s="133">
        <v>2490</v>
      </c>
      <c r="U122" s="305" t="s">
        <v>218</v>
      </c>
    </row>
    <row r="123" spans="1:21" x14ac:dyDescent="0.3">
      <c r="A123" s="305" t="s">
        <v>151</v>
      </c>
      <c r="B123" s="305" t="s">
        <v>469</v>
      </c>
      <c r="G123" s="305" t="s">
        <v>260</v>
      </c>
      <c r="H123" s="305" t="s">
        <v>259</v>
      </c>
      <c r="I123" s="305" t="s">
        <v>1745</v>
      </c>
      <c r="J123" s="73">
        <v>40725</v>
      </c>
      <c r="K123" s="133">
        <v>103</v>
      </c>
      <c r="M123" s="305" t="s">
        <v>187</v>
      </c>
      <c r="N123" s="305" t="s">
        <v>188</v>
      </c>
      <c r="O123" s="305" t="s">
        <v>151</v>
      </c>
      <c r="P123" s="133">
        <v>362</v>
      </c>
      <c r="Q123" s="133">
        <v>1718</v>
      </c>
      <c r="U123" s="305" t="s">
        <v>197</v>
      </c>
    </row>
    <row r="124" spans="1:21" x14ac:dyDescent="0.3">
      <c r="A124" s="305" t="s">
        <v>151</v>
      </c>
      <c r="B124" s="305" t="s">
        <v>198</v>
      </c>
      <c r="G124" s="305" t="s">
        <v>1197</v>
      </c>
      <c r="H124" s="305" t="s">
        <v>1185</v>
      </c>
      <c r="I124" s="305" t="s">
        <v>1745</v>
      </c>
      <c r="J124" s="305" t="s">
        <v>1220</v>
      </c>
      <c r="K124" s="133">
        <v>37</v>
      </c>
      <c r="M124" s="305" t="s">
        <v>214</v>
      </c>
      <c r="N124" s="305" t="s">
        <v>215</v>
      </c>
      <c r="O124" s="305" t="s">
        <v>185</v>
      </c>
      <c r="P124" s="133">
        <v>354</v>
      </c>
      <c r="Q124" s="133">
        <v>3547</v>
      </c>
      <c r="U124" s="305" t="s">
        <v>187</v>
      </c>
    </row>
    <row r="125" spans="1:21" x14ac:dyDescent="0.3">
      <c r="A125" s="305" t="s">
        <v>151</v>
      </c>
      <c r="B125" s="305" t="s">
        <v>158</v>
      </c>
      <c r="G125" s="305" t="s">
        <v>802</v>
      </c>
      <c r="H125" s="305" t="s">
        <v>796</v>
      </c>
      <c r="I125" s="305" t="s">
        <v>775</v>
      </c>
      <c r="J125" s="305" t="s">
        <v>1220</v>
      </c>
      <c r="K125" s="133">
        <v>0</v>
      </c>
      <c r="M125" s="305" t="s">
        <v>153</v>
      </c>
      <c r="N125" s="305" t="s">
        <v>154</v>
      </c>
      <c r="O125" s="305" t="s">
        <v>151</v>
      </c>
      <c r="P125" s="133">
        <v>442</v>
      </c>
      <c r="Q125" s="133">
        <v>2301</v>
      </c>
      <c r="U125" s="305" t="s">
        <v>214</v>
      </c>
    </row>
    <row r="126" spans="1:21" x14ac:dyDescent="0.3">
      <c r="A126" s="305" t="s">
        <v>151</v>
      </c>
      <c r="B126" s="305" t="s">
        <v>811</v>
      </c>
      <c r="G126" s="305" t="s">
        <v>801</v>
      </c>
      <c r="H126" s="305" t="s">
        <v>800</v>
      </c>
      <c r="I126" s="305" t="s">
        <v>775</v>
      </c>
      <c r="J126" s="305" t="s">
        <v>1220</v>
      </c>
      <c r="K126" s="133">
        <v>0</v>
      </c>
      <c r="M126" s="305" t="s">
        <v>159</v>
      </c>
      <c r="N126" s="305" t="s">
        <v>160</v>
      </c>
      <c r="O126" s="305" t="s">
        <v>151</v>
      </c>
      <c r="P126" s="133">
        <v>127</v>
      </c>
      <c r="Q126" s="133">
        <v>653</v>
      </c>
      <c r="U126" s="305" t="s">
        <v>153</v>
      </c>
    </row>
    <row r="127" spans="1:21" x14ac:dyDescent="0.3">
      <c r="A127" s="305" t="s">
        <v>151</v>
      </c>
      <c r="B127" s="305" t="s">
        <v>802</v>
      </c>
      <c r="G127" s="305" t="s">
        <v>1241</v>
      </c>
      <c r="H127" s="305" t="s">
        <v>1242</v>
      </c>
      <c r="I127" s="305" t="s">
        <v>1745</v>
      </c>
      <c r="J127" s="305" t="s">
        <v>1220</v>
      </c>
      <c r="K127" s="133">
        <v>24</v>
      </c>
      <c r="M127" s="305" t="s">
        <v>155</v>
      </c>
      <c r="N127" s="305" t="s">
        <v>156</v>
      </c>
      <c r="O127" s="305" t="s">
        <v>151</v>
      </c>
      <c r="P127" s="133">
        <v>175</v>
      </c>
      <c r="Q127" s="133">
        <v>834</v>
      </c>
      <c r="U127" s="305" t="s">
        <v>159</v>
      </c>
    </row>
    <row r="128" spans="1:21" x14ac:dyDescent="0.3">
      <c r="A128" s="305" t="s">
        <v>151</v>
      </c>
      <c r="B128" s="305" t="s">
        <v>801</v>
      </c>
      <c r="G128" s="305" t="s">
        <v>204</v>
      </c>
      <c r="H128" s="305" t="s">
        <v>203</v>
      </c>
      <c r="I128" s="305" t="s">
        <v>775</v>
      </c>
      <c r="J128" s="305" t="s">
        <v>1220</v>
      </c>
      <c r="K128" s="133"/>
      <c r="M128" s="305" t="s">
        <v>157</v>
      </c>
      <c r="N128" s="305" t="s">
        <v>158</v>
      </c>
      <c r="O128" s="305" t="s">
        <v>151</v>
      </c>
      <c r="P128" s="133">
        <v>0</v>
      </c>
      <c r="Q128" s="133">
        <v>0</v>
      </c>
      <c r="U128" s="305" t="s">
        <v>155</v>
      </c>
    </row>
    <row r="129" spans="1:21" x14ac:dyDescent="0.3">
      <c r="A129" s="305" t="s">
        <v>151</v>
      </c>
      <c r="B129" s="305" t="s">
        <v>160</v>
      </c>
      <c r="G129" s="305" t="s">
        <v>1140</v>
      </c>
      <c r="H129" s="305" t="s">
        <v>1123</v>
      </c>
      <c r="I129" s="305" t="s">
        <v>1745</v>
      </c>
      <c r="J129" s="73">
        <v>42370</v>
      </c>
      <c r="K129" s="133">
        <v>36</v>
      </c>
      <c r="M129" s="305" t="s">
        <v>161</v>
      </c>
      <c r="N129" s="305" t="s">
        <v>162</v>
      </c>
      <c r="O129" s="305" t="s">
        <v>151</v>
      </c>
      <c r="P129" s="133">
        <v>0</v>
      </c>
      <c r="Q129" s="133">
        <v>0</v>
      </c>
      <c r="U129" s="305" t="s">
        <v>157</v>
      </c>
    </row>
    <row r="130" spans="1:21" x14ac:dyDescent="0.3">
      <c r="A130" s="305" t="s">
        <v>151</v>
      </c>
      <c r="B130" s="305" t="s">
        <v>154</v>
      </c>
      <c r="G130" s="305" t="s">
        <v>205</v>
      </c>
      <c r="H130" s="305" t="s">
        <v>390</v>
      </c>
      <c r="I130" s="305" t="s">
        <v>775</v>
      </c>
      <c r="J130" s="305" t="s">
        <v>1220</v>
      </c>
      <c r="K130" s="133"/>
      <c r="M130" s="305" t="s">
        <v>163</v>
      </c>
      <c r="N130" s="305" t="s">
        <v>164</v>
      </c>
      <c r="O130" s="305" t="s">
        <v>151</v>
      </c>
      <c r="P130" s="133">
        <v>0</v>
      </c>
      <c r="Q130" s="133">
        <v>0</v>
      </c>
      <c r="U130" s="305" t="s">
        <v>161</v>
      </c>
    </row>
    <row r="131" spans="1:21" x14ac:dyDescent="0.3">
      <c r="A131" s="305" t="s">
        <v>151</v>
      </c>
      <c r="B131" s="305" t="s">
        <v>156</v>
      </c>
      <c r="G131" s="305" t="s">
        <v>160</v>
      </c>
      <c r="H131" s="305" t="s">
        <v>159</v>
      </c>
      <c r="I131" s="305" t="s">
        <v>1745</v>
      </c>
      <c r="J131" s="73">
        <v>40940</v>
      </c>
      <c r="K131" s="133">
        <v>127</v>
      </c>
      <c r="M131" s="305" t="s">
        <v>360</v>
      </c>
      <c r="N131" s="305" t="s">
        <v>35</v>
      </c>
      <c r="O131" s="305" t="s">
        <v>361</v>
      </c>
      <c r="P131" s="133">
        <v>0</v>
      </c>
      <c r="Q131" s="133">
        <v>0</v>
      </c>
      <c r="U131" s="305" t="s">
        <v>163</v>
      </c>
    </row>
    <row r="132" spans="1:21" x14ac:dyDescent="0.3">
      <c r="A132" s="305" t="s">
        <v>151</v>
      </c>
      <c r="B132" s="305" t="s">
        <v>152</v>
      </c>
      <c r="G132" s="305" t="s">
        <v>938</v>
      </c>
      <c r="H132" s="305" t="s">
        <v>939</v>
      </c>
      <c r="I132" s="305" t="s">
        <v>1745</v>
      </c>
      <c r="J132" s="73">
        <v>41730</v>
      </c>
      <c r="K132" s="133">
        <v>155</v>
      </c>
      <c r="M132" s="305" t="s">
        <v>302</v>
      </c>
      <c r="N132" s="305" t="s">
        <v>303</v>
      </c>
      <c r="O132" s="305" t="s">
        <v>237</v>
      </c>
      <c r="P132" s="133">
        <v>375</v>
      </c>
      <c r="Q132" s="133">
        <v>1691</v>
      </c>
      <c r="U132" s="305" t="s">
        <v>360</v>
      </c>
    </row>
    <row r="133" spans="1:21" x14ac:dyDescent="0.3">
      <c r="A133" s="305" t="s">
        <v>151</v>
      </c>
      <c r="B133" s="305" t="s">
        <v>295</v>
      </c>
      <c r="G133" s="305" t="s">
        <v>154</v>
      </c>
      <c r="H133" s="305" t="s">
        <v>153</v>
      </c>
      <c r="I133" s="305" t="s">
        <v>1745</v>
      </c>
      <c r="J133" s="73">
        <v>40848</v>
      </c>
      <c r="K133" s="133">
        <v>442</v>
      </c>
      <c r="M133" s="305" t="s">
        <v>87</v>
      </c>
      <c r="N133" s="305" t="s">
        <v>88</v>
      </c>
      <c r="O133" s="305" t="s">
        <v>480</v>
      </c>
      <c r="P133" s="133">
        <v>34</v>
      </c>
      <c r="Q133" s="133">
        <v>136</v>
      </c>
      <c r="U133" s="305" t="s">
        <v>302</v>
      </c>
    </row>
    <row r="134" spans="1:21" x14ac:dyDescent="0.3">
      <c r="A134" s="305" t="s">
        <v>151</v>
      </c>
      <c r="B134" s="305" t="s">
        <v>471</v>
      </c>
      <c r="G134" s="305" t="s">
        <v>911</v>
      </c>
      <c r="H134" s="305" t="s">
        <v>912</v>
      </c>
      <c r="I134" s="305" t="s">
        <v>1745</v>
      </c>
      <c r="J134" s="73">
        <v>41791</v>
      </c>
      <c r="K134" s="133">
        <v>151</v>
      </c>
      <c r="M134" s="305" t="s">
        <v>285</v>
      </c>
      <c r="N134" s="305" t="s">
        <v>286</v>
      </c>
      <c r="O134" s="305" t="s">
        <v>180</v>
      </c>
      <c r="P134" s="133">
        <v>26</v>
      </c>
      <c r="Q134" s="133">
        <v>117</v>
      </c>
      <c r="U134" s="305" t="s">
        <v>87</v>
      </c>
    </row>
    <row r="135" spans="1:21" x14ac:dyDescent="0.3">
      <c r="A135" s="305" t="s">
        <v>151</v>
      </c>
      <c r="B135" s="305" t="s">
        <v>162</v>
      </c>
      <c r="G135" s="305" t="s">
        <v>156</v>
      </c>
      <c r="H135" s="305" t="s">
        <v>155</v>
      </c>
      <c r="I135" s="305" t="s">
        <v>1745</v>
      </c>
      <c r="J135" s="305" t="s">
        <v>1220</v>
      </c>
      <c r="K135" s="133">
        <v>175</v>
      </c>
      <c r="M135" s="305" t="s">
        <v>9</v>
      </c>
      <c r="N135" s="305" t="s">
        <v>10</v>
      </c>
      <c r="O135" s="305" t="s">
        <v>5</v>
      </c>
      <c r="P135" s="133">
        <v>0</v>
      </c>
      <c r="Q135" s="133">
        <v>0</v>
      </c>
      <c r="U135" s="305" t="s">
        <v>285</v>
      </c>
    </row>
    <row r="136" spans="1:21" x14ac:dyDescent="0.3">
      <c r="A136" s="305" t="s">
        <v>151</v>
      </c>
      <c r="B136" s="305" t="s">
        <v>791</v>
      </c>
      <c r="G136" s="305" t="s">
        <v>331</v>
      </c>
      <c r="H136" s="305" t="s">
        <v>330</v>
      </c>
      <c r="I136" s="305" t="s">
        <v>775</v>
      </c>
      <c r="J136" s="305" t="s">
        <v>1220</v>
      </c>
      <c r="K136" s="133">
        <v>0</v>
      </c>
      <c r="M136" s="305" t="s">
        <v>352</v>
      </c>
      <c r="N136" s="305" t="s">
        <v>353</v>
      </c>
      <c r="O136" s="305" t="s">
        <v>309</v>
      </c>
      <c r="P136" s="133">
        <v>82</v>
      </c>
      <c r="Q136" s="133">
        <v>518</v>
      </c>
      <c r="U136" s="305" t="s">
        <v>9</v>
      </c>
    </row>
    <row r="137" spans="1:21" x14ac:dyDescent="0.3">
      <c r="A137" s="305" t="s">
        <v>151</v>
      </c>
      <c r="B137" s="305" t="s">
        <v>792</v>
      </c>
      <c r="G137" s="305" t="s">
        <v>207</v>
      </c>
      <c r="H137" s="305" t="s">
        <v>206</v>
      </c>
      <c r="I137" s="305" t="s">
        <v>775</v>
      </c>
      <c r="J137" s="73">
        <v>40817</v>
      </c>
      <c r="K137" s="133"/>
      <c r="M137" s="305" t="s">
        <v>271</v>
      </c>
      <c r="N137" s="305" t="s">
        <v>272</v>
      </c>
      <c r="O137" s="305" t="s">
        <v>237</v>
      </c>
      <c r="P137" s="133">
        <v>138</v>
      </c>
      <c r="Q137" s="133">
        <v>803</v>
      </c>
      <c r="U137" s="305" t="s">
        <v>352</v>
      </c>
    </row>
    <row r="138" spans="1:21" x14ac:dyDescent="0.3">
      <c r="A138" s="305" t="s">
        <v>151</v>
      </c>
      <c r="B138" s="305" t="s">
        <v>164</v>
      </c>
      <c r="G138" s="305" t="s">
        <v>167</v>
      </c>
      <c r="H138" s="305" t="s">
        <v>165</v>
      </c>
      <c r="I138" s="305" t="s">
        <v>1745</v>
      </c>
      <c r="J138" s="73">
        <v>41000</v>
      </c>
      <c r="K138" s="133">
        <v>33</v>
      </c>
      <c r="M138" s="305" t="s">
        <v>11</v>
      </c>
      <c r="N138" s="305" t="s">
        <v>12</v>
      </c>
      <c r="O138" s="305" t="s">
        <v>5</v>
      </c>
      <c r="P138" s="133">
        <v>190</v>
      </c>
      <c r="Q138" s="133">
        <v>928</v>
      </c>
      <c r="U138" s="305" t="s">
        <v>271</v>
      </c>
    </row>
    <row r="139" spans="1:21" x14ac:dyDescent="0.3">
      <c r="A139" s="305" t="s">
        <v>151</v>
      </c>
      <c r="B139" s="305" t="s">
        <v>813</v>
      </c>
      <c r="G139" s="305" t="s">
        <v>760</v>
      </c>
      <c r="H139" s="305" t="s">
        <v>761</v>
      </c>
      <c r="I139" s="305" t="s">
        <v>1745</v>
      </c>
      <c r="J139" s="73">
        <v>41030</v>
      </c>
      <c r="K139" s="133">
        <v>29</v>
      </c>
      <c r="M139" s="305" t="s">
        <v>91</v>
      </c>
      <c r="N139" s="305" t="s">
        <v>92</v>
      </c>
      <c r="O139" s="305" t="s">
        <v>480</v>
      </c>
      <c r="P139" s="133">
        <v>11</v>
      </c>
      <c r="Q139" s="133">
        <v>55</v>
      </c>
      <c r="U139" s="305" t="s">
        <v>11</v>
      </c>
    </row>
    <row r="140" spans="1:21" x14ac:dyDescent="0.3">
      <c r="A140" s="305" t="s">
        <v>151</v>
      </c>
      <c r="B140" s="305" t="s">
        <v>847</v>
      </c>
      <c r="G140" s="305" t="s">
        <v>152</v>
      </c>
      <c r="H140" s="305" t="s">
        <v>150</v>
      </c>
      <c r="I140" s="305" t="s">
        <v>1745</v>
      </c>
      <c r="J140" s="73">
        <v>41579</v>
      </c>
      <c r="K140" s="133">
        <v>189</v>
      </c>
      <c r="M140" s="305" t="s">
        <v>119</v>
      </c>
      <c r="N140" s="305" t="s">
        <v>120</v>
      </c>
      <c r="O140" s="305" t="s">
        <v>480</v>
      </c>
      <c r="P140" s="133">
        <v>68</v>
      </c>
      <c r="Q140" s="133">
        <v>336</v>
      </c>
      <c r="U140" s="305" t="s">
        <v>91</v>
      </c>
    </row>
    <row r="141" spans="1:21" x14ac:dyDescent="0.3">
      <c r="A141" s="305" t="s">
        <v>151</v>
      </c>
      <c r="B141" s="305" t="s">
        <v>888</v>
      </c>
      <c r="G141" s="305" t="s">
        <v>54</v>
      </c>
      <c r="H141" s="305" t="s">
        <v>53</v>
      </c>
      <c r="I141" s="305" t="s">
        <v>775</v>
      </c>
      <c r="J141" s="305" t="s">
        <v>1220</v>
      </c>
      <c r="K141" s="133">
        <v>0</v>
      </c>
      <c r="M141" s="305" t="s">
        <v>51</v>
      </c>
      <c r="N141" s="305" t="s">
        <v>52</v>
      </c>
      <c r="O141" s="305" t="s">
        <v>480</v>
      </c>
      <c r="P141" s="133">
        <v>36</v>
      </c>
      <c r="Q141" s="133">
        <v>226</v>
      </c>
      <c r="U141" s="305" t="s">
        <v>119</v>
      </c>
    </row>
    <row r="142" spans="1:21" x14ac:dyDescent="0.3">
      <c r="A142" s="305" t="s">
        <v>151</v>
      </c>
      <c r="B142" s="305" t="s">
        <v>911</v>
      </c>
      <c r="G142" s="305" t="s">
        <v>66</v>
      </c>
      <c r="H142" s="305" t="s">
        <v>65</v>
      </c>
      <c r="I142" s="305" t="s">
        <v>775</v>
      </c>
      <c r="J142" s="305" t="s">
        <v>1220</v>
      </c>
      <c r="K142" s="133">
        <v>0</v>
      </c>
      <c r="M142" s="305" t="s">
        <v>47</v>
      </c>
      <c r="N142" s="305" t="s">
        <v>48</v>
      </c>
      <c r="O142" s="305" t="s">
        <v>480</v>
      </c>
      <c r="P142" s="133"/>
      <c r="Q142" s="133"/>
      <c r="U142" s="305" t="s">
        <v>51</v>
      </c>
    </row>
    <row r="143" spans="1:21" x14ac:dyDescent="0.3">
      <c r="A143" s="305" t="s">
        <v>151</v>
      </c>
      <c r="B143" s="305" t="s">
        <v>938</v>
      </c>
      <c r="G143" s="305" t="s">
        <v>80</v>
      </c>
      <c r="H143" s="305" t="s">
        <v>79</v>
      </c>
      <c r="I143" s="305" t="s">
        <v>775</v>
      </c>
      <c r="J143" s="305" t="s">
        <v>1220</v>
      </c>
      <c r="K143" s="133">
        <v>0</v>
      </c>
      <c r="M143" s="305" t="s">
        <v>127</v>
      </c>
      <c r="N143" s="305" t="s">
        <v>128</v>
      </c>
      <c r="O143" s="305" t="s">
        <v>480</v>
      </c>
      <c r="P143" s="133">
        <v>0</v>
      </c>
      <c r="Q143" s="133">
        <v>0</v>
      </c>
      <c r="U143" s="305" t="s">
        <v>47</v>
      </c>
    </row>
    <row r="144" spans="1:21" x14ac:dyDescent="0.3">
      <c r="A144" s="305" t="s">
        <v>166</v>
      </c>
      <c r="B144" s="305" t="s">
        <v>167</v>
      </c>
      <c r="G144" s="305" t="s">
        <v>102</v>
      </c>
      <c r="H144" s="305" t="s">
        <v>101</v>
      </c>
      <c r="I144" s="305" t="s">
        <v>775</v>
      </c>
      <c r="J144" s="305" t="s">
        <v>1220</v>
      </c>
      <c r="K144" s="133">
        <v>0</v>
      </c>
      <c r="M144" s="305" t="s">
        <v>59</v>
      </c>
      <c r="N144" s="305" t="s">
        <v>60</v>
      </c>
      <c r="O144" s="305" t="s">
        <v>480</v>
      </c>
      <c r="P144" s="133"/>
      <c r="Q144" s="133"/>
      <c r="U144" s="305" t="s">
        <v>127</v>
      </c>
    </row>
    <row r="145" spans="1:21" x14ac:dyDescent="0.3">
      <c r="A145" s="305" t="s">
        <v>166</v>
      </c>
      <c r="B145" s="305" t="s">
        <v>760</v>
      </c>
      <c r="G145" s="305" t="s">
        <v>106</v>
      </c>
      <c r="H145" s="305" t="s">
        <v>105</v>
      </c>
      <c r="I145" s="305" t="s">
        <v>775</v>
      </c>
      <c r="J145" s="305" t="s">
        <v>1220</v>
      </c>
      <c r="K145" s="133">
        <v>0</v>
      </c>
      <c r="M145" s="305" t="s">
        <v>38</v>
      </c>
      <c r="N145" s="305" t="s">
        <v>39</v>
      </c>
      <c r="O145" s="305" t="s">
        <v>480</v>
      </c>
      <c r="P145" s="133"/>
      <c r="Q145" s="133"/>
      <c r="U145" s="305" t="s">
        <v>59</v>
      </c>
    </row>
    <row r="146" spans="1:21" x14ac:dyDescent="0.3">
      <c r="A146" s="305" t="s">
        <v>166</v>
      </c>
      <c r="B146" s="305" t="s">
        <v>1140</v>
      </c>
      <c r="G146" s="305" t="s">
        <v>116</v>
      </c>
      <c r="H146" s="305" t="s">
        <v>115</v>
      </c>
      <c r="I146" s="305" t="s">
        <v>775</v>
      </c>
      <c r="J146" s="305" t="s">
        <v>1220</v>
      </c>
      <c r="K146" s="133">
        <v>0</v>
      </c>
      <c r="M146" s="305" t="s">
        <v>75</v>
      </c>
      <c r="N146" s="305" t="s">
        <v>76</v>
      </c>
      <c r="O146" s="305" t="s">
        <v>480</v>
      </c>
      <c r="P146" s="133">
        <v>70</v>
      </c>
      <c r="Q146" s="133">
        <v>377</v>
      </c>
      <c r="U146" s="305" t="s">
        <v>38</v>
      </c>
    </row>
    <row r="147" spans="1:21" x14ac:dyDescent="0.3">
      <c r="A147" s="305" t="s">
        <v>173</v>
      </c>
      <c r="B147" s="305" t="s">
        <v>174</v>
      </c>
      <c r="G147" s="305" t="s">
        <v>130</v>
      </c>
      <c r="H147" s="305" t="s">
        <v>129</v>
      </c>
      <c r="I147" s="305" t="s">
        <v>775</v>
      </c>
      <c r="J147" s="305" t="s">
        <v>1220</v>
      </c>
      <c r="K147" s="133">
        <v>0</v>
      </c>
      <c r="M147" s="305" t="s">
        <v>73</v>
      </c>
      <c r="N147" s="305" t="s">
        <v>74</v>
      </c>
      <c r="O147" s="305" t="s">
        <v>480</v>
      </c>
      <c r="P147" s="133"/>
      <c r="Q147" s="133"/>
      <c r="U147" s="305" t="s">
        <v>75</v>
      </c>
    </row>
    <row r="148" spans="1:21" x14ac:dyDescent="0.3">
      <c r="A148" s="305" t="s">
        <v>173</v>
      </c>
      <c r="B148" s="305" t="s">
        <v>178</v>
      </c>
      <c r="G148" s="305" t="s">
        <v>138</v>
      </c>
      <c r="H148" s="305" t="s">
        <v>137</v>
      </c>
      <c r="I148" s="305" t="s">
        <v>775</v>
      </c>
      <c r="J148" s="305" t="s">
        <v>1220</v>
      </c>
      <c r="K148" s="133">
        <v>0</v>
      </c>
      <c r="M148" s="305" t="s">
        <v>40</v>
      </c>
      <c r="N148" s="305" t="s">
        <v>41</v>
      </c>
      <c r="O148" s="305" t="s">
        <v>480</v>
      </c>
      <c r="P148" s="133">
        <v>70</v>
      </c>
      <c r="Q148" s="133">
        <v>374</v>
      </c>
      <c r="U148" s="305" t="s">
        <v>73</v>
      </c>
    </row>
    <row r="149" spans="1:21" x14ac:dyDescent="0.3">
      <c r="A149" s="305" t="s">
        <v>173</v>
      </c>
      <c r="B149" s="305" t="s">
        <v>1063</v>
      </c>
      <c r="G149" s="305" t="s">
        <v>262</v>
      </c>
      <c r="H149" s="305" t="s">
        <v>261</v>
      </c>
      <c r="I149" s="305" t="s">
        <v>1745</v>
      </c>
      <c r="J149" s="73">
        <v>40817</v>
      </c>
      <c r="K149" s="133">
        <v>22</v>
      </c>
      <c r="M149" s="305" t="s">
        <v>141</v>
      </c>
      <c r="N149" s="305" t="s">
        <v>142</v>
      </c>
      <c r="O149" s="305" t="s">
        <v>480</v>
      </c>
      <c r="P149" s="133">
        <v>0</v>
      </c>
      <c r="Q149" s="133">
        <v>0</v>
      </c>
      <c r="U149" s="305" t="s">
        <v>40</v>
      </c>
    </row>
    <row r="150" spans="1:21" x14ac:dyDescent="0.3">
      <c r="A150" s="305" t="s">
        <v>173</v>
      </c>
      <c r="B150" s="305" t="s">
        <v>1062</v>
      </c>
      <c r="G150" s="305" t="s">
        <v>264</v>
      </c>
      <c r="H150" s="305" t="s">
        <v>263</v>
      </c>
      <c r="I150" s="305" t="s">
        <v>1745</v>
      </c>
      <c r="J150" s="73">
        <v>40817</v>
      </c>
      <c r="K150" s="133">
        <v>21</v>
      </c>
      <c r="M150" s="305" t="s">
        <v>97</v>
      </c>
      <c r="N150" s="305" t="s">
        <v>98</v>
      </c>
      <c r="O150" s="305" t="s">
        <v>480</v>
      </c>
      <c r="P150" s="133">
        <v>0</v>
      </c>
      <c r="Q150" s="133">
        <v>0</v>
      </c>
      <c r="U150" s="305" t="s">
        <v>141</v>
      </c>
    </row>
    <row r="151" spans="1:21" x14ac:dyDescent="0.3">
      <c r="A151" s="305" t="s">
        <v>173</v>
      </c>
      <c r="B151" s="305" t="s">
        <v>1054</v>
      </c>
      <c r="G151" s="305" t="s">
        <v>136</v>
      </c>
      <c r="H151" s="305" t="s">
        <v>135</v>
      </c>
      <c r="I151" s="305" t="s">
        <v>775</v>
      </c>
      <c r="J151" s="305" t="s">
        <v>1220</v>
      </c>
      <c r="K151" s="133">
        <v>0</v>
      </c>
      <c r="M151" s="305" t="s">
        <v>61</v>
      </c>
      <c r="N151" s="305" t="s">
        <v>62</v>
      </c>
      <c r="O151" s="305" t="s">
        <v>480</v>
      </c>
      <c r="P151" s="133"/>
      <c r="Q151" s="133"/>
      <c r="U151" s="305" t="s">
        <v>97</v>
      </c>
    </row>
    <row r="152" spans="1:21" x14ac:dyDescent="0.3">
      <c r="A152" s="305" t="s">
        <v>173</v>
      </c>
      <c r="B152" s="305" t="s">
        <v>1489</v>
      </c>
      <c r="G152" s="305" t="s">
        <v>68</v>
      </c>
      <c r="H152" s="305" t="s">
        <v>67</v>
      </c>
      <c r="I152" s="305" t="s">
        <v>775</v>
      </c>
      <c r="J152" s="305" t="s">
        <v>1220</v>
      </c>
      <c r="K152" s="133">
        <v>0</v>
      </c>
      <c r="M152" s="305" t="s">
        <v>77</v>
      </c>
      <c r="N152" s="305" t="s">
        <v>78</v>
      </c>
      <c r="O152" s="305" t="s">
        <v>480</v>
      </c>
      <c r="P152" s="133"/>
      <c r="Q152" s="133"/>
      <c r="U152" s="305" t="s">
        <v>61</v>
      </c>
    </row>
    <row r="153" spans="1:21" x14ac:dyDescent="0.3">
      <c r="A153" s="305" t="s">
        <v>173</v>
      </c>
      <c r="B153" s="305" t="s">
        <v>1520</v>
      </c>
      <c r="G153" s="305" t="s">
        <v>84</v>
      </c>
      <c r="H153" s="305" t="s">
        <v>83</v>
      </c>
      <c r="I153" s="305" t="s">
        <v>775</v>
      </c>
      <c r="J153" s="305" t="s">
        <v>1220</v>
      </c>
      <c r="K153" s="133">
        <v>0</v>
      </c>
      <c r="M153" s="305" t="s">
        <v>89</v>
      </c>
      <c r="N153" s="305" t="s">
        <v>90</v>
      </c>
      <c r="O153" s="305" t="s">
        <v>480</v>
      </c>
      <c r="P153" s="133">
        <v>18</v>
      </c>
      <c r="Q153" s="133">
        <v>102</v>
      </c>
      <c r="U153" s="305" t="s">
        <v>77</v>
      </c>
    </row>
    <row r="154" spans="1:21" x14ac:dyDescent="0.3">
      <c r="A154" s="305" t="s">
        <v>173</v>
      </c>
      <c r="B154" s="305" t="s">
        <v>1664</v>
      </c>
      <c r="G154" s="305" t="s">
        <v>86</v>
      </c>
      <c r="H154" s="305" t="s">
        <v>85</v>
      </c>
      <c r="I154" s="305" t="s">
        <v>775</v>
      </c>
      <c r="J154" s="305" t="s">
        <v>1220</v>
      </c>
      <c r="K154" s="133">
        <v>0</v>
      </c>
      <c r="M154" s="305" t="s">
        <v>117</v>
      </c>
      <c r="N154" s="305" t="s">
        <v>118</v>
      </c>
      <c r="O154" s="305" t="s">
        <v>480</v>
      </c>
      <c r="P154" s="133">
        <v>10</v>
      </c>
      <c r="Q154" s="133">
        <v>38</v>
      </c>
      <c r="U154" s="305" t="s">
        <v>89</v>
      </c>
    </row>
    <row r="155" spans="1:21" x14ac:dyDescent="0.3">
      <c r="A155" s="305" t="s">
        <v>173</v>
      </c>
      <c r="B155" s="305" t="s">
        <v>1665</v>
      </c>
      <c r="G155" s="305" t="s">
        <v>100</v>
      </c>
      <c r="H155" s="305" t="s">
        <v>99</v>
      </c>
      <c r="I155" s="305" t="s">
        <v>1745</v>
      </c>
      <c r="J155" s="73">
        <v>41122</v>
      </c>
      <c r="K155" s="133">
        <v>4</v>
      </c>
      <c r="M155" s="305" t="s">
        <v>123</v>
      </c>
      <c r="N155" s="305" t="s">
        <v>124</v>
      </c>
      <c r="O155" s="305" t="s">
        <v>480</v>
      </c>
      <c r="P155" s="133">
        <v>8</v>
      </c>
      <c r="Q155" s="133">
        <v>32</v>
      </c>
      <c r="U155" s="305" t="s">
        <v>117</v>
      </c>
    </row>
    <row r="156" spans="1:21" x14ac:dyDescent="0.3">
      <c r="A156" s="305" t="s">
        <v>173</v>
      </c>
      <c r="B156" s="305" t="s">
        <v>1668</v>
      </c>
      <c r="G156" s="305" t="s">
        <v>104</v>
      </c>
      <c r="H156" s="305" t="s">
        <v>103</v>
      </c>
      <c r="I156" s="305" t="s">
        <v>775</v>
      </c>
      <c r="J156" s="305" t="s">
        <v>1220</v>
      </c>
      <c r="K156" s="133">
        <v>0</v>
      </c>
      <c r="M156" s="305" t="s">
        <v>125</v>
      </c>
      <c r="N156" s="305" t="s">
        <v>126</v>
      </c>
      <c r="O156" s="305" t="s">
        <v>480</v>
      </c>
      <c r="P156" s="133">
        <v>32</v>
      </c>
      <c r="Q156" s="133">
        <v>173</v>
      </c>
      <c r="U156" s="305" t="s">
        <v>123</v>
      </c>
    </row>
    <row r="157" spans="1:21" x14ac:dyDescent="0.3">
      <c r="A157" s="305" t="s">
        <v>173</v>
      </c>
      <c r="B157" s="305" t="s">
        <v>1733</v>
      </c>
      <c r="G157" s="305" t="s">
        <v>98</v>
      </c>
      <c r="H157" s="305" t="s">
        <v>97</v>
      </c>
      <c r="I157" s="305" t="s">
        <v>775</v>
      </c>
      <c r="J157" s="305" t="s">
        <v>1220</v>
      </c>
      <c r="K157" s="133">
        <v>0</v>
      </c>
      <c r="M157" s="305" t="s">
        <v>63</v>
      </c>
      <c r="N157" s="305" t="s">
        <v>64</v>
      </c>
      <c r="O157" s="305" t="s">
        <v>480</v>
      </c>
      <c r="P157" s="133"/>
      <c r="Q157" s="133"/>
      <c r="U157" s="305" t="s">
        <v>125</v>
      </c>
    </row>
    <row r="158" spans="1:21" x14ac:dyDescent="0.3">
      <c r="A158" s="305" t="s">
        <v>180</v>
      </c>
      <c r="B158" s="305" t="s">
        <v>183</v>
      </c>
      <c r="G158" s="305" t="s">
        <v>1617</v>
      </c>
      <c r="H158" s="305" t="s">
        <v>383</v>
      </c>
      <c r="I158" s="305" t="s">
        <v>1745</v>
      </c>
      <c r="J158" s="73">
        <v>41275</v>
      </c>
      <c r="K158" s="133">
        <v>76</v>
      </c>
      <c r="M158" s="305" t="s">
        <v>81</v>
      </c>
      <c r="N158" s="305" t="s">
        <v>82</v>
      </c>
      <c r="O158" s="305" t="s">
        <v>480</v>
      </c>
      <c r="P158" s="133"/>
      <c r="Q158" s="133"/>
      <c r="U158" s="305" t="s">
        <v>63</v>
      </c>
    </row>
    <row r="159" spans="1:21" x14ac:dyDescent="0.3">
      <c r="A159" s="305" t="s">
        <v>180</v>
      </c>
      <c r="B159" s="305" t="s">
        <v>286</v>
      </c>
      <c r="G159" s="305" t="s">
        <v>985</v>
      </c>
      <c r="H159" s="305" t="s">
        <v>987</v>
      </c>
      <c r="I159" s="305" t="s">
        <v>1745</v>
      </c>
      <c r="J159" s="73">
        <v>41275</v>
      </c>
      <c r="K159" s="133">
        <v>14</v>
      </c>
      <c r="M159" s="305" t="s">
        <v>57</v>
      </c>
      <c r="N159" s="305" t="s">
        <v>58</v>
      </c>
      <c r="O159" s="305" t="s">
        <v>480</v>
      </c>
      <c r="P159" s="133"/>
      <c r="Q159" s="133"/>
      <c r="U159" s="305" t="s">
        <v>81</v>
      </c>
    </row>
    <row r="160" spans="1:21" x14ac:dyDescent="0.3">
      <c r="A160" s="305" t="s">
        <v>180</v>
      </c>
      <c r="B160" s="305" t="s">
        <v>181</v>
      </c>
      <c r="G160" s="305" t="s">
        <v>1033</v>
      </c>
      <c r="H160" s="305" t="s">
        <v>357</v>
      </c>
      <c r="I160" s="305" t="s">
        <v>775</v>
      </c>
      <c r="J160" s="305" t="s">
        <v>1220</v>
      </c>
      <c r="K160" s="133"/>
      <c r="M160" s="305" t="s">
        <v>55</v>
      </c>
      <c r="N160" s="305" t="s">
        <v>56</v>
      </c>
      <c r="O160" s="305" t="s">
        <v>480</v>
      </c>
      <c r="P160" s="133">
        <v>0</v>
      </c>
      <c r="Q160" s="133">
        <v>0</v>
      </c>
      <c r="U160" s="305" t="s">
        <v>57</v>
      </c>
    </row>
    <row r="161" spans="1:21" x14ac:dyDescent="0.3">
      <c r="A161" s="305" t="s">
        <v>180</v>
      </c>
      <c r="B161" s="305" t="s">
        <v>984</v>
      </c>
      <c r="G161" s="305" t="s">
        <v>209</v>
      </c>
      <c r="H161" s="305" t="s">
        <v>208</v>
      </c>
      <c r="I161" s="305" t="s">
        <v>1745</v>
      </c>
      <c r="J161" s="73">
        <v>40695</v>
      </c>
      <c r="K161" s="133">
        <v>427</v>
      </c>
      <c r="M161" s="305" t="s">
        <v>42</v>
      </c>
      <c r="N161" s="305" t="s">
        <v>43</v>
      </c>
      <c r="O161" s="305" t="s">
        <v>480</v>
      </c>
      <c r="P161" s="133">
        <v>14</v>
      </c>
      <c r="Q161" s="133">
        <v>83</v>
      </c>
      <c r="U161" s="305" t="s">
        <v>55</v>
      </c>
    </row>
    <row r="162" spans="1:21" x14ac:dyDescent="0.3">
      <c r="A162" s="305" t="s">
        <v>180</v>
      </c>
      <c r="B162" s="305" t="s">
        <v>985</v>
      </c>
      <c r="G162" s="305" t="s">
        <v>211</v>
      </c>
      <c r="H162" s="305" t="s">
        <v>210</v>
      </c>
      <c r="I162" s="305" t="s">
        <v>775</v>
      </c>
      <c r="J162" s="73">
        <v>40756</v>
      </c>
      <c r="K162" s="133"/>
      <c r="M162" s="305" t="s">
        <v>45</v>
      </c>
      <c r="N162" s="305" t="s">
        <v>44</v>
      </c>
      <c r="O162" s="305" t="s">
        <v>480</v>
      </c>
      <c r="P162" s="133">
        <v>2</v>
      </c>
      <c r="Q162" s="133">
        <v>14</v>
      </c>
      <c r="U162" s="305" t="s">
        <v>42</v>
      </c>
    </row>
    <row r="163" spans="1:21" x14ac:dyDescent="0.3">
      <c r="A163" s="305" t="s">
        <v>185</v>
      </c>
      <c r="B163" s="305" t="s">
        <v>192</v>
      </c>
      <c r="G163" s="305" t="s">
        <v>1208</v>
      </c>
      <c r="H163" s="305" t="s">
        <v>1175</v>
      </c>
      <c r="I163" s="305" t="s">
        <v>775</v>
      </c>
      <c r="J163" s="305" t="s">
        <v>1220</v>
      </c>
      <c r="K163" s="133"/>
      <c r="M163" s="305" t="s">
        <v>46</v>
      </c>
      <c r="N163" s="305" t="s">
        <v>551</v>
      </c>
      <c r="O163" s="305" t="s">
        <v>480</v>
      </c>
      <c r="P163" s="133">
        <v>11</v>
      </c>
      <c r="Q163" s="133">
        <v>43</v>
      </c>
      <c r="U163" s="305" t="s">
        <v>45</v>
      </c>
    </row>
    <row r="164" spans="1:21" x14ac:dyDescent="0.3">
      <c r="A164" s="305" t="s">
        <v>185</v>
      </c>
      <c r="B164" s="305" t="s">
        <v>12</v>
      </c>
      <c r="G164" s="305" t="s">
        <v>1130</v>
      </c>
      <c r="H164" s="305" t="s">
        <v>1125</v>
      </c>
      <c r="I164" s="305" t="s">
        <v>1745</v>
      </c>
      <c r="J164" s="73">
        <v>42430</v>
      </c>
      <c r="K164" s="133">
        <v>62</v>
      </c>
      <c r="M164" s="305" t="s">
        <v>374</v>
      </c>
      <c r="N164" s="305" t="s">
        <v>364</v>
      </c>
      <c r="O164" s="305" t="s">
        <v>5</v>
      </c>
      <c r="P164" s="133">
        <v>148</v>
      </c>
      <c r="Q164" s="133">
        <v>747</v>
      </c>
      <c r="U164" s="305" t="s">
        <v>46</v>
      </c>
    </row>
    <row r="165" spans="1:21" x14ac:dyDescent="0.3">
      <c r="A165" s="305" t="s">
        <v>185</v>
      </c>
      <c r="B165" s="305" t="s">
        <v>194</v>
      </c>
      <c r="G165" s="305" t="s">
        <v>1129</v>
      </c>
      <c r="H165" s="305" t="s">
        <v>1124</v>
      </c>
      <c r="I165" s="305" t="s">
        <v>775</v>
      </c>
      <c r="J165" s="73">
        <v>42401</v>
      </c>
      <c r="K165" s="133"/>
      <c r="M165" s="305" t="s">
        <v>375</v>
      </c>
      <c r="N165" s="305" t="s">
        <v>465</v>
      </c>
      <c r="O165" s="305" t="s">
        <v>5</v>
      </c>
      <c r="P165" s="133">
        <v>12</v>
      </c>
      <c r="Q165" s="133">
        <v>51</v>
      </c>
      <c r="U165" s="305" t="s">
        <v>374</v>
      </c>
    </row>
    <row r="166" spans="1:21" x14ac:dyDescent="0.3">
      <c r="A166" s="305" t="s">
        <v>185</v>
      </c>
      <c r="B166" s="305" t="s">
        <v>196</v>
      </c>
      <c r="G166" s="305" t="s">
        <v>233</v>
      </c>
      <c r="H166" s="305" t="s">
        <v>232</v>
      </c>
      <c r="I166" s="305" t="s">
        <v>775</v>
      </c>
      <c r="J166" s="73">
        <v>41091</v>
      </c>
      <c r="K166" s="133"/>
      <c r="M166" s="305" t="s">
        <v>376</v>
      </c>
      <c r="N166" s="305" t="s">
        <v>363</v>
      </c>
      <c r="O166" s="305" t="s">
        <v>27</v>
      </c>
      <c r="P166" s="133">
        <v>204</v>
      </c>
      <c r="Q166" s="133">
        <v>837</v>
      </c>
      <c r="U166" s="305" t="s">
        <v>375</v>
      </c>
    </row>
    <row r="167" spans="1:21" x14ac:dyDescent="0.3">
      <c r="A167" s="305" t="s">
        <v>185</v>
      </c>
      <c r="B167" s="305" t="s">
        <v>474</v>
      </c>
      <c r="G167" s="305" t="s">
        <v>235</v>
      </c>
      <c r="H167" s="305" t="s">
        <v>234</v>
      </c>
      <c r="I167" s="305" t="s">
        <v>775</v>
      </c>
      <c r="J167" s="305" t="s">
        <v>1220</v>
      </c>
      <c r="K167" s="133"/>
      <c r="M167" s="305" t="s">
        <v>388</v>
      </c>
      <c r="N167" s="305" t="s">
        <v>12</v>
      </c>
      <c r="O167" s="305" t="s">
        <v>151</v>
      </c>
      <c r="P167" s="133">
        <v>80</v>
      </c>
      <c r="Q167" s="133">
        <v>290</v>
      </c>
      <c r="U167" s="305" t="s">
        <v>376</v>
      </c>
    </row>
    <row r="168" spans="1:21" x14ac:dyDescent="0.3">
      <c r="A168" s="305" t="s">
        <v>185</v>
      </c>
      <c r="B168" s="305" t="s">
        <v>186</v>
      </c>
      <c r="G168" s="305" t="s">
        <v>295</v>
      </c>
      <c r="H168" s="305" t="s">
        <v>1132</v>
      </c>
      <c r="I168" s="305" t="s">
        <v>775</v>
      </c>
      <c r="J168" s="305" t="s">
        <v>1220</v>
      </c>
      <c r="K168" s="133"/>
      <c r="M168" s="305" t="s">
        <v>389</v>
      </c>
      <c r="N168" s="305" t="s">
        <v>12</v>
      </c>
      <c r="O168" s="305" t="s">
        <v>185</v>
      </c>
      <c r="P168" s="133">
        <v>223</v>
      </c>
      <c r="Q168" s="133">
        <v>1067</v>
      </c>
      <c r="U168" s="305" t="s">
        <v>388</v>
      </c>
    </row>
    <row r="169" spans="1:21" x14ac:dyDescent="0.3">
      <c r="A169" s="305" t="s">
        <v>185</v>
      </c>
      <c r="B169" s="305" t="s">
        <v>223</v>
      </c>
      <c r="G169" s="305" t="s">
        <v>471</v>
      </c>
      <c r="H169" s="305" t="s">
        <v>472</v>
      </c>
      <c r="I169" s="305" t="s">
        <v>775</v>
      </c>
      <c r="J169" s="73">
        <v>41091</v>
      </c>
      <c r="K169" s="133">
        <v>0</v>
      </c>
      <c r="M169" s="305" t="s">
        <v>390</v>
      </c>
      <c r="N169" s="305" t="s">
        <v>205</v>
      </c>
      <c r="O169" s="305" t="s">
        <v>185</v>
      </c>
      <c r="P169" s="133"/>
      <c r="Q169" s="133"/>
      <c r="U169" s="305" t="s">
        <v>389</v>
      </c>
    </row>
    <row r="170" spans="1:21" x14ac:dyDescent="0.3">
      <c r="A170" s="305" t="s">
        <v>185</v>
      </c>
      <c r="B170" s="305" t="s">
        <v>190</v>
      </c>
      <c r="G170" s="305" t="s">
        <v>1146</v>
      </c>
      <c r="H170" s="305" t="s">
        <v>1128</v>
      </c>
      <c r="I170" s="305" t="s">
        <v>1745</v>
      </c>
      <c r="J170" s="73">
        <v>42401</v>
      </c>
      <c r="K170" s="133">
        <v>30</v>
      </c>
      <c r="M170" s="305" t="s">
        <v>391</v>
      </c>
      <c r="N170" s="305" t="s">
        <v>12</v>
      </c>
      <c r="O170" s="305" t="s">
        <v>301</v>
      </c>
      <c r="P170" s="133"/>
      <c r="Q170" s="133"/>
      <c r="U170" s="305" t="s">
        <v>390</v>
      </c>
    </row>
    <row r="171" spans="1:21" x14ac:dyDescent="0.3">
      <c r="A171" s="305" t="s">
        <v>185</v>
      </c>
      <c r="B171" s="305" t="s">
        <v>200</v>
      </c>
      <c r="G171" s="305" t="s">
        <v>369</v>
      </c>
      <c r="H171" s="305" t="s">
        <v>147</v>
      </c>
      <c r="I171" s="305" t="s">
        <v>1745</v>
      </c>
      <c r="J171" s="73">
        <v>40787</v>
      </c>
      <c r="K171" s="133">
        <v>41</v>
      </c>
      <c r="M171" s="305" t="s">
        <v>475</v>
      </c>
      <c r="N171" s="305" t="s">
        <v>474</v>
      </c>
      <c r="O171" s="305" t="s">
        <v>185</v>
      </c>
      <c r="P171" s="133">
        <v>3</v>
      </c>
      <c r="Q171" s="133">
        <v>18</v>
      </c>
      <c r="U171" s="305" t="s">
        <v>391</v>
      </c>
    </row>
    <row r="172" spans="1:21" x14ac:dyDescent="0.3">
      <c r="A172" s="305" t="s">
        <v>185</v>
      </c>
      <c r="B172" s="305" t="s">
        <v>202</v>
      </c>
      <c r="G172" s="305" t="s">
        <v>943</v>
      </c>
      <c r="H172" s="305" t="s">
        <v>942</v>
      </c>
      <c r="I172" s="305" t="s">
        <v>1745</v>
      </c>
      <c r="J172" s="73">
        <v>40787</v>
      </c>
      <c r="K172" s="133">
        <v>22</v>
      </c>
      <c r="M172" s="305" t="s">
        <v>468</v>
      </c>
      <c r="N172" s="305" t="s">
        <v>467</v>
      </c>
      <c r="O172" s="305" t="s">
        <v>480</v>
      </c>
      <c r="P172" s="133">
        <v>0</v>
      </c>
      <c r="Q172" s="133">
        <v>0</v>
      </c>
      <c r="U172" s="305" t="s">
        <v>475</v>
      </c>
    </row>
    <row r="173" spans="1:21" x14ac:dyDescent="0.3">
      <c r="A173" s="305" t="s">
        <v>185</v>
      </c>
      <c r="B173" s="305" t="s">
        <v>204</v>
      </c>
      <c r="G173" s="305" t="s">
        <v>365</v>
      </c>
      <c r="H173" s="305" t="s">
        <v>384</v>
      </c>
      <c r="I173" s="305" t="s">
        <v>775</v>
      </c>
      <c r="J173" s="73">
        <v>40787</v>
      </c>
      <c r="K173" s="133">
        <v>0</v>
      </c>
      <c r="M173" s="305" t="s">
        <v>470</v>
      </c>
      <c r="N173" s="305" t="s">
        <v>469</v>
      </c>
      <c r="O173" s="305" t="s">
        <v>151</v>
      </c>
      <c r="P173" s="133">
        <v>0</v>
      </c>
      <c r="Q173" s="133">
        <v>0</v>
      </c>
      <c r="U173" s="305" t="s">
        <v>468</v>
      </c>
    </row>
    <row r="174" spans="1:21" x14ac:dyDescent="0.3">
      <c r="A174" s="305" t="s">
        <v>185</v>
      </c>
      <c r="B174" s="305" t="s">
        <v>205</v>
      </c>
      <c r="G174" s="305" t="s">
        <v>142</v>
      </c>
      <c r="H174" s="305" t="s">
        <v>141</v>
      </c>
      <c r="I174" s="305" t="s">
        <v>775</v>
      </c>
      <c r="J174" s="73">
        <v>41275</v>
      </c>
      <c r="K174" s="133">
        <v>0</v>
      </c>
      <c r="M174" s="305" t="s">
        <v>472</v>
      </c>
      <c r="N174" s="305" t="s">
        <v>471</v>
      </c>
      <c r="O174" s="305" t="s">
        <v>151</v>
      </c>
      <c r="P174" s="133">
        <v>0</v>
      </c>
      <c r="Q174" s="133">
        <v>0</v>
      </c>
      <c r="U174" s="305" t="s">
        <v>470</v>
      </c>
    </row>
    <row r="175" spans="1:21" x14ac:dyDescent="0.3">
      <c r="A175" s="305" t="s">
        <v>185</v>
      </c>
      <c r="B175" s="305" t="s">
        <v>207</v>
      </c>
      <c r="G175" s="305" t="s">
        <v>903</v>
      </c>
      <c r="H175" s="305" t="s">
        <v>904</v>
      </c>
      <c r="I175" s="305" t="s">
        <v>1745</v>
      </c>
      <c r="J175" s="73">
        <v>41703</v>
      </c>
      <c r="K175" s="133">
        <v>41</v>
      </c>
      <c r="M175" s="305" t="s">
        <v>473</v>
      </c>
      <c r="N175" s="305" t="s">
        <v>791</v>
      </c>
      <c r="O175" s="305" t="s">
        <v>151</v>
      </c>
      <c r="P175" s="133">
        <v>0</v>
      </c>
      <c r="Q175" s="133">
        <v>0</v>
      </c>
      <c r="U175" s="305" t="s">
        <v>472</v>
      </c>
    </row>
    <row r="176" spans="1:21" x14ac:dyDescent="0.3">
      <c r="A176" s="305" t="s">
        <v>185</v>
      </c>
      <c r="B176" s="305" t="s">
        <v>209</v>
      </c>
      <c r="G176" s="305" t="s">
        <v>913</v>
      </c>
      <c r="H176" s="305" t="s">
        <v>914</v>
      </c>
      <c r="I176" s="305" t="s">
        <v>1745</v>
      </c>
      <c r="J176" s="73">
        <v>41734</v>
      </c>
      <c r="K176" s="133">
        <v>18</v>
      </c>
      <c r="M176" s="305" t="s">
        <v>750</v>
      </c>
      <c r="N176" s="305" t="s">
        <v>746</v>
      </c>
      <c r="O176" s="305" t="s">
        <v>746</v>
      </c>
      <c r="P176" s="133">
        <v>5</v>
      </c>
      <c r="Q176" s="133">
        <v>32</v>
      </c>
      <c r="U176" s="305" t="s">
        <v>473</v>
      </c>
    </row>
    <row r="177" spans="1:21" x14ac:dyDescent="0.3">
      <c r="A177" s="305" t="s">
        <v>185</v>
      </c>
      <c r="B177" s="305" t="s">
        <v>211</v>
      </c>
      <c r="G177" s="305" t="s">
        <v>8</v>
      </c>
      <c r="H177" s="305" t="s">
        <v>7</v>
      </c>
      <c r="I177" s="305" t="s">
        <v>1745</v>
      </c>
      <c r="J177" s="73">
        <v>41183</v>
      </c>
      <c r="K177" s="133">
        <v>13</v>
      </c>
      <c r="M177" s="305" t="s">
        <v>752</v>
      </c>
      <c r="N177" s="305" t="s">
        <v>751</v>
      </c>
      <c r="O177" s="305" t="s">
        <v>309</v>
      </c>
      <c r="P177" s="133"/>
      <c r="Q177" s="133">
        <v>872</v>
      </c>
      <c r="U177" s="305" t="s">
        <v>750</v>
      </c>
    </row>
    <row r="178" spans="1:21" x14ac:dyDescent="0.3">
      <c r="A178" s="305" t="s">
        <v>185</v>
      </c>
      <c r="B178" s="305" t="s">
        <v>213</v>
      </c>
      <c r="G178" s="305" t="s">
        <v>1156</v>
      </c>
      <c r="H178" s="305" t="s">
        <v>1164</v>
      </c>
      <c r="I178" s="305" t="s">
        <v>1745</v>
      </c>
      <c r="J178" s="73">
        <v>42584</v>
      </c>
      <c r="K178" s="133">
        <v>22</v>
      </c>
      <c r="M178" s="305" t="s">
        <v>793</v>
      </c>
      <c r="N178" s="305" t="s">
        <v>792</v>
      </c>
      <c r="O178" s="305" t="s">
        <v>151</v>
      </c>
      <c r="P178" s="133">
        <v>0</v>
      </c>
      <c r="Q178" s="133">
        <v>0</v>
      </c>
      <c r="U178" s="305" t="s">
        <v>752</v>
      </c>
    </row>
    <row r="179" spans="1:21" x14ac:dyDescent="0.3">
      <c r="A179" s="305" t="s">
        <v>185</v>
      </c>
      <c r="B179" s="305" t="s">
        <v>215</v>
      </c>
      <c r="G179" s="305" t="s">
        <v>266</v>
      </c>
      <c r="H179" s="305" t="s">
        <v>265</v>
      </c>
      <c r="I179" s="305" t="s">
        <v>775</v>
      </c>
      <c r="J179" s="73">
        <v>40817</v>
      </c>
      <c r="K179" s="133"/>
      <c r="M179" s="305" t="s">
        <v>789</v>
      </c>
      <c r="N179" s="305" t="s">
        <v>790</v>
      </c>
      <c r="O179" s="305" t="s">
        <v>27</v>
      </c>
      <c r="P179" s="133">
        <v>57</v>
      </c>
      <c r="Q179" s="133">
        <v>273</v>
      </c>
      <c r="U179" s="305" t="s">
        <v>793</v>
      </c>
    </row>
    <row r="180" spans="1:21" x14ac:dyDescent="0.3">
      <c r="A180" s="305" t="s">
        <v>185</v>
      </c>
      <c r="B180" s="305" t="s">
        <v>217</v>
      </c>
      <c r="G180" s="305" t="s">
        <v>1664</v>
      </c>
      <c r="H180" s="305" t="s">
        <v>1652</v>
      </c>
      <c r="I180" s="305" t="s">
        <v>1745</v>
      </c>
      <c r="J180" s="73">
        <v>43212</v>
      </c>
      <c r="K180" s="133">
        <v>45</v>
      </c>
      <c r="M180" s="305" t="s">
        <v>783</v>
      </c>
      <c r="N180" s="305" t="s">
        <v>795</v>
      </c>
      <c r="O180" s="305" t="s">
        <v>5</v>
      </c>
      <c r="P180" s="133">
        <v>0</v>
      </c>
      <c r="Q180" s="133">
        <v>0</v>
      </c>
      <c r="U180" s="305" t="s">
        <v>789</v>
      </c>
    </row>
    <row r="181" spans="1:21" x14ac:dyDescent="0.3">
      <c r="A181" s="305" t="s">
        <v>185</v>
      </c>
      <c r="B181" s="305" t="s">
        <v>229</v>
      </c>
      <c r="G181" s="305" t="s">
        <v>213</v>
      </c>
      <c r="H181" s="305" t="s">
        <v>212</v>
      </c>
      <c r="I181" s="305" t="s">
        <v>1745</v>
      </c>
      <c r="J181" s="305" t="s">
        <v>1220</v>
      </c>
      <c r="K181" s="133">
        <v>47</v>
      </c>
      <c r="M181" s="305" t="s">
        <v>796</v>
      </c>
      <c r="N181" s="305" t="s">
        <v>802</v>
      </c>
      <c r="O181" s="305" t="s">
        <v>151</v>
      </c>
      <c r="P181" s="133">
        <v>0</v>
      </c>
      <c r="Q181" s="133">
        <v>0</v>
      </c>
      <c r="U181" s="305" t="s">
        <v>783</v>
      </c>
    </row>
    <row r="182" spans="1:21" x14ac:dyDescent="0.3">
      <c r="A182" s="305" t="s">
        <v>185</v>
      </c>
      <c r="B182" s="305" t="s">
        <v>219</v>
      </c>
      <c r="G182" s="305" t="s">
        <v>162</v>
      </c>
      <c r="H182" s="305" t="s">
        <v>161</v>
      </c>
      <c r="I182" s="305" t="s">
        <v>775</v>
      </c>
      <c r="J182" s="305" t="s">
        <v>1220</v>
      </c>
      <c r="K182" s="133">
        <v>0</v>
      </c>
      <c r="M182" s="305" t="s">
        <v>800</v>
      </c>
      <c r="N182" s="305" t="s">
        <v>801</v>
      </c>
      <c r="O182" s="305" t="s">
        <v>151</v>
      </c>
      <c r="P182" s="133">
        <v>0</v>
      </c>
      <c r="Q182" s="133">
        <v>0</v>
      </c>
      <c r="U182" s="305" t="s">
        <v>796</v>
      </c>
    </row>
    <row r="183" spans="1:21" x14ac:dyDescent="0.3">
      <c r="A183" s="305" t="s">
        <v>185</v>
      </c>
      <c r="B183" s="305" t="s">
        <v>221</v>
      </c>
      <c r="G183" s="305" t="s">
        <v>291</v>
      </c>
      <c r="H183" s="305" t="s">
        <v>290</v>
      </c>
      <c r="I183" s="305" t="s">
        <v>1745</v>
      </c>
      <c r="J183" s="73">
        <v>41609</v>
      </c>
      <c r="K183" s="133">
        <v>76</v>
      </c>
      <c r="M183" s="305" t="s">
        <v>805</v>
      </c>
      <c r="N183" s="305" t="s">
        <v>804</v>
      </c>
      <c r="O183" s="305" t="s">
        <v>151</v>
      </c>
      <c r="P183" s="133">
        <v>0</v>
      </c>
      <c r="Q183" s="133">
        <v>0</v>
      </c>
      <c r="U183" s="305" t="s">
        <v>800</v>
      </c>
    </row>
    <row r="184" spans="1:21" x14ac:dyDescent="0.3">
      <c r="A184" s="305" t="s">
        <v>185</v>
      </c>
      <c r="B184" s="305" t="s">
        <v>225</v>
      </c>
      <c r="G184" s="305" t="s">
        <v>289</v>
      </c>
      <c r="H184" s="305" t="s">
        <v>287</v>
      </c>
      <c r="I184" s="305" t="s">
        <v>1745</v>
      </c>
      <c r="J184" s="73">
        <v>40878</v>
      </c>
      <c r="K184" s="133">
        <v>67</v>
      </c>
      <c r="M184" s="305" t="s">
        <v>806</v>
      </c>
      <c r="N184" s="305" t="s">
        <v>808</v>
      </c>
      <c r="O184" s="305" t="s">
        <v>151</v>
      </c>
      <c r="P184" s="133">
        <v>0</v>
      </c>
      <c r="Q184" s="133">
        <v>0</v>
      </c>
      <c r="U184" s="305" t="s">
        <v>805</v>
      </c>
    </row>
    <row r="185" spans="1:21" x14ac:dyDescent="0.3">
      <c r="A185" s="305" t="s">
        <v>185</v>
      </c>
      <c r="B185" s="305" t="s">
        <v>227</v>
      </c>
      <c r="G185" s="305" t="s">
        <v>905</v>
      </c>
      <c r="H185" s="305" t="s">
        <v>906</v>
      </c>
      <c r="I185" s="305" t="s">
        <v>1745</v>
      </c>
      <c r="J185" s="73">
        <v>41947</v>
      </c>
      <c r="K185" s="133">
        <v>38</v>
      </c>
      <c r="M185" s="305" t="s">
        <v>807</v>
      </c>
      <c r="N185" s="305" t="s">
        <v>803</v>
      </c>
      <c r="O185" s="305" t="s">
        <v>151</v>
      </c>
      <c r="P185" s="133">
        <v>0</v>
      </c>
      <c r="Q185" s="133">
        <v>0</v>
      </c>
      <c r="U185" s="305" t="s">
        <v>806</v>
      </c>
    </row>
    <row r="186" spans="1:21" x14ac:dyDescent="0.3">
      <c r="A186" s="305" t="s">
        <v>185</v>
      </c>
      <c r="B186" s="305" t="s">
        <v>1080</v>
      </c>
      <c r="G186" s="305" t="s">
        <v>372</v>
      </c>
      <c r="H186" s="305" t="s">
        <v>294</v>
      </c>
      <c r="I186" s="305" t="s">
        <v>1745</v>
      </c>
      <c r="J186" s="73">
        <v>40878</v>
      </c>
      <c r="K186" s="133">
        <v>42</v>
      </c>
      <c r="M186" s="305" t="s">
        <v>809</v>
      </c>
      <c r="N186" s="305" t="s">
        <v>810</v>
      </c>
      <c r="O186" s="305" t="s">
        <v>151</v>
      </c>
      <c r="P186" s="133">
        <v>0</v>
      </c>
      <c r="Q186" s="133">
        <v>0</v>
      </c>
      <c r="U186" s="305" t="s">
        <v>807</v>
      </c>
    </row>
    <row r="187" spans="1:21" x14ac:dyDescent="0.3">
      <c r="A187" s="305" t="s">
        <v>230</v>
      </c>
      <c r="B187" s="305" t="s">
        <v>169</v>
      </c>
      <c r="G187" s="305" t="s">
        <v>373</v>
      </c>
      <c r="H187" s="305" t="s">
        <v>387</v>
      </c>
      <c r="I187" s="305" t="s">
        <v>775</v>
      </c>
      <c r="J187" s="305" t="s">
        <v>1220</v>
      </c>
      <c r="K187" s="133">
        <v>0</v>
      </c>
      <c r="M187" s="305" t="s">
        <v>812</v>
      </c>
      <c r="N187" s="305" t="s">
        <v>811</v>
      </c>
      <c r="O187" s="305" t="s">
        <v>151</v>
      </c>
      <c r="P187" s="133">
        <v>433</v>
      </c>
      <c r="Q187" s="133">
        <v>1857</v>
      </c>
      <c r="U187" s="305" t="s">
        <v>809</v>
      </c>
    </row>
    <row r="188" spans="1:21" x14ac:dyDescent="0.3">
      <c r="A188" s="305" t="s">
        <v>230</v>
      </c>
      <c r="B188" s="305" t="s">
        <v>231</v>
      </c>
      <c r="G188" s="305" t="s">
        <v>293</v>
      </c>
      <c r="H188" s="305" t="s">
        <v>292</v>
      </c>
      <c r="I188" s="305" t="s">
        <v>775</v>
      </c>
      <c r="J188" s="305" t="s">
        <v>1220</v>
      </c>
      <c r="K188" s="133"/>
      <c r="M188" s="305" t="s">
        <v>814</v>
      </c>
      <c r="N188" s="305" t="s">
        <v>813</v>
      </c>
      <c r="O188" s="305" t="s">
        <v>151</v>
      </c>
      <c r="P188" s="133">
        <v>0</v>
      </c>
      <c r="Q188" s="133">
        <v>0</v>
      </c>
      <c r="U188" s="305" t="s">
        <v>812</v>
      </c>
    </row>
    <row r="189" spans="1:21" x14ac:dyDescent="0.3">
      <c r="A189" s="305" t="s">
        <v>230</v>
      </c>
      <c r="B189" s="305" t="s">
        <v>233</v>
      </c>
      <c r="G189" s="305" t="s">
        <v>359</v>
      </c>
      <c r="H189" s="305" t="s">
        <v>771</v>
      </c>
      <c r="I189" s="305" t="s">
        <v>775</v>
      </c>
      <c r="J189" s="73">
        <v>40787</v>
      </c>
      <c r="K189" s="133">
        <v>9</v>
      </c>
      <c r="M189" s="305" t="s">
        <v>816</v>
      </c>
      <c r="N189" s="305" t="s">
        <v>815</v>
      </c>
      <c r="O189" s="305" t="s">
        <v>299</v>
      </c>
      <c r="P189" s="133">
        <v>0</v>
      </c>
      <c r="Q189" s="133">
        <v>0</v>
      </c>
      <c r="U189" s="305" t="s">
        <v>814</v>
      </c>
    </row>
    <row r="190" spans="1:21" x14ac:dyDescent="0.3">
      <c r="A190" s="305" t="s">
        <v>230</v>
      </c>
      <c r="B190" s="305" t="s">
        <v>235</v>
      </c>
      <c r="G190" s="305" t="s">
        <v>171</v>
      </c>
      <c r="H190" s="305" t="s">
        <v>170</v>
      </c>
      <c r="I190" s="305" t="s">
        <v>775</v>
      </c>
      <c r="J190" s="305" t="s">
        <v>1220</v>
      </c>
      <c r="K190" s="133"/>
      <c r="M190" s="305" t="s">
        <v>820</v>
      </c>
      <c r="N190" s="305" t="s">
        <v>819</v>
      </c>
      <c r="O190" s="305" t="s">
        <v>817</v>
      </c>
      <c r="P190" s="133"/>
      <c r="Q190" s="133"/>
      <c r="U190" s="305" t="s">
        <v>816</v>
      </c>
    </row>
    <row r="191" spans="1:21" x14ac:dyDescent="0.3">
      <c r="A191" s="305" t="s">
        <v>230</v>
      </c>
      <c r="B191" s="305" t="s">
        <v>359</v>
      </c>
      <c r="G191" s="305" t="s">
        <v>149</v>
      </c>
      <c r="H191" s="305" t="s">
        <v>148</v>
      </c>
      <c r="I191" s="305" t="s">
        <v>1745</v>
      </c>
      <c r="J191" s="73">
        <v>40878</v>
      </c>
      <c r="K191" s="133">
        <v>57</v>
      </c>
      <c r="M191" s="305" t="s">
        <v>821</v>
      </c>
      <c r="N191" s="305" t="s">
        <v>822</v>
      </c>
      <c r="O191" s="305" t="s">
        <v>5</v>
      </c>
      <c r="P191" s="133"/>
      <c r="Q191" s="133"/>
      <c r="U191" s="305" t="s">
        <v>820</v>
      </c>
    </row>
    <row r="192" spans="1:21" x14ac:dyDescent="0.3">
      <c r="A192" s="305" t="s">
        <v>230</v>
      </c>
      <c r="B192" s="305" t="s">
        <v>171</v>
      </c>
      <c r="G192" s="305" t="s">
        <v>1573</v>
      </c>
      <c r="H192" s="305" t="s">
        <v>1126</v>
      </c>
      <c r="I192" s="305" t="s">
        <v>1745</v>
      </c>
      <c r="J192" s="73">
        <v>42401</v>
      </c>
      <c r="K192" s="133">
        <v>41</v>
      </c>
      <c r="M192" s="305" t="s">
        <v>287</v>
      </c>
      <c r="N192" s="305" t="s">
        <v>289</v>
      </c>
      <c r="O192" s="305" t="s">
        <v>288</v>
      </c>
      <c r="P192" s="133">
        <v>67</v>
      </c>
      <c r="Q192" s="133">
        <v>343</v>
      </c>
      <c r="U192" s="305" t="s">
        <v>821</v>
      </c>
    </row>
    <row r="193" spans="1:21" x14ac:dyDescent="0.3">
      <c r="A193" s="305" t="s">
        <v>230</v>
      </c>
      <c r="B193" s="305" t="s">
        <v>903</v>
      </c>
      <c r="G193" s="305" t="s">
        <v>791</v>
      </c>
      <c r="H193" s="305" t="s">
        <v>473</v>
      </c>
      <c r="I193" s="305" t="s">
        <v>775</v>
      </c>
      <c r="J193" s="73">
        <v>41091</v>
      </c>
      <c r="K193" s="133">
        <v>0</v>
      </c>
      <c r="M193" s="305" t="s">
        <v>292</v>
      </c>
      <c r="N193" s="305" t="s">
        <v>293</v>
      </c>
      <c r="O193" s="305" t="s">
        <v>288</v>
      </c>
      <c r="P193" s="133"/>
      <c r="Q193" s="133"/>
      <c r="U193" s="305" t="s">
        <v>846</v>
      </c>
    </row>
    <row r="194" spans="1:21" x14ac:dyDescent="0.3">
      <c r="A194" s="305" t="s">
        <v>230</v>
      </c>
      <c r="B194" s="305" t="s">
        <v>913</v>
      </c>
      <c r="G194" s="305" t="s">
        <v>792</v>
      </c>
      <c r="H194" s="305" t="s">
        <v>793</v>
      </c>
      <c r="I194" s="305" t="s">
        <v>775</v>
      </c>
      <c r="J194" s="305" t="s">
        <v>1220</v>
      </c>
      <c r="K194" s="133">
        <v>0</v>
      </c>
      <c r="M194" s="305" t="s">
        <v>294</v>
      </c>
      <c r="N194" s="305" t="s">
        <v>372</v>
      </c>
      <c r="O194" s="305" t="s">
        <v>288</v>
      </c>
      <c r="P194" s="133">
        <v>42</v>
      </c>
      <c r="Q194" s="133">
        <v>215</v>
      </c>
      <c r="U194" s="305" t="s">
        <v>874</v>
      </c>
    </row>
    <row r="195" spans="1:21" x14ac:dyDescent="0.3">
      <c r="A195" s="305" t="s">
        <v>230</v>
      </c>
      <c r="B195" s="305" t="s">
        <v>1198</v>
      </c>
      <c r="G195" s="305" t="s">
        <v>164</v>
      </c>
      <c r="H195" s="305" t="s">
        <v>163</v>
      </c>
      <c r="I195" s="305" t="s">
        <v>775</v>
      </c>
      <c r="J195" s="305" t="s">
        <v>1220</v>
      </c>
      <c r="K195" s="133">
        <v>0</v>
      </c>
      <c r="M195" s="305" t="s">
        <v>290</v>
      </c>
      <c r="N195" s="305" t="s">
        <v>291</v>
      </c>
      <c r="O195" s="305" t="s">
        <v>288</v>
      </c>
      <c r="P195" s="133">
        <v>76</v>
      </c>
      <c r="Q195" s="133">
        <v>373</v>
      </c>
      <c r="U195" s="305" t="s">
        <v>876</v>
      </c>
    </row>
    <row r="196" spans="1:21" x14ac:dyDescent="0.3">
      <c r="A196" s="305" t="s">
        <v>230</v>
      </c>
      <c r="B196" s="305" t="s">
        <v>1208</v>
      </c>
      <c r="G196" s="305" t="s">
        <v>551</v>
      </c>
      <c r="H196" s="305" t="s">
        <v>46</v>
      </c>
      <c r="I196" s="305" t="s">
        <v>1745</v>
      </c>
      <c r="J196" s="73">
        <v>41275</v>
      </c>
      <c r="K196" s="133">
        <v>11</v>
      </c>
      <c r="M196" s="305" t="s">
        <v>234</v>
      </c>
      <c r="N196" s="305" t="s">
        <v>235</v>
      </c>
      <c r="O196" s="305" t="s">
        <v>230</v>
      </c>
      <c r="P196" s="133"/>
      <c r="Q196" s="133"/>
      <c r="U196" s="305" t="s">
        <v>889</v>
      </c>
    </row>
    <row r="197" spans="1:21" x14ac:dyDescent="0.3">
      <c r="A197" s="305" t="s">
        <v>230</v>
      </c>
      <c r="B197" s="305" t="s">
        <v>1209</v>
      </c>
      <c r="G197" s="305" t="s">
        <v>1060</v>
      </c>
      <c r="H197" s="305" t="s">
        <v>1044</v>
      </c>
      <c r="I197" s="305" t="s">
        <v>1745</v>
      </c>
      <c r="J197" s="73">
        <v>42036</v>
      </c>
      <c r="K197" s="133">
        <v>32</v>
      </c>
      <c r="M197" s="305" t="s">
        <v>147</v>
      </c>
      <c r="N197" s="305" t="s">
        <v>369</v>
      </c>
      <c r="O197" s="305" t="s">
        <v>146</v>
      </c>
      <c r="P197" s="133">
        <v>41</v>
      </c>
      <c r="Q197" s="133">
        <v>231</v>
      </c>
      <c r="U197" s="305" t="s">
        <v>893</v>
      </c>
    </row>
    <row r="198" spans="1:21" x14ac:dyDescent="0.3">
      <c r="A198" s="305" t="s">
        <v>230</v>
      </c>
      <c r="B198" s="305" t="s">
        <v>1199</v>
      </c>
      <c r="G198" s="305" t="s">
        <v>759</v>
      </c>
      <c r="H198" s="305" t="s">
        <v>296</v>
      </c>
      <c r="I198" s="305" t="s">
        <v>1745</v>
      </c>
      <c r="J198" s="73">
        <v>41000</v>
      </c>
      <c r="K198" s="133">
        <v>40</v>
      </c>
      <c r="M198" s="305" t="s">
        <v>148</v>
      </c>
      <c r="N198" s="305" t="s">
        <v>149</v>
      </c>
      <c r="O198" s="305" t="s">
        <v>146</v>
      </c>
      <c r="P198" s="133">
        <v>57</v>
      </c>
      <c r="Q198" s="133">
        <v>267</v>
      </c>
      <c r="U198" s="305" t="s">
        <v>912</v>
      </c>
    </row>
    <row r="199" spans="1:21" x14ac:dyDescent="0.3">
      <c r="A199" s="305" t="s">
        <v>230</v>
      </c>
      <c r="B199" s="305" t="s">
        <v>1210</v>
      </c>
      <c r="G199" s="305" t="s">
        <v>534</v>
      </c>
      <c r="H199" s="305" t="s">
        <v>762</v>
      </c>
      <c r="I199" s="305" t="s">
        <v>775</v>
      </c>
      <c r="J199" s="305" t="s">
        <v>1220</v>
      </c>
      <c r="K199" s="133">
        <v>118</v>
      </c>
      <c r="M199" s="305" t="s">
        <v>165</v>
      </c>
      <c r="N199" s="305" t="s">
        <v>167</v>
      </c>
      <c r="O199" s="305" t="s">
        <v>166</v>
      </c>
      <c r="P199" s="133">
        <v>33</v>
      </c>
      <c r="Q199" s="133">
        <v>176</v>
      </c>
      <c r="U199" s="305" t="s">
        <v>916</v>
      </c>
    </row>
    <row r="200" spans="1:21" x14ac:dyDescent="0.3">
      <c r="A200" s="305" t="s">
        <v>230</v>
      </c>
      <c r="B200" s="305" t="s">
        <v>1214</v>
      </c>
      <c r="G200" s="305" t="s">
        <v>917</v>
      </c>
      <c r="H200" s="305" t="s">
        <v>910</v>
      </c>
      <c r="I200" s="305" t="s">
        <v>1745</v>
      </c>
      <c r="J200" s="73">
        <v>41747</v>
      </c>
      <c r="K200" s="133">
        <v>115</v>
      </c>
      <c r="M200" s="305" t="s">
        <v>168</v>
      </c>
      <c r="N200" s="305" t="s">
        <v>169</v>
      </c>
      <c r="O200" s="305" t="s">
        <v>230</v>
      </c>
      <c r="P200" s="133"/>
      <c r="Q200" s="133"/>
      <c r="U200" s="305" t="s">
        <v>287</v>
      </c>
    </row>
    <row r="201" spans="1:21" x14ac:dyDescent="0.3">
      <c r="A201" s="305" t="s">
        <v>230</v>
      </c>
      <c r="B201" s="305" t="s">
        <v>1192</v>
      </c>
      <c r="G201" s="305" t="s">
        <v>1214</v>
      </c>
      <c r="H201" s="305" t="s">
        <v>1179</v>
      </c>
      <c r="I201" s="305" t="s">
        <v>775</v>
      </c>
      <c r="J201" s="305" t="s">
        <v>1220</v>
      </c>
      <c r="K201" s="133"/>
      <c r="M201" s="305" t="s">
        <v>170</v>
      </c>
      <c r="N201" s="305" t="s">
        <v>171</v>
      </c>
      <c r="O201" s="305" t="s">
        <v>230</v>
      </c>
      <c r="P201" s="133"/>
      <c r="Q201" s="133"/>
      <c r="U201" s="305" t="s">
        <v>292</v>
      </c>
    </row>
    <row r="202" spans="1:21" x14ac:dyDescent="0.3">
      <c r="A202" s="305" t="s">
        <v>230</v>
      </c>
      <c r="B202" s="305" t="s">
        <v>1193</v>
      </c>
      <c r="G202" s="305" t="s">
        <v>1520</v>
      </c>
      <c r="H202" s="305" t="s">
        <v>1545</v>
      </c>
      <c r="I202" s="305" t="s">
        <v>775</v>
      </c>
      <c r="J202" s="73">
        <v>42962</v>
      </c>
      <c r="K202" s="133">
        <v>245</v>
      </c>
      <c r="M202" s="305" t="s">
        <v>232</v>
      </c>
      <c r="N202" s="305" t="s">
        <v>233</v>
      </c>
      <c r="O202" s="305" t="s">
        <v>230</v>
      </c>
      <c r="P202" s="133"/>
      <c r="Q202" s="133"/>
      <c r="U202" s="305" t="s">
        <v>294</v>
      </c>
    </row>
    <row r="203" spans="1:21" x14ac:dyDescent="0.3">
      <c r="A203" s="305" t="s">
        <v>230</v>
      </c>
      <c r="B203" s="305" t="s">
        <v>1194</v>
      </c>
      <c r="G203" s="305" t="s">
        <v>1733</v>
      </c>
      <c r="H203" s="305" t="s">
        <v>1654</v>
      </c>
      <c r="I203" s="305" t="s">
        <v>1745</v>
      </c>
      <c r="J203" s="73">
        <v>43212</v>
      </c>
      <c r="K203" s="133">
        <v>111</v>
      </c>
      <c r="M203" s="305" t="s">
        <v>296</v>
      </c>
      <c r="N203" s="305" t="s">
        <v>759</v>
      </c>
      <c r="O203" s="305" t="s">
        <v>297</v>
      </c>
      <c r="P203" s="133">
        <v>40</v>
      </c>
      <c r="Q203" s="133">
        <v>170</v>
      </c>
      <c r="U203" s="305" t="s">
        <v>290</v>
      </c>
    </row>
    <row r="204" spans="1:21" x14ac:dyDescent="0.3">
      <c r="A204" s="305" t="s">
        <v>230</v>
      </c>
      <c r="B204" s="305" t="s">
        <v>1195</v>
      </c>
      <c r="G204" s="305" t="s">
        <v>1189</v>
      </c>
      <c r="H204" s="305" t="s">
        <v>1171</v>
      </c>
      <c r="I204" s="305" t="s">
        <v>775</v>
      </c>
      <c r="J204" s="305" t="s">
        <v>1220</v>
      </c>
      <c r="K204" s="133"/>
      <c r="M204" s="305" t="s">
        <v>380</v>
      </c>
      <c r="N204" s="305" t="s">
        <v>370</v>
      </c>
      <c r="O204" s="305" t="s">
        <v>146</v>
      </c>
      <c r="P204" s="133"/>
      <c r="Q204" s="133"/>
      <c r="U204" s="305" t="s">
        <v>234</v>
      </c>
    </row>
    <row r="205" spans="1:21" x14ac:dyDescent="0.3">
      <c r="A205" s="305" t="s">
        <v>230</v>
      </c>
      <c r="B205" s="305" t="s">
        <v>1196</v>
      </c>
      <c r="G205" s="305" t="s">
        <v>1190</v>
      </c>
      <c r="H205" s="305" t="s">
        <v>1172</v>
      </c>
      <c r="I205" s="305" t="s">
        <v>775</v>
      </c>
      <c r="J205" s="305" t="s">
        <v>1220</v>
      </c>
      <c r="K205" s="133"/>
      <c r="M205" s="305" t="s">
        <v>381</v>
      </c>
      <c r="N205" s="305" t="s">
        <v>367</v>
      </c>
      <c r="O205" s="305" t="s">
        <v>146</v>
      </c>
      <c r="P205" s="133">
        <v>53</v>
      </c>
      <c r="Q205" s="133">
        <v>256</v>
      </c>
      <c r="U205" s="305" t="s">
        <v>147</v>
      </c>
    </row>
    <row r="206" spans="1:21" x14ac:dyDescent="0.3">
      <c r="A206" s="305" t="s">
        <v>230</v>
      </c>
      <c r="B206" s="305" t="s">
        <v>716</v>
      </c>
      <c r="G206" s="305" t="s">
        <v>1188</v>
      </c>
      <c r="H206" s="305" t="s">
        <v>1170</v>
      </c>
      <c r="I206" s="305" t="s">
        <v>775</v>
      </c>
      <c r="J206" s="305" t="s">
        <v>1220</v>
      </c>
      <c r="K206" s="133">
        <v>13</v>
      </c>
      <c r="M206" s="305" t="s">
        <v>382</v>
      </c>
      <c r="N206" s="305" t="s">
        <v>368</v>
      </c>
      <c r="O206" s="305" t="s">
        <v>146</v>
      </c>
      <c r="P206" s="133">
        <v>28</v>
      </c>
      <c r="Q206" s="133">
        <v>132</v>
      </c>
      <c r="U206" s="305" t="s">
        <v>148</v>
      </c>
    </row>
    <row r="207" spans="1:21" x14ac:dyDescent="0.3">
      <c r="A207" s="305" t="s">
        <v>237</v>
      </c>
      <c r="B207" s="305" t="s">
        <v>252</v>
      </c>
      <c r="G207" s="305" t="s">
        <v>270</v>
      </c>
      <c r="H207" s="305" t="s">
        <v>269</v>
      </c>
      <c r="I207" s="305" t="s">
        <v>1745</v>
      </c>
      <c r="J207" s="73">
        <v>40909</v>
      </c>
      <c r="K207" s="133">
        <v>59</v>
      </c>
      <c r="M207" s="305" t="s">
        <v>383</v>
      </c>
      <c r="N207" s="305" t="s">
        <v>1617</v>
      </c>
      <c r="O207" s="305" t="s">
        <v>146</v>
      </c>
      <c r="P207" s="133">
        <v>76</v>
      </c>
      <c r="Q207" s="133">
        <v>338</v>
      </c>
      <c r="U207" s="305" t="s">
        <v>165</v>
      </c>
    </row>
    <row r="208" spans="1:21" x14ac:dyDescent="0.3">
      <c r="A208" s="305" t="s">
        <v>237</v>
      </c>
      <c r="B208" s="305" t="s">
        <v>254</v>
      </c>
      <c r="G208" s="305" t="s">
        <v>20</v>
      </c>
      <c r="H208" s="305" t="s">
        <v>19</v>
      </c>
      <c r="I208" s="305" t="s">
        <v>1745</v>
      </c>
      <c r="J208" s="73">
        <v>40848</v>
      </c>
      <c r="K208" s="133">
        <v>17</v>
      </c>
      <c r="M208" s="305" t="s">
        <v>384</v>
      </c>
      <c r="N208" s="305" t="s">
        <v>365</v>
      </c>
      <c r="O208" s="305" t="s">
        <v>146</v>
      </c>
      <c r="P208" s="133">
        <v>0</v>
      </c>
      <c r="Q208" s="133">
        <v>0</v>
      </c>
      <c r="U208" s="305" t="s">
        <v>168</v>
      </c>
    </row>
    <row r="209" spans="1:21" x14ac:dyDescent="0.3">
      <c r="A209" s="305" t="s">
        <v>237</v>
      </c>
      <c r="B209" s="305" t="s">
        <v>256</v>
      </c>
      <c r="G209" s="305" t="s">
        <v>108</v>
      </c>
      <c r="H209" s="305" t="s">
        <v>107</v>
      </c>
      <c r="I209" s="305" t="s">
        <v>1745</v>
      </c>
      <c r="J209" s="73">
        <v>41487</v>
      </c>
      <c r="K209" s="133">
        <v>50</v>
      </c>
      <c r="M209" s="305" t="s">
        <v>385</v>
      </c>
      <c r="N209" s="305" t="s">
        <v>371</v>
      </c>
      <c r="O209" s="305" t="s">
        <v>146</v>
      </c>
      <c r="P209" s="133">
        <v>204</v>
      </c>
      <c r="Q209" s="133">
        <v>1023</v>
      </c>
      <c r="U209" s="305" t="s">
        <v>170</v>
      </c>
    </row>
    <row r="210" spans="1:21" x14ac:dyDescent="0.3">
      <c r="A210" s="305" t="s">
        <v>237</v>
      </c>
      <c r="B210" s="305" t="s">
        <v>303</v>
      </c>
      <c r="G210" s="305" t="s">
        <v>183</v>
      </c>
      <c r="H210" s="305" t="s">
        <v>182</v>
      </c>
      <c r="I210" s="305" t="s">
        <v>775</v>
      </c>
      <c r="J210" s="73">
        <v>40969</v>
      </c>
      <c r="K210" s="133">
        <v>0</v>
      </c>
      <c r="M210" s="305" t="s">
        <v>386</v>
      </c>
      <c r="N210" s="305" t="s">
        <v>231</v>
      </c>
      <c r="O210" s="305" t="s">
        <v>230</v>
      </c>
      <c r="P210" s="133">
        <v>32</v>
      </c>
      <c r="Q210" s="133">
        <v>187</v>
      </c>
      <c r="U210" s="305" t="s">
        <v>232</v>
      </c>
    </row>
    <row r="211" spans="1:21" x14ac:dyDescent="0.3">
      <c r="A211" s="305" t="s">
        <v>237</v>
      </c>
      <c r="B211" s="305" t="s">
        <v>240</v>
      </c>
      <c r="G211" s="305" t="s">
        <v>535</v>
      </c>
      <c r="H211" s="305" t="s">
        <v>772</v>
      </c>
      <c r="I211" s="305" t="s">
        <v>775</v>
      </c>
      <c r="J211" s="73">
        <v>41365</v>
      </c>
      <c r="K211" s="133">
        <v>67</v>
      </c>
      <c r="M211" s="305" t="s">
        <v>387</v>
      </c>
      <c r="N211" s="305" t="s">
        <v>373</v>
      </c>
      <c r="O211" s="305" t="s">
        <v>288</v>
      </c>
      <c r="P211" s="133">
        <v>0</v>
      </c>
      <c r="Q211" s="133">
        <v>0</v>
      </c>
      <c r="U211" s="305" t="s">
        <v>296</v>
      </c>
    </row>
    <row r="212" spans="1:21" x14ac:dyDescent="0.3">
      <c r="A212" s="305" t="s">
        <v>237</v>
      </c>
      <c r="B212" s="305" t="s">
        <v>284</v>
      </c>
      <c r="G212" s="305" t="s">
        <v>178</v>
      </c>
      <c r="H212" s="305" t="s">
        <v>177</v>
      </c>
      <c r="I212" s="305" t="s">
        <v>1745</v>
      </c>
      <c r="J212" s="73">
        <v>40969</v>
      </c>
      <c r="K212" s="133">
        <v>10</v>
      </c>
      <c r="M212" s="305" t="s">
        <v>771</v>
      </c>
      <c r="N212" s="305" t="s">
        <v>359</v>
      </c>
      <c r="O212" s="305" t="s">
        <v>230</v>
      </c>
      <c r="P212" s="133">
        <v>9</v>
      </c>
      <c r="Q212" s="133">
        <v>44</v>
      </c>
      <c r="U212" s="305" t="s">
        <v>380</v>
      </c>
    </row>
    <row r="213" spans="1:21" x14ac:dyDescent="0.3">
      <c r="A213" s="305" t="s">
        <v>237</v>
      </c>
      <c r="B213" s="305" t="s">
        <v>258</v>
      </c>
      <c r="G213" s="305" t="s">
        <v>815</v>
      </c>
      <c r="H213" s="305" t="s">
        <v>816</v>
      </c>
      <c r="I213" s="305" t="s">
        <v>775</v>
      </c>
      <c r="J213" s="73">
        <v>41487</v>
      </c>
      <c r="K213" s="133">
        <v>0</v>
      </c>
      <c r="M213" s="305" t="s">
        <v>772</v>
      </c>
      <c r="N213" s="305" t="s">
        <v>535</v>
      </c>
      <c r="O213" s="305" t="s">
        <v>719</v>
      </c>
      <c r="P213" s="133">
        <v>67</v>
      </c>
      <c r="Q213" s="133">
        <v>392</v>
      </c>
      <c r="U213" s="305" t="s">
        <v>381</v>
      </c>
    </row>
    <row r="214" spans="1:21" x14ac:dyDescent="0.3">
      <c r="A214" s="305" t="s">
        <v>237</v>
      </c>
      <c r="B214" s="305" t="s">
        <v>260</v>
      </c>
      <c r="G214" s="305" t="s">
        <v>342</v>
      </c>
      <c r="H214" s="305" t="s">
        <v>341</v>
      </c>
      <c r="I214" s="305" t="s">
        <v>1745</v>
      </c>
      <c r="J214" s="73">
        <v>41030</v>
      </c>
      <c r="K214" s="133">
        <v>20</v>
      </c>
      <c r="M214" s="305" t="s">
        <v>761</v>
      </c>
      <c r="N214" s="305" t="s">
        <v>760</v>
      </c>
      <c r="O214" s="305" t="s">
        <v>166</v>
      </c>
      <c r="P214" s="133">
        <v>29</v>
      </c>
      <c r="Q214" s="133">
        <v>174</v>
      </c>
      <c r="U214" s="305" t="s">
        <v>382</v>
      </c>
    </row>
    <row r="215" spans="1:21" x14ac:dyDescent="0.3">
      <c r="A215" s="305" t="s">
        <v>237</v>
      </c>
      <c r="B215" s="305" t="s">
        <v>262</v>
      </c>
      <c r="G215" s="305" t="s">
        <v>286</v>
      </c>
      <c r="H215" s="305" t="s">
        <v>285</v>
      </c>
      <c r="I215" s="305" t="s">
        <v>1745</v>
      </c>
      <c r="J215" s="73">
        <v>40940</v>
      </c>
      <c r="K215" s="133">
        <v>26</v>
      </c>
      <c r="M215" s="305" t="s">
        <v>762</v>
      </c>
      <c r="N215" s="305" t="s">
        <v>534</v>
      </c>
      <c r="O215" s="305" t="s">
        <v>297</v>
      </c>
      <c r="P215" s="133">
        <v>118</v>
      </c>
      <c r="Q215" s="133">
        <v>520</v>
      </c>
      <c r="U215" s="305" t="s">
        <v>383</v>
      </c>
    </row>
    <row r="216" spans="1:21" x14ac:dyDescent="0.3">
      <c r="A216" s="305" t="s">
        <v>237</v>
      </c>
      <c r="B216" s="305" t="s">
        <v>264</v>
      </c>
      <c r="G216" s="305" t="s">
        <v>1034</v>
      </c>
      <c r="H216" s="305" t="s">
        <v>358</v>
      </c>
      <c r="I216" s="305" t="s">
        <v>775</v>
      </c>
      <c r="J216" s="305" t="s">
        <v>1220</v>
      </c>
      <c r="K216" s="133"/>
      <c r="M216" s="305" t="s">
        <v>838</v>
      </c>
      <c r="N216" s="305" t="s">
        <v>837</v>
      </c>
      <c r="O216" s="305" t="s">
        <v>146</v>
      </c>
      <c r="P216" s="133">
        <v>0</v>
      </c>
      <c r="Q216" s="133">
        <v>0</v>
      </c>
      <c r="U216" s="305" t="s">
        <v>384</v>
      </c>
    </row>
    <row r="217" spans="1:21" x14ac:dyDescent="0.3">
      <c r="A217" s="305" t="s">
        <v>237</v>
      </c>
      <c r="B217" s="305" t="s">
        <v>266</v>
      </c>
      <c r="G217" s="305" t="s">
        <v>1066</v>
      </c>
      <c r="H217" s="305" t="s">
        <v>1067</v>
      </c>
      <c r="I217" s="305" t="s">
        <v>1745</v>
      </c>
      <c r="J217" s="73">
        <v>42036</v>
      </c>
      <c r="K217" s="133">
        <v>123</v>
      </c>
      <c r="M217" s="305" t="s">
        <v>840</v>
      </c>
      <c r="N217" s="305" t="s">
        <v>839</v>
      </c>
      <c r="O217" s="305" t="s">
        <v>146</v>
      </c>
      <c r="P217" s="133">
        <v>0</v>
      </c>
      <c r="Q217" s="133">
        <v>0</v>
      </c>
      <c r="U217" s="305" t="s">
        <v>385</v>
      </c>
    </row>
    <row r="218" spans="1:21" x14ac:dyDescent="0.3">
      <c r="A218" s="305" t="s">
        <v>237</v>
      </c>
      <c r="B218" s="305" t="s">
        <v>270</v>
      </c>
      <c r="G218" s="305" t="s">
        <v>1082</v>
      </c>
      <c r="H218" s="305" t="s">
        <v>1083</v>
      </c>
      <c r="I218" s="305" t="s">
        <v>1745</v>
      </c>
      <c r="J218" s="73">
        <v>42036</v>
      </c>
      <c r="K218" s="133">
        <v>103</v>
      </c>
      <c r="M218" s="305" t="s">
        <v>846</v>
      </c>
      <c r="N218" s="305" t="s">
        <v>847</v>
      </c>
      <c r="O218" s="305" t="s">
        <v>151</v>
      </c>
      <c r="P218" s="133">
        <v>169</v>
      </c>
      <c r="Q218" s="133">
        <v>804</v>
      </c>
      <c r="U218" s="305" t="s">
        <v>386</v>
      </c>
    </row>
    <row r="219" spans="1:21" x14ac:dyDescent="0.3">
      <c r="A219" s="305" t="s">
        <v>237</v>
      </c>
      <c r="B219" s="305" t="s">
        <v>268</v>
      </c>
      <c r="G219" s="305" t="s">
        <v>110</v>
      </c>
      <c r="H219" s="305" t="s">
        <v>109</v>
      </c>
      <c r="I219" s="305" t="s">
        <v>775</v>
      </c>
      <c r="J219" s="73">
        <v>41122</v>
      </c>
      <c r="K219" s="133">
        <v>0</v>
      </c>
      <c r="M219" s="305" t="s">
        <v>874</v>
      </c>
      <c r="N219" s="305" t="s">
        <v>877</v>
      </c>
      <c r="O219" s="305" t="s">
        <v>5</v>
      </c>
      <c r="P219" s="133"/>
      <c r="Q219" s="133"/>
      <c r="U219" s="305" t="s">
        <v>387</v>
      </c>
    </row>
    <row r="220" spans="1:21" x14ac:dyDescent="0.3">
      <c r="A220" s="305" t="s">
        <v>237</v>
      </c>
      <c r="B220" s="305" t="s">
        <v>272</v>
      </c>
      <c r="G220" s="305" t="s">
        <v>112</v>
      </c>
      <c r="H220" s="305" t="s">
        <v>111</v>
      </c>
      <c r="I220" s="305" t="s">
        <v>775</v>
      </c>
      <c r="J220" s="305" t="s">
        <v>1220</v>
      </c>
      <c r="K220" s="133">
        <v>0</v>
      </c>
      <c r="M220" s="305" t="s">
        <v>876</v>
      </c>
      <c r="N220" s="305" t="s">
        <v>875</v>
      </c>
      <c r="O220" s="305" t="s">
        <v>27</v>
      </c>
      <c r="P220" s="133">
        <v>28</v>
      </c>
      <c r="Q220" s="133">
        <v>165</v>
      </c>
      <c r="U220" s="305" t="s">
        <v>771</v>
      </c>
    </row>
    <row r="221" spans="1:21" x14ac:dyDescent="0.3">
      <c r="A221" s="305" t="s">
        <v>237</v>
      </c>
      <c r="B221" s="305" t="s">
        <v>276</v>
      </c>
      <c r="G221" s="305" t="s">
        <v>215</v>
      </c>
      <c r="H221" s="305" t="s">
        <v>214</v>
      </c>
      <c r="I221" s="305" t="s">
        <v>1745</v>
      </c>
      <c r="J221" s="73">
        <v>41000</v>
      </c>
      <c r="K221" s="133">
        <v>354</v>
      </c>
      <c r="M221" s="305" t="s">
        <v>889</v>
      </c>
      <c r="N221" s="305" t="s">
        <v>888</v>
      </c>
      <c r="O221" s="305" t="s">
        <v>151</v>
      </c>
      <c r="P221" s="133"/>
      <c r="Q221" s="133"/>
      <c r="U221" s="305" t="s">
        <v>772</v>
      </c>
    </row>
    <row r="222" spans="1:21" x14ac:dyDescent="0.3">
      <c r="A222" s="305" t="s">
        <v>237</v>
      </c>
      <c r="B222" s="305" t="s">
        <v>278</v>
      </c>
      <c r="G222" s="305" t="s">
        <v>217</v>
      </c>
      <c r="H222" s="305" t="s">
        <v>216</v>
      </c>
      <c r="I222" s="305" t="s">
        <v>775</v>
      </c>
      <c r="J222" s="73">
        <v>40817</v>
      </c>
      <c r="K222" s="133"/>
      <c r="M222" s="305" t="s">
        <v>893</v>
      </c>
      <c r="N222" s="305" t="s">
        <v>892</v>
      </c>
      <c r="O222" s="305" t="s">
        <v>299</v>
      </c>
      <c r="P222" s="133">
        <v>10</v>
      </c>
      <c r="Q222" s="133">
        <v>56</v>
      </c>
      <c r="U222" s="305" t="s">
        <v>761</v>
      </c>
    </row>
    <row r="223" spans="1:21" x14ac:dyDescent="0.3">
      <c r="A223" s="305" t="s">
        <v>237</v>
      </c>
      <c r="B223" s="305" t="s">
        <v>280</v>
      </c>
      <c r="G223" s="305" t="s">
        <v>268</v>
      </c>
      <c r="H223" s="305" t="s">
        <v>267</v>
      </c>
      <c r="I223" s="305" t="s">
        <v>1745</v>
      </c>
      <c r="J223" s="73">
        <v>40695</v>
      </c>
      <c r="K223" s="133">
        <v>68</v>
      </c>
      <c r="M223" s="305" t="s">
        <v>904</v>
      </c>
      <c r="N223" s="305" t="s">
        <v>903</v>
      </c>
      <c r="O223" s="305" t="s">
        <v>230</v>
      </c>
      <c r="P223" s="133">
        <v>41</v>
      </c>
      <c r="Q223" s="133">
        <v>190</v>
      </c>
      <c r="U223" s="305" t="s">
        <v>762</v>
      </c>
    </row>
    <row r="224" spans="1:21" x14ac:dyDescent="0.3">
      <c r="A224" s="305" t="s">
        <v>237</v>
      </c>
      <c r="B224" s="305" t="s">
        <v>238</v>
      </c>
      <c r="G224" s="305" t="s">
        <v>229</v>
      </c>
      <c r="H224" s="305" t="s">
        <v>228</v>
      </c>
      <c r="I224" s="305" t="s">
        <v>1745</v>
      </c>
      <c r="J224" s="73">
        <v>41122</v>
      </c>
      <c r="K224" s="133">
        <v>48</v>
      </c>
      <c r="M224" s="305" t="s">
        <v>906</v>
      </c>
      <c r="N224" s="305" t="s">
        <v>905</v>
      </c>
      <c r="O224" s="305" t="s">
        <v>288</v>
      </c>
      <c r="P224" s="133">
        <v>38</v>
      </c>
      <c r="Q224" s="133">
        <v>195</v>
      </c>
      <c r="U224" s="305" t="s">
        <v>838</v>
      </c>
    </row>
    <row r="225" spans="1:21" x14ac:dyDescent="0.3">
      <c r="A225" s="305" t="s">
        <v>237</v>
      </c>
      <c r="B225" s="305" t="s">
        <v>248</v>
      </c>
      <c r="G225" s="305" t="s">
        <v>272</v>
      </c>
      <c r="H225" s="305" t="s">
        <v>271</v>
      </c>
      <c r="I225" s="305" t="s">
        <v>1745</v>
      </c>
      <c r="J225" s="73">
        <v>41244</v>
      </c>
      <c r="K225" s="133">
        <v>138</v>
      </c>
      <c r="M225" s="305" t="s">
        <v>910</v>
      </c>
      <c r="N225" s="305" t="s">
        <v>917</v>
      </c>
      <c r="O225" s="305" t="s">
        <v>288</v>
      </c>
      <c r="P225" s="133">
        <v>115</v>
      </c>
      <c r="Q225" s="133">
        <v>547</v>
      </c>
      <c r="U225" s="305" t="s">
        <v>840</v>
      </c>
    </row>
    <row r="226" spans="1:21" x14ac:dyDescent="0.3">
      <c r="A226" s="305" t="s">
        <v>237</v>
      </c>
      <c r="B226" s="305" t="s">
        <v>250</v>
      </c>
      <c r="G226" s="305" t="s">
        <v>1728</v>
      </c>
      <c r="H226" s="305" t="s">
        <v>1727</v>
      </c>
      <c r="I226" s="305" t="s">
        <v>1745</v>
      </c>
      <c r="J226" s="73">
        <v>43252</v>
      </c>
      <c r="K226" s="133">
        <v>32</v>
      </c>
      <c r="M226" s="305" t="s">
        <v>912</v>
      </c>
      <c r="N226" s="305" t="s">
        <v>911</v>
      </c>
      <c r="O226" s="305" t="s">
        <v>151</v>
      </c>
      <c r="P226" s="133">
        <v>151</v>
      </c>
      <c r="Q226" s="133">
        <v>729</v>
      </c>
      <c r="U226" s="305" t="s">
        <v>904</v>
      </c>
    </row>
    <row r="227" spans="1:21" x14ac:dyDescent="0.3">
      <c r="A227" s="305" t="s">
        <v>237</v>
      </c>
      <c r="B227" s="305" t="s">
        <v>274</v>
      </c>
      <c r="G227" s="305" t="s">
        <v>219</v>
      </c>
      <c r="H227" s="305" t="s">
        <v>218</v>
      </c>
      <c r="I227" s="305" t="s">
        <v>1745</v>
      </c>
      <c r="J227" s="73">
        <v>41000</v>
      </c>
      <c r="K227" s="133">
        <v>632</v>
      </c>
      <c r="M227" s="305" t="s">
        <v>914</v>
      </c>
      <c r="N227" s="305" t="s">
        <v>913</v>
      </c>
      <c r="O227" s="305" t="s">
        <v>230</v>
      </c>
      <c r="P227" s="133">
        <v>18</v>
      </c>
      <c r="Q227" s="133">
        <v>86</v>
      </c>
      <c r="U227" s="305" t="s">
        <v>906</v>
      </c>
    </row>
    <row r="228" spans="1:21" x14ac:dyDescent="0.3">
      <c r="A228" s="305" t="s">
        <v>237</v>
      </c>
      <c r="B228" s="305" t="s">
        <v>282</v>
      </c>
      <c r="G228" s="305" t="s">
        <v>1030</v>
      </c>
      <c r="H228" s="305" t="s">
        <v>343</v>
      </c>
      <c r="I228" s="305" t="s">
        <v>1745</v>
      </c>
      <c r="J228" s="73">
        <v>40725</v>
      </c>
      <c r="K228" s="133">
        <v>185</v>
      </c>
      <c r="M228" s="305" t="s">
        <v>916</v>
      </c>
      <c r="N228" s="305" t="s">
        <v>915</v>
      </c>
      <c r="O228" s="305" t="s">
        <v>480</v>
      </c>
      <c r="P228" s="133">
        <v>106</v>
      </c>
      <c r="Q228" s="133">
        <v>514</v>
      </c>
      <c r="U228" s="305" t="s">
        <v>910</v>
      </c>
    </row>
    <row r="229" spans="1:21" x14ac:dyDescent="0.3">
      <c r="A229" s="305" t="s">
        <v>237</v>
      </c>
      <c r="B229" s="305" t="s">
        <v>1031</v>
      </c>
      <c r="G229" s="305" t="s">
        <v>1532</v>
      </c>
      <c r="H229" s="305" t="s">
        <v>1549</v>
      </c>
      <c r="I229" s="305" t="s">
        <v>1745</v>
      </c>
      <c r="J229" s="73">
        <v>42370</v>
      </c>
      <c r="K229" s="133">
        <v>35</v>
      </c>
      <c r="M229" s="305" t="s">
        <v>939</v>
      </c>
      <c r="N229" s="305" t="s">
        <v>938</v>
      </c>
      <c r="O229" s="305" t="s">
        <v>151</v>
      </c>
      <c r="P229" s="133">
        <v>155</v>
      </c>
      <c r="Q229" s="133">
        <v>681</v>
      </c>
      <c r="U229" s="305" t="s">
        <v>914</v>
      </c>
    </row>
    <row r="230" spans="1:21" x14ac:dyDescent="0.3">
      <c r="A230" s="305" t="s">
        <v>237</v>
      </c>
      <c r="B230" s="305" t="s">
        <v>1512</v>
      </c>
      <c r="G230" s="305" t="s">
        <v>1137</v>
      </c>
      <c r="H230" s="305" t="s">
        <v>1122</v>
      </c>
      <c r="I230" s="305" t="s">
        <v>1745</v>
      </c>
      <c r="J230" s="73">
        <v>42370</v>
      </c>
      <c r="K230" s="133">
        <v>17</v>
      </c>
      <c r="M230" s="305" t="s">
        <v>942</v>
      </c>
      <c r="N230" s="305" t="s">
        <v>943</v>
      </c>
      <c r="O230" s="305" t="s">
        <v>146</v>
      </c>
      <c r="P230" s="133">
        <v>22</v>
      </c>
      <c r="Q230" s="133">
        <v>95</v>
      </c>
      <c r="U230" s="305" t="s">
        <v>939</v>
      </c>
    </row>
    <row r="231" spans="1:21" x14ac:dyDescent="0.3">
      <c r="A231" s="305" t="s">
        <v>237</v>
      </c>
      <c r="B231" s="305" t="s">
        <v>1515</v>
      </c>
      <c r="G231" s="305" t="s">
        <v>790</v>
      </c>
      <c r="H231" s="305" t="s">
        <v>789</v>
      </c>
      <c r="I231" s="305" t="s">
        <v>1745</v>
      </c>
      <c r="J231" s="73">
        <v>41091</v>
      </c>
      <c r="K231" s="133">
        <v>57</v>
      </c>
      <c r="M231" s="305" t="s">
        <v>957</v>
      </c>
      <c r="N231" s="305" t="s">
        <v>956</v>
      </c>
      <c r="O231" s="305" t="s">
        <v>480</v>
      </c>
      <c r="P231" s="133"/>
      <c r="Q231" s="133"/>
      <c r="U231" s="305" t="s">
        <v>942</v>
      </c>
    </row>
    <row r="232" spans="1:21" x14ac:dyDescent="0.3">
      <c r="A232" s="305" t="s">
        <v>237</v>
      </c>
      <c r="B232" s="305" t="s">
        <v>1529</v>
      </c>
      <c r="G232" s="305" t="s">
        <v>114</v>
      </c>
      <c r="H232" s="305" t="s">
        <v>113</v>
      </c>
      <c r="I232" s="305" t="s">
        <v>775</v>
      </c>
      <c r="J232" s="305" t="s">
        <v>1220</v>
      </c>
      <c r="K232" s="133">
        <v>0</v>
      </c>
      <c r="M232" s="305" t="s">
        <v>986</v>
      </c>
      <c r="N232" s="305" t="s">
        <v>984</v>
      </c>
      <c r="O232" s="305" t="s">
        <v>180</v>
      </c>
      <c r="P232" s="133">
        <v>27</v>
      </c>
      <c r="Q232" s="133">
        <v>121</v>
      </c>
      <c r="U232" s="305" t="s">
        <v>957</v>
      </c>
    </row>
    <row r="233" spans="1:21" x14ac:dyDescent="0.3">
      <c r="A233" s="305" t="s">
        <v>237</v>
      </c>
      <c r="B233" s="305" t="s">
        <v>1674</v>
      </c>
      <c r="G233" s="305" t="s">
        <v>364</v>
      </c>
      <c r="H233" s="305" t="s">
        <v>374</v>
      </c>
      <c r="I233" s="305" t="s">
        <v>1745</v>
      </c>
      <c r="J233" s="73">
        <v>41275</v>
      </c>
      <c r="K233" s="133">
        <v>148</v>
      </c>
      <c r="M233" s="305" t="s">
        <v>987</v>
      </c>
      <c r="N233" s="305" t="s">
        <v>985</v>
      </c>
      <c r="O233" s="305" t="s">
        <v>180</v>
      </c>
      <c r="P233" s="133">
        <v>14</v>
      </c>
      <c r="Q233" s="133">
        <v>63</v>
      </c>
      <c r="U233" s="305" t="s">
        <v>986</v>
      </c>
    </row>
    <row r="234" spans="1:21" x14ac:dyDescent="0.3">
      <c r="A234" s="305" t="s">
        <v>237</v>
      </c>
      <c r="B234" s="305" t="s">
        <v>1701</v>
      </c>
      <c r="G234" s="305" t="s">
        <v>221</v>
      </c>
      <c r="H234" s="305" t="s">
        <v>220</v>
      </c>
      <c r="I234" s="305" t="s">
        <v>775</v>
      </c>
      <c r="J234" s="305" t="s">
        <v>1220</v>
      </c>
      <c r="K234" s="133"/>
      <c r="M234" s="305" t="s">
        <v>1044</v>
      </c>
      <c r="N234" s="305" t="s">
        <v>1060</v>
      </c>
      <c r="O234" s="305" t="s">
        <v>719</v>
      </c>
      <c r="P234" s="133">
        <v>32</v>
      </c>
      <c r="Q234" s="133">
        <v>170</v>
      </c>
      <c r="U234" s="305" t="s">
        <v>987</v>
      </c>
    </row>
    <row r="235" spans="1:21" x14ac:dyDescent="0.3">
      <c r="A235" s="305" t="s">
        <v>237</v>
      </c>
      <c r="B235" s="305" t="s">
        <v>1728</v>
      </c>
      <c r="G235" s="305" t="s">
        <v>353</v>
      </c>
      <c r="H235" s="305" t="s">
        <v>352</v>
      </c>
      <c r="I235" s="305" t="s">
        <v>1745</v>
      </c>
      <c r="J235" s="73">
        <v>40848</v>
      </c>
      <c r="K235" s="133">
        <v>82</v>
      </c>
      <c r="M235" s="305" t="s">
        <v>1045</v>
      </c>
      <c r="N235" s="305" t="s">
        <v>1046</v>
      </c>
      <c r="O235" s="305" t="s">
        <v>299</v>
      </c>
      <c r="P235" s="133">
        <v>61</v>
      </c>
      <c r="Q235" s="133">
        <v>281</v>
      </c>
      <c r="U235" s="305" t="s">
        <v>1044</v>
      </c>
    </row>
    <row r="236" spans="1:21" x14ac:dyDescent="0.3">
      <c r="A236" s="305" t="s">
        <v>237</v>
      </c>
      <c r="B236" s="305" t="s">
        <v>1734</v>
      </c>
      <c r="G236" s="305" t="s">
        <v>317</v>
      </c>
      <c r="H236" s="305" t="s">
        <v>316</v>
      </c>
      <c r="I236" s="305" t="s">
        <v>1745</v>
      </c>
      <c r="J236" s="73">
        <v>40725</v>
      </c>
      <c r="K236" s="133">
        <v>122</v>
      </c>
      <c r="M236" s="305" t="s">
        <v>1055</v>
      </c>
      <c r="N236" s="305" t="s">
        <v>1063</v>
      </c>
      <c r="O236" s="305" t="s">
        <v>173</v>
      </c>
      <c r="P236" s="133"/>
      <c r="Q236" s="133"/>
      <c r="U236" s="305" t="s">
        <v>1045</v>
      </c>
    </row>
    <row r="237" spans="1:21" x14ac:dyDescent="0.3">
      <c r="A237" s="305" t="s">
        <v>237</v>
      </c>
      <c r="B237" s="305" t="s">
        <v>1770</v>
      </c>
      <c r="G237" s="305" t="s">
        <v>340</v>
      </c>
      <c r="H237" s="305" t="s">
        <v>339</v>
      </c>
      <c r="I237" s="305" t="s">
        <v>1745</v>
      </c>
      <c r="J237" s="73">
        <v>40695</v>
      </c>
      <c r="K237" s="133">
        <v>66</v>
      </c>
      <c r="M237" s="305" t="s">
        <v>1056</v>
      </c>
      <c r="N237" s="305" t="s">
        <v>1062</v>
      </c>
      <c r="O237" s="305" t="s">
        <v>173</v>
      </c>
      <c r="P237" s="133">
        <v>27</v>
      </c>
      <c r="Q237" s="133">
        <v>133</v>
      </c>
      <c r="U237" s="305" t="s">
        <v>1055</v>
      </c>
    </row>
    <row r="238" spans="1:21" x14ac:dyDescent="0.3">
      <c r="A238" s="305" t="s">
        <v>288</v>
      </c>
      <c r="B238" s="305" t="s">
        <v>291</v>
      </c>
      <c r="G238" s="305" t="s">
        <v>337</v>
      </c>
      <c r="H238" s="305" t="s">
        <v>336</v>
      </c>
      <c r="I238" s="305" t="s">
        <v>1745</v>
      </c>
      <c r="J238" s="73">
        <v>40695</v>
      </c>
      <c r="K238" s="133">
        <v>35</v>
      </c>
      <c r="M238" s="305" t="s">
        <v>1057</v>
      </c>
      <c r="N238" s="305" t="s">
        <v>1054</v>
      </c>
      <c r="O238" s="305" t="s">
        <v>173</v>
      </c>
      <c r="P238" s="133">
        <v>6</v>
      </c>
      <c r="Q238" s="133">
        <v>31</v>
      </c>
      <c r="U238" s="305" t="s">
        <v>1056</v>
      </c>
    </row>
    <row r="239" spans="1:21" x14ac:dyDescent="0.3">
      <c r="A239" s="305" t="s">
        <v>288</v>
      </c>
      <c r="B239" s="305" t="s">
        <v>289</v>
      </c>
      <c r="G239" s="305" t="s">
        <v>349</v>
      </c>
      <c r="H239" s="305" t="s">
        <v>348</v>
      </c>
      <c r="I239" s="305" t="s">
        <v>775</v>
      </c>
      <c r="J239" s="73">
        <v>40940</v>
      </c>
      <c r="K239" s="133">
        <v>92</v>
      </c>
      <c r="M239" s="305" t="s">
        <v>1067</v>
      </c>
      <c r="N239" s="305" t="s">
        <v>1066</v>
      </c>
      <c r="O239" s="305" t="s">
        <v>746</v>
      </c>
      <c r="P239" s="133">
        <v>123</v>
      </c>
      <c r="Q239" s="133">
        <v>637</v>
      </c>
      <c r="U239" s="305" t="s">
        <v>1057</v>
      </c>
    </row>
    <row r="240" spans="1:21" x14ac:dyDescent="0.3">
      <c r="A240" s="305" t="s">
        <v>288</v>
      </c>
      <c r="B240" s="305" t="s">
        <v>372</v>
      </c>
      <c r="G240" s="305" t="s">
        <v>118</v>
      </c>
      <c r="H240" s="305" t="s">
        <v>117</v>
      </c>
      <c r="I240" s="305" t="s">
        <v>1745</v>
      </c>
      <c r="J240" s="73">
        <v>41275</v>
      </c>
      <c r="K240" s="133">
        <v>10</v>
      </c>
      <c r="M240" s="305" t="s">
        <v>1069</v>
      </c>
      <c r="N240" s="305" t="s">
        <v>1068</v>
      </c>
      <c r="O240" s="305" t="s">
        <v>746</v>
      </c>
      <c r="P240" s="133">
        <v>63</v>
      </c>
      <c r="Q240" s="133">
        <v>332</v>
      </c>
      <c r="U240" s="305" t="s">
        <v>1067</v>
      </c>
    </row>
    <row r="241" spans="1:21" x14ac:dyDescent="0.3">
      <c r="A241" s="305" t="s">
        <v>288</v>
      </c>
      <c r="B241" s="305" t="s">
        <v>373</v>
      </c>
      <c r="G241" s="305" t="s">
        <v>22</v>
      </c>
      <c r="H241" s="305" t="s">
        <v>21</v>
      </c>
      <c r="I241" s="305" t="s">
        <v>1745</v>
      </c>
      <c r="J241" s="73">
        <v>40725</v>
      </c>
      <c r="K241" s="133">
        <v>641</v>
      </c>
      <c r="M241" s="305" t="s">
        <v>1081</v>
      </c>
      <c r="N241" s="305" t="s">
        <v>1080</v>
      </c>
      <c r="O241" s="305" t="s">
        <v>185</v>
      </c>
      <c r="P241" s="133"/>
      <c r="Q241" s="133"/>
      <c r="U241" s="305" t="s">
        <v>1069</v>
      </c>
    </row>
    <row r="242" spans="1:21" x14ac:dyDescent="0.3">
      <c r="A242" s="305" t="s">
        <v>288</v>
      </c>
      <c r="B242" s="305" t="s">
        <v>293</v>
      </c>
      <c r="G242" s="305" t="s">
        <v>122</v>
      </c>
      <c r="H242" s="305" t="s">
        <v>121</v>
      </c>
      <c r="I242" s="305" t="s">
        <v>775</v>
      </c>
      <c r="J242" s="305" t="s">
        <v>1220</v>
      </c>
      <c r="K242" s="133">
        <v>0</v>
      </c>
      <c r="M242" s="305" t="s">
        <v>1083</v>
      </c>
      <c r="N242" s="305" t="s">
        <v>1082</v>
      </c>
      <c r="O242" s="305" t="s">
        <v>146</v>
      </c>
      <c r="P242" s="133">
        <v>103</v>
      </c>
      <c r="Q242" s="133">
        <v>578</v>
      </c>
      <c r="U242" s="305" t="s">
        <v>1081</v>
      </c>
    </row>
    <row r="243" spans="1:21" x14ac:dyDescent="0.3">
      <c r="A243" s="305" t="s">
        <v>288</v>
      </c>
      <c r="B243" s="305" t="s">
        <v>905</v>
      </c>
      <c r="G243" s="305" t="s">
        <v>1260</v>
      </c>
      <c r="H243" s="305" t="s">
        <v>1548</v>
      </c>
      <c r="I243" s="305" t="s">
        <v>1745</v>
      </c>
      <c r="J243" s="73">
        <v>42751</v>
      </c>
      <c r="K243" s="133">
        <v>80</v>
      </c>
      <c r="M243" s="305" t="s">
        <v>1134</v>
      </c>
      <c r="N243" s="305" t="s">
        <v>1133</v>
      </c>
      <c r="O243" s="305" t="s">
        <v>480</v>
      </c>
      <c r="P243" s="133"/>
      <c r="Q243" s="133"/>
      <c r="U243" s="305" t="s">
        <v>1083</v>
      </c>
    </row>
    <row r="244" spans="1:21" x14ac:dyDescent="0.3">
      <c r="A244" s="305" t="s">
        <v>288</v>
      </c>
      <c r="B244" s="305" t="s">
        <v>917</v>
      </c>
      <c r="G244" s="305" t="s">
        <v>124</v>
      </c>
      <c r="H244" s="305" t="s">
        <v>123</v>
      </c>
      <c r="I244" s="305" t="s">
        <v>775</v>
      </c>
      <c r="J244" s="73">
        <v>41275</v>
      </c>
      <c r="K244" s="133">
        <v>8</v>
      </c>
      <c r="M244" s="305" t="s">
        <v>1132</v>
      </c>
      <c r="N244" s="305" t="s">
        <v>295</v>
      </c>
      <c r="O244" s="305" t="s">
        <v>151</v>
      </c>
      <c r="P244" s="133"/>
      <c r="Q244" s="133"/>
      <c r="U244" s="305" t="s">
        <v>1134</v>
      </c>
    </row>
    <row r="245" spans="1:21" x14ac:dyDescent="0.3">
      <c r="A245" s="305" t="s">
        <v>288</v>
      </c>
      <c r="B245" s="305" t="s">
        <v>1129</v>
      </c>
      <c r="G245" s="305" t="s">
        <v>1068</v>
      </c>
      <c r="H245" s="305" t="s">
        <v>1069</v>
      </c>
      <c r="I245" s="305" t="s">
        <v>1745</v>
      </c>
      <c r="J245" s="73">
        <v>42036</v>
      </c>
      <c r="K245" s="133">
        <v>63</v>
      </c>
      <c r="M245" s="305" t="s">
        <v>1121</v>
      </c>
      <c r="N245" s="305" t="s">
        <v>1618</v>
      </c>
      <c r="O245" s="305" t="s">
        <v>146</v>
      </c>
      <c r="P245" s="133">
        <v>82</v>
      </c>
      <c r="Q245" s="133">
        <v>424</v>
      </c>
      <c r="U245" s="305" t="s">
        <v>1132</v>
      </c>
    </row>
    <row r="246" spans="1:21" x14ac:dyDescent="0.3">
      <c r="A246" s="305" t="s">
        <v>288</v>
      </c>
      <c r="B246" s="305" t="s">
        <v>1130</v>
      </c>
      <c r="G246" s="305" t="s">
        <v>96</v>
      </c>
      <c r="H246" s="305" t="s">
        <v>95</v>
      </c>
      <c r="I246" s="305" t="s">
        <v>775</v>
      </c>
      <c r="J246" s="305" t="s">
        <v>1220</v>
      </c>
      <c r="K246" s="133">
        <v>0</v>
      </c>
      <c r="M246" s="305" t="s">
        <v>1122</v>
      </c>
      <c r="N246" s="305" t="s">
        <v>1137</v>
      </c>
      <c r="O246" s="305" t="s">
        <v>297</v>
      </c>
      <c r="P246" s="133">
        <v>17</v>
      </c>
      <c r="Q246" s="133">
        <v>83</v>
      </c>
      <c r="U246" s="305" t="s">
        <v>1121</v>
      </c>
    </row>
    <row r="247" spans="1:21" x14ac:dyDescent="0.3">
      <c r="A247" s="305" t="s">
        <v>297</v>
      </c>
      <c r="B247" s="305" t="s">
        <v>759</v>
      </c>
      <c r="G247" s="305" t="s">
        <v>1063</v>
      </c>
      <c r="H247" s="305" t="s">
        <v>1055</v>
      </c>
      <c r="I247" s="305" t="s">
        <v>775</v>
      </c>
      <c r="J247" s="73">
        <v>42125</v>
      </c>
      <c r="K247" s="133"/>
      <c r="M247" s="305" t="s">
        <v>1123</v>
      </c>
      <c r="N247" s="305" t="s">
        <v>1140</v>
      </c>
      <c r="O247" s="305" t="s">
        <v>166</v>
      </c>
      <c r="P247" s="133">
        <v>36</v>
      </c>
      <c r="Q247" s="133">
        <v>188</v>
      </c>
      <c r="U247" s="305" t="s">
        <v>1122</v>
      </c>
    </row>
    <row r="248" spans="1:21" x14ac:dyDescent="0.3">
      <c r="A248" s="305" t="s">
        <v>297</v>
      </c>
      <c r="B248" s="305" t="s">
        <v>534</v>
      </c>
      <c r="G248" s="305" t="s">
        <v>1062</v>
      </c>
      <c r="H248" s="305" t="s">
        <v>1056</v>
      </c>
      <c r="I248" s="305" t="s">
        <v>1745</v>
      </c>
      <c r="J248" s="73">
        <v>42125</v>
      </c>
      <c r="K248" s="133">
        <v>27</v>
      </c>
      <c r="M248" s="305" t="s">
        <v>1124</v>
      </c>
      <c r="N248" s="305" t="s">
        <v>1129</v>
      </c>
      <c r="O248" s="305" t="s">
        <v>288</v>
      </c>
      <c r="P248" s="133"/>
      <c r="Q248" s="133"/>
      <c r="U248" s="305" t="s">
        <v>1123</v>
      </c>
    </row>
    <row r="249" spans="1:21" x14ac:dyDescent="0.3">
      <c r="A249" s="305" t="s">
        <v>297</v>
      </c>
      <c r="B249" s="305" t="s">
        <v>1137</v>
      </c>
      <c r="G249" s="305" t="s">
        <v>875</v>
      </c>
      <c r="H249" s="305" t="s">
        <v>876</v>
      </c>
      <c r="I249" s="305" t="s">
        <v>1745</v>
      </c>
      <c r="J249" s="73">
        <v>41091</v>
      </c>
      <c r="K249" s="133">
        <v>28</v>
      </c>
      <c r="M249" s="305" t="s">
        <v>1125</v>
      </c>
      <c r="N249" s="305" t="s">
        <v>1130</v>
      </c>
      <c r="O249" s="305" t="s">
        <v>288</v>
      </c>
      <c r="P249" s="133">
        <v>62</v>
      </c>
      <c r="Q249" s="133">
        <v>328</v>
      </c>
      <c r="U249" s="305" t="s">
        <v>1124</v>
      </c>
    </row>
    <row r="250" spans="1:21" x14ac:dyDescent="0.3">
      <c r="A250" s="305" t="s">
        <v>297</v>
      </c>
      <c r="B250" s="305" t="s">
        <v>1186</v>
      </c>
      <c r="G250" s="305" t="s">
        <v>225</v>
      </c>
      <c r="H250" s="305" t="s">
        <v>224</v>
      </c>
      <c r="I250" s="305" t="s">
        <v>1745</v>
      </c>
      <c r="J250" s="73">
        <v>41122</v>
      </c>
      <c r="K250" s="133">
        <v>43</v>
      </c>
      <c r="M250" s="305" t="s">
        <v>1126</v>
      </c>
      <c r="N250" s="305" t="s">
        <v>1573</v>
      </c>
      <c r="O250" s="305" t="s">
        <v>146</v>
      </c>
      <c r="P250" s="133">
        <v>41</v>
      </c>
      <c r="Q250" s="133">
        <v>137</v>
      </c>
      <c r="U250" s="305" t="s">
        <v>1125</v>
      </c>
    </row>
    <row r="251" spans="1:21" x14ac:dyDescent="0.3">
      <c r="A251" s="305" t="s">
        <v>297</v>
      </c>
      <c r="B251" s="305" t="s">
        <v>1188</v>
      </c>
      <c r="G251" s="305" t="s">
        <v>1266</v>
      </c>
      <c r="H251" s="305" t="s">
        <v>1264</v>
      </c>
      <c r="I251" s="305" t="s">
        <v>1745</v>
      </c>
      <c r="J251" s="73">
        <v>42752</v>
      </c>
      <c r="K251" s="133">
        <v>405</v>
      </c>
      <c r="M251" s="305" t="s">
        <v>1127</v>
      </c>
      <c r="N251" s="305" t="s">
        <v>1143</v>
      </c>
      <c r="O251" s="305" t="s">
        <v>719</v>
      </c>
      <c r="P251" s="133"/>
      <c r="Q251" s="133"/>
      <c r="U251" s="305" t="s">
        <v>1126</v>
      </c>
    </row>
    <row r="252" spans="1:21" x14ac:dyDescent="0.3">
      <c r="A252" s="305" t="s">
        <v>297</v>
      </c>
      <c r="B252" s="305" t="s">
        <v>1189</v>
      </c>
      <c r="G252" s="305" t="s">
        <v>1158</v>
      </c>
      <c r="H252" s="305" t="s">
        <v>1161</v>
      </c>
      <c r="I252" s="305" t="s">
        <v>1745</v>
      </c>
      <c r="J252" s="73">
        <v>42584</v>
      </c>
      <c r="K252" s="133">
        <v>31</v>
      </c>
      <c r="M252" s="305" t="s">
        <v>1128</v>
      </c>
      <c r="N252" s="305" t="s">
        <v>1146</v>
      </c>
      <c r="O252" s="305" t="s">
        <v>146</v>
      </c>
      <c r="P252" s="133">
        <v>30</v>
      </c>
      <c r="Q252" s="133">
        <v>170</v>
      </c>
      <c r="U252" s="305" t="s">
        <v>1127</v>
      </c>
    </row>
    <row r="253" spans="1:21" x14ac:dyDescent="0.3">
      <c r="A253" s="305" t="s">
        <v>297</v>
      </c>
      <c r="B253" s="305" t="s">
        <v>1190</v>
      </c>
      <c r="G253" s="305" t="s">
        <v>1157</v>
      </c>
      <c r="H253" s="305" t="s">
        <v>1163</v>
      </c>
      <c r="I253" s="305" t="s">
        <v>1745</v>
      </c>
      <c r="J253" s="73">
        <v>42584</v>
      </c>
      <c r="K253" s="133">
        <v>4</v>
      </c>
      <c r="M253" s="305" t="s">
        <v>1160</v>
      </c>
      <c r="N253" s="305" t="s">
        <v>1154</v>
      </c>
      <c r="O253" s="305" t="s">
        <v>480</v>
      </c>
      <c r="P253" s="133"/>
      <c r="Q253" s="133"/>
      <c r="U253" s="305" t="s">
        <v>1128</v>
      </c>
    </row>
    <row r="254" spans="1:21" x14ac:dyDescent="0.3">
      <c r="A254" s="305" t="s">
        <v>297</v>
      </c>
      <c r="B254" s="305" t="s">
        <v>1191</v>
      </c>
      <c r="G254" s="305" t="s">
        <v>276</v>
      </c>
      <c r="H254" s="305" t="s">
        <v>275</v>
      </c>
      <c r="I254" s="305" t="s">
        <v>1745</v>
      </c>
      <c r="J254" s="73">
        <v>40756</v>
      </c>
      <c r="K254" s="133">
        <v>120</v>
      </c>
      <c r="M254" s="305" t="s">
        <v>1161</v>
      </c>
      <c r="N254" s="305" t="s">
        <v>1158</v>
      </c>
      <c r="O254" s="305" t="s">
        <v>480</v>
      </c>
      <c r="P254" s="133">
        <v>31</v>
      </c>
      <c r="Q254" s="133">
        <v>129</v>
      </c>
      <c r="U254" s="305" t="s">
        <v>1160</v>
      </c>
    </row>
    <row r="255" spans="1:21" x14ac:dyDescent="0.3">
      <c r="A255" s="305" t="s">
        <v>297</v>
      </c>
      <c r="B255" s="305" t="s">
        <v>1278</v>
      </c>
      <c r="G255" s="305" t="s">
        <v>278</v>
      </c>
      <c r="H255" s="305" t="s">
        <v>277</v>
      </c>
      <c r="I255" s="305" t="s">
        <v>1745</v>
      </c>
      <c r="J255" s="73">
        <v>40909</v>
      </c>
      <c r="K255" s="133">
        <v>23</v>
      </c>
      <c r="M255" s="305" t="s">
        <v>1162</v>
      </c>
      <c r="N255" s="305" t="s">
        <v>1155</v>
      </c>
      <c r="O255" s="305" t="s">
        <v>480</v>
      </c>
      <c r="P255" s="133"/>
      <c r="Q255" s="133"/>
      <c r="U255" s="305" t="s">
        <v>1161</v>
      </c>
    </row>
    <row r="256" spans="1:21" x14ac:dyDescent="0.3">
      <c r="A256" s="305" t="s">
        <v>299</v>
      </c>
      <c r="B256" s="305" t="s">
        <v>815</v>
      </c>
      <c r="G256" s="305" t="s">
        <v>345</v>
      </c>
      <c r="H256" s="305" t="s">
        <v>344</v>
      </c>
      <c r="I256" s="305" t="s">
        <v>1745</v>
      </c>
      <c r="J256" s="73">
        <v>40848</v>
      </c>
      <c r="K256" s="133">
        <v>182</v>
      </c>
      <c r="M256" s="305" t="s">
        <v>1163</v>
      </c>
      <c r="N256" s="305" t="s">
        <v>1157</v>
      </c>
      <c r="O256" s="305" t="s">
        <v>480</v>
      </c>
      <c r="P256" s="133">
        <v>4</v>
      </c>
      <c r="Q256" s="133">
        <v>11</v>
      </c>
      <c r="U256" s="305" t="s">
        <v>1162</v>
      </c>
    </row>
    <row r="257" spans="1:21" x14ac:dyDescent="0.3">
      <c r="A257" s="305" t="s">
        <v>299</v>
      </c>
      <c r="B257" s="305" t="s">
        <v>300</v>
      </c>
      <c r="G257" s="305" t="s">
        <v>305</v>
      </c>
      <c r="H257" s="305" t="s">
        <v>304</v>
      </c>
      <c r="I257" s="305" t="s">
        <v>1745</v>
      </c>
      <c r="J257" s="73">
        <v>40725</v>
      </c>
      <c r="K257" s="133">
        <v>91</v>
      </c>
      <c r="M257" s="305" t="s">
        <v>1164</v>
      </c>
      <c r="N257" s="305" t="s">
        <v>1156</v>
      </c>
      <c r="O257" s="305" t="s">
        <v>480</v>
      </c>
      <c r="P257" s="133">
        <v>22</v>
      </c>
      <c r="Q257" s="133">
        <v>95</v>
      </c>
      <c r="U257" s="305" t="s">
        <v>1163</v>
      </c>
    </row>
    <row r="258" spans="1:21" x14ac:dyDescent="0.3">
      <c r="A258" s="305" t="s">
        <v>299</v>
      </c>
      <c r="B258" s="305" t="s">
        <v>892</v>
      </c>
      <c r="G258" s="305" t="s">
        <v>307</v>
      </c>
      <c r="H258" s="305" t="s">
        <v>306</v>
      </c>
      <c r="I258" s="305" t="s">
        <v>1745</v>
      </c>
      <c r="J258" s="73">
        <v>40725</v>
      </c>
      <c r="K258" s="133">
        <v>47</v>
      </c>
      <c r="M258" s="305" t="s">
        <v>1169</v>
      </c>
      <c r="N258" s="305" t="s">
        <v>1186</v>
      </c>
      <c r="O258" s="305" t="s">
        <v>297</v>
      </c>
      <c r="P258" s="133"/>
      <c r="Q258" s="133"/>
      <c r="U258" s="305" t="s">
        <v>1164</v>
      </c>
    </row>
    <row r="259" spans="1:21" x14ac:dyDescent="0.3">
      <c r="A259" s="305" t="s">
        <v>299</v>
      </c>
      <c r="B259" s="305" t="s">
        <v>1046</v>
      </c>
      <c r="G259" s="305" t="s">
        <v>1186</v>
      </c>
      <c r="H259" s="305" t="s">
        <v>1169</v>
      </c>
      <c r="I259" s="305" t="s">
        <v>775</v>
      </c>
      <c r="J259" s="305" t="s">
        <v>1220</v>
      </c>
      <c r="K259" s="133"/>
      <c r="M259" s="305" t="s">
        <v>1170</v>
      </c>
      <c r="N259" s="305" t="s">
        <v>1188</v>
      </c>
      <c r="O259" s="305" t="s">
        <v>297</v>
      </c>
      <c r="P259" s="133">
        <v>13</v>
      </c>
      <c r="Q259" s="133">
        <v>45</v>
      </c>
      <c r="U259" s="305" t="s">
        <v>1169</v>
      </c>
    </row>
    <row r="260" spans="1:21" x14ac:dyDescent="0.3">
      <c r="A260" s="305" t="s">
        <v>301</v>
      </c>
      <c r="B260" s="305" t="s">
        <v>12</v>
      </c>
      <c r="G260" s="305" t="s">
        <v>280</v>
      </c>
      <c r="H260" s="305" t="s">
        <v>279</v>
      </c>
      <c r="I260" s="305" t="s">
        <v>1745</v>
      </c>
      <c r="J260" s="73">
        <v>40725</v>
      </c>
      <c r="K260" s="133">
        <v>91</v>
      </c>
      <c r="M260" s="305" t="s">
        <v>1171</v>
      </c>
      <c r="N260" s="305" t="s">
        <v>1189</v>
      </c>
      <c r="O260" s="305" t="s">
        <v>297</v>
      </c>
      <c r="P260" s="133"/>
      <c r="Q260" s="133"/>
      <c r="U260" s="305" t="s">
        <v>1170</v>
      </c>
    </row>
    <row r="261" spans="1:21" x14ac:dyDescent="0.3">
      <c r="A261" s="305" t="s">
        <v>301</v>
      </c>
      <c r="B261" s="305" t="s">
        <v>305</v>
      </c>
      <c r="G261" s="305" t="s">
        <v>813</v>
      </c>
      <c r="H261" s="305" t="s">
        <v>814</v>
      </c>
      <c r="I261" s="305" t="s">
        <v>775</v>
      </c>
      <c r="J261" s="305" t="s">
        <v>1220</v>
      </c>
      <c r="K261" s="133">
        <v>0</v>
      </c>
      <c r="M261" s="305" t="s">
        <v>1172</v>
      </c>
      <c r="N261" s="305" t="s">
        <v>1190</v>
      </c>
      <c r="O261" s="305" t="s">
        <v>297</v>
      </c>
      <c r="P261" s="133"/>
      <c r="Q261" s="133"/>
      <c r="U261" s="305" t="s">
        <v>1171</v>
      </c>
    </row>
    <row r="262" spans="1:21" x14ac:dyDescent="0.3">
      <c r="A262" s="305" t="s">
        <v>301</v>
      </c>
      <c r="B262" s="305" t="s">
        <v>307</v>
      </c>
      <c r="G262" s="305" t="s">
        <v>1904</v>
      </c>
      <c r="H262" s="305" t="s">
        <v>1406</v>
      </c>
      <c r="I262" s="305" t="s">
        <v>1745</v>
      </c>
      <c r="J262" s="73">
        <v>42741</v>
      </c>
      <c r="K262" s="133">
        <v>139</v>
      </c>
      <c r="M262" s="305" t="s">
        <v>1173</v>
      </c>
      <c r="N262" s="305" t="s">
        <v>1191</v>
      </c>
      <c r="O262" s="305" t="s">
        <v>297</v>
      </c>
      <c r="P262" s="133">
        <v>35</v>
      </c>
      <c r="Q262" s="133">
        <v>192</v>
      </c>
      <c r="U262" s="305" t="s">
        <v>1172</v>
      </c>
    </row>
    <row r="263" spans="1:21" x14ac:dyDescent="0.3">
      <c r="A263" s="305" t="s">
        <v>746</v>
      </c>
      <c r="B263" s="305" t="s">
        <v>746</v>
      </c>
      <c r="G263" s="305" t="s">
        <v>181</v>
      </c>
      <c r="H263" s="305" t="s">
        <v>179</v>
      </c>
      <c r="I263" s="305" t="s">
        <v>1745</v>
      </c>
      <c r="J263" s="73">
        <v>41061</v>
      </c>
      <c r="K263" s="133">
        <v>11</v>
      </c>
      <c r="M263" s="305" t="s">
        <v>1174</v>
      </c>
      <c r="N263" s="305" t="s">
        <v>1198</v>
      </c>
      <c r="O263" s="305" t="s">
        <v>230</v>
      </c>
      <c r="P263" s="133"/>
      <c r="Q263" s="133"/>
      <c r="U263" s="305" t="s">
        <v>1173</v>
      </c>
    </row>
    <row r="264" spans="1:21" x14ac:dyDescent="0.3">
      <c r="A264" s="305" t="s">
        <v>746</v>
      </c>
      <c r="B264" s="305" t="s">
        <v>1066</v>
      </c>
      <c r="G264" s="305" t="s">
        <v>822</v>
      </c>
      <c r="H264" s="305" t="s">
        <v>821</v>
      </c>
      <c r="I264" s="305" t="s">
        <v>775</v>
      </c>
      <c r="J264" s="305" t="s">
        <v>1220</v>
      </c>
      <c r="K264" s="133"/>
      <c r="M264" s="305" t="s">
        <v>1175</v>
      </c>
      <c r="N264" s="305" t="s">
        <v>1208</v>
      </c>
      <c r="O264" s="305" t="s">
        <v>230</v>
      </c>
      <c r="P264" s="133"/>
      <c r="Q264" s="133"/>
      <c r="U264" s="305" t="s">
        <v>1174</v>
      </c>
    </row>
    <row r="265" spans="1:21" x14ac:dyDescent="0.3">
      <c r="A265" s="305" t="s">
        <v>746</v>
      </c>
      <c r="B265" s="305" t="s">
        <v>1068</v>
      </c>
      <c r="G265" s="305" t="s">
        <v>1192</v>
      </c>
      <c r="H265" s="305" t="s">
        <v>1180</v>
      </c>
      <c r="I265" s="305" t="s">
        <v>775</v>
      </c>
      <c r="J265" s="305" t="s">
        <v>1220</v>
      </c>
      <c r="K265" s="133"/>
      <c r="M265" s="305" t="s">
        <v>1176</v>
      </c>
      <c r="N265" s="305" t="s">
        <v>1209</v>
      </c>
      <c r="O265" s="305" t="s">
        <v>230</v>
      </c>
      <c r="P265" s="133"/>
      <c r="Q265" s="133"/>
      <c r="U265" s="305" t="s">
        <v>1175</v>
      </c>
    </row>
    <row r="266" spans="1:21" x14ac:dyDescent="0.3">
      <c r="A266" s="305" t="s">
        <v>309</v>
      </c>
      <c r="B266" s="305" t="s">
        <v>356</v>
      </c>
      <c r="G266" s="305" t="s">
        <v>746</v>
      </c>
      <c r="H266" s="305" t="s">
        <v>750</v>
      </c>
      <c r="I266" s="305" t="s">
        <v>1745</v>
      </c>
      <c r="J266" s="305" t="s">
        <v>1220</v>
      </c>
      <c r="K266" s="133">
        <v>5</v>
      </c>
      <c r="M266" s="305" t="s">
        <v>1177</v>
      </c>
      <c r="N266" s="305" t="s">
        <v>1199</v>
      </c>
      <c r="O266" s="305" t="s">
        <v>230</v>
      </c>
      <c r="P266" s="133"/>
      <c r="Q266" s="133"/>
      <c r="U266" s="305" t="s">
        <v>1176</v>
      </c>
    </row>
    <row r="267" spans="1:21" x14ac:dyDescent="0.3">
      <c r="A267" s="305" t="s">
        <v>309</v>
      </c>
      <c r="B267" s="305" t="s">
        <v>333</v>
      </c>
      <c r="G267" s="305" t="s">
        <v>24</v>
      </c>
      <c r="H267" s="305" t="s">
        <v>23</v>
      </c>
      <c r="I267" s="305" t="s">
        <v>775</v>
      </c>
      <c r="J267" s="73">
        <v>41030</v>
      </c>
      <c r="K267" s="133">
        <v>20</v>
      </c>
      <c r="M267" s="305" t="s">
        <v>1178</v>
      </c>
      <c r="N267" s="305" t="s">
        <v>1210</v>
      </c>
      <c r="O267" s="305" t="s">
        <v>230</v>
      </c>
      <c r="P267" s="133"/>
      <c r="Q267" s="133"/>
      <c r="U267" s="305" t="s">
        <v>1177</v>
      </c>
    </row>
    <row r="268" spans="1:21" x14ac:dyDescent="0.3">
      <c r="A268" s="305" t="s">
        <v>309</v>
      </c>
      <c r="B268" s="305" t="s">
        <v>312</v>
      </c>
      <c r="G268" s="305" t="s">
        <v>1394</v>
      </c>
      <c r="H268" s="305" t="s">
        <v>1407</v>
      </c>
      <c r="I268" s="305" t="s">
        <v>1745</v>
      </c>
      <c r="J268" s="73">
        <v>42741</v>
      </c>
      <c r="K268" s="133">
        <v>42</v>
      </c>
      <c r="M268" s="305" t="s">
        <v>1179</v>
      </c>
      <c r="N268" s="305" t="s">
        <v>1214</v>
      </c>
      <c r="O268" s="305" t="s">
        <v>230</v>
      </c>
      <c r="P268" s="133"/>
      <c r="Q268" s="133"/>
      <c r="U268" s="305" t="s">
        <v>1178</v>
      </c>
    </row>
    <row r="269" spans="1:21" x14ac:dyDescent="0.3">
      <c r="A269" s="305" t="s">
        <v>309</v>
      </c>
      <c r="B269" s="305" t="s">
        <v>335</v>
      </c>
      <c r="G269" s="305" t="s">
        <v>1396</v>
      </c>
      <c r="H269" s="305" t="s">
        <v>1409</v>
      </c>
      <c r="I269" s="305" t="s">
        <v>1745</v>
      </c>
      <c r="J269" s="73">
        <v>42741</v>
      </c>
      <c r="K269" s="133">
        <v>34</v>
      </c>
      <c r="M269" s="305" t="s">
        <v>1180</v>
      </c>
      <c r="N269" s="305" t="s">
        <v>1192</v>
      </c>
      <c r="O269" s="305" t="s">
        <v>230</v>
      </c>
      <c r="P269" s="133"/>
      <c r="Q269" s="133"/>
      <c r="U269" s="305" t="s">
        <v>1179</v>
      </c>
    </row>
    <row r="270" spans="1:21" x14ac:dyDescent="0.3">
      <c r="A270" s="305" t="s">
        <v>309</v>
      </c>
      <c r="B270" s="305" t="s">
        <v>751</v>
      </c>
      <c r="G270" s="305" t="s">
        <v>1732</v>
      </c>
      <c r="H270" s="305" t="s">
        <v>1408</v>
      </c>
      <c r="I270" s="305" t="s">
        <v>1745</v>
      </c>
      <c r="J270" s="73">
        <v>42741</v>
      </c>
      <c r="K270" s="133">
        <v>101</v>
      </c>
      <c r="M270" s="305" t="s">
        <v>1181</v>
      </c>
      <c r="N270" s="305" t="s">
        <v>1193</v>
      </c>
      <c r="O270" s="305" t="s">
        <v>230</v>
      </c>
      <c r="P270" s="133"/>
      <c r="Q270" s="133"/>
      <c r="U270" s="305" t="s">
        <v>1180</v>
      </c>
    </row>
    <row r="271" spans="1:21" x14ac:dyDescent="0.3">
      <c r="A271" s="305" t="s">
        <v>309</v>
      </c>
      <c r="B271" s="305" t="s">
        <v>319</v>
      </c>
      <c r="G271" s="305" t="s">
        <v>1674</v>
      </c>
      <c r="H271" s="305" t="s">
        <v>1657</v>
      </c>
      <c r="I271" s="305" t="s">
        <v>1745</v>
      </c>
      <c r="J271" s="73">
        <v>43212</v>
      </c>
      <c r="K271" s="133">
        <v>229</v>
      </c>
      <c r="M271" s="305" t="s">
        <v>1182</v>
      </c>
      <c r="N271" s="305" t="s">
        <v>1194</v>
      </c>
      <c r="O271" s="305" t="s">
        <v>230</v>
      </c>
      <c r="P271" s="133"/>
      <c r="Q271" s="133"/>
      <c r="U271" s="305" t="s">
        <v>1181</v>
      </c>
    </row>
    <row r="272" spans="1:21" x14ac:dyDescent="0.3">
      <c r="A272" s="305" t="s">
        <v>309</v>
      </c>
      <c r="B272" s="305" t="s">
        <v>321</v>
      </c>
      <c r="G272" s="305" t="s">
        <v>132</v>
      </c>
      <c r="H272" s="305" t="s">
        <v>131</v>
      </c>
      <c r="I272" s="305" t="s">
        <v>775</v>
      </c>
      <c r="J272" s="305" t="s">
        <v>1220</v>
      </c>
      <c r="K272" s="133">
        <v>0</v>
      </c>
      <c r="M272" s="305" t="s">
        <v>1183</v>
      </c>
      <c r="N272" s="305" t="s">
        <v>1195</v>
      </c>
      <c r="O272" s="305" t="s">
        <v>230</v>
      </c>
      <c r="P272" s="133"/>
      <c r="Q272" s="133"/>
      <c r="U272" s="305" t="s">
        <v>1182</v>
      </c>
    </row>
    <row r="273" spans="1:21" x14ac:dyDescent="0.3">
      <c r="A273" s="305" t="s">
        <v>309</v>
      </c>
      <c r="B273" s="305" t="s">
        <v>327</v>
      </c>
      <c r="G273" s="305" t="s">
        <v>227</v>
      </c>
      <c r="H273" s="305" t="s">
        <v>226</v>
      </c>
      <c r="I273" s="305" t="s">
        <v>775</v>
      </c>
      <c r="J273" s="305" t="s">
        <v>1220</v>
      </c>
      <c r="K273" s="133"/>
      <c r="M273" s="305" t="s">
        <v>1184</v>
      </c>
      <c r="N273" s="305" t="s">
        <v>1196</v>
      </c>
      <c r="O273" s="305" t="s">
        <v>230</v>
      </c>
      <c r="P273" s="133"/>
      <c r="Q273" s="133"/>
      <c r="U273" s="305" t="s">
        <v>1183</v>
      </c>
    </row>
    <row r="274" spans="1:21" x14ac:dyDescent="0.3">
      <c r="A274" s="305" t="s">
        <v>309</v>
      </c>
      <c r="B274" s="305" t="s">
        <v>329</v>
      </c>
      <c r="G274" s="305" t="s">
        <v>238</v>
      </c>
      <c r="H274" s="305" t="s">
        <v>236</v>
      </c>
      <c r="I274" s="305" t="s">
        <v>1745</v>
      </c>
      <c r="J274" s="73">
        <v>40695</v>
      </c>
      <c r="K274" s="133">
        <v>75</v>
      </c>
      <c r="M274" s="305" t="s">
        <v>1185</v>
      </c>
      <c r="N274" s="305" t="s">
        <v>1197</v>
      </c>
      <c r="O274" s="305" t="s">
        <v>1200</v>
      </c>
      <c r="P274" s="133">
        <v>37</v>
      </c>
      <c r="Q274" s="133">
        <v>120</v>
      </c>
      <c r="U274" s="305" t="s">
        <v>1184</v>
      </c>
    </row>
    <row r="275" spans="1:21" x14ac:dyDescent="0.3">
      <c r="A275" s="305" t="s">
        <v>309</v>
      </c>
      <c r="B275" s="305" t="s">
        <v>323</v>
      </c>
      <c r="G275" s="305" t="s">
        <v>1031</v>
      </c>
      <c r="H275" s="305" t="s">
        <v>241</v>
      </c>
      <c r="I275" s="305" t="s">
        <v>1745</v>
      </c>
      <c r="J275" s="73">
        <v>41000</v>
      </c>
      <c r="K275" s="133">
        <v>55</v>
      </c>
      <c r="M275" s="305" t="s">
        <v>1231</v>
      </c>
      <c r="N275" s="305" t="s">
        <v>1232</v>
      </c>
      <c r="O275" s="305" t="s">
        <v>146</v>
      </c>
      <c r="P275" s="133">
        <v>37</v>
      </c>
      <c r="Q275" s="133">
        <v>161</v>
      </c>
      <c r="U275" s="305" t="s">
        <v>1185</v>
      </c>
    </row>
    <row r="276" spans="1:21" x14ac:dyDescent="0.3">
      <c r="A276" s="305" t="s">
        <v>309</v>
      </c>
      <c r="B276" s="305" t="s">
        <v>325</v>
      </c>
      <c r="G276" s="305" t="s">
        <v>248</v>
      </c>
      <c r="H276" s="305" t="s">
        <v>247</v>
      </c>
      <c r="I276" s="305" t="s">
        <v>1745</v>
      </c>
      <c r="J276" s="73">
        <v>40756</v>
      </c>
      <c r="K276" s="133">
        <v>16</v>
      </c>
      <c r="M276" s="305" t="s">
        <v>1242</v>
      </c>
      <c r="N276" s="305" t="s">
        <v>1241</v>
      </c>
      <c r="O276" s="305" t="s">
        <v>146</v>
      </c>
      <c r="P276" s="133">
        <v>24</v>
      </c>
      <c r="Q276" s="133">
        <v>84</v>
      </c>
      <c r="U276" s="305" t="s">
        <v>1231</v>
      </c>
    </row>
    <row r="277" spans="1:21" x14ac:dyDescent="0.3">
      <c r="A277" s="305" t="s">
        <v>309</v>
      </c>
      <c r="B277" s="305" t="s">
        <v>331</v>
      </c>
      <c r="G277" s="305" t="s">
        <v>250</v>
      </c>
      <c r="H277" s="305" t="s">
        <v>249</v>
      </c>
      <c r="I277" s="305" t="s">
        <v>1745</v>
      </c>
      <c r="J277" s="73">
        <v>40725</v>
      </c>
      <c r="K277" s="133">
        <v>32</v>
      </c>
      <c r="M277" s="305" t="s">
        <v>1245</v>
      </c>
      <c r="N277" s="305" t="s">
        <v>716</v>
      </c>
      <c r="O277" s="305" t="s">
        <v>230</v>
      </c>
      <c r="P277" s="133">
        <v>153</v>
      </c>
      <c r="Q277" s="133">
        <v>782</v>
      </c>
      <c r="U277" s="305" t="s">
        <v>1242</v>
      </c>
    </row>
    <row r="278" spans="1:21" x14ac:dyDescent="0.3">
      <c r="A278" s="305" t="s">
        <v>309</v>
      </c>
      <c r="B278" s="305" t="s">
        <v>342</v>
      </c>
      <c r="G278" s="305" t="s">
        <v>274</v>
      </c>
      <c r="H278" s="305" t="s">
        <v>273</v>
      </c>
      <c r="I278" s="305" t="s">
        <v>1745</v>
      </c>
      <c r="J278" s="73">
        <v>40817</v>
      </c>
      <c r="K278" s="133">
        <v>46</v>
      </c>
      <c r="M278" s="305" t="s">
        <v>1252</v>
      </c>
      <c r="N278" s="305" t="s">
        <v>1255</v>
      </c>
      <c r="O278" s="305" t="s">
        <v>309</v>
      </c>
      <c r="P278" s="133">
        <v>62</v>
      </c>
      <c r="Q278" s="133">
        <v>410</v>
      </c>
      <c r="U278" s="305" t="s">
        <v>1245</v>
      </c>
    </row>
    <row r="279" spans="1:21" x14ac:dyDescent="0.3">
      <c r="A279" s="305" t="s">
        <v>309</v>
      </c>
      <c r="B279" s="305" t="s">
        <v>353</v>
      </c>
      <c r="G279" s="305" t="s">
        <v>1155</v>
      </c>
      <c r="H279" s="305" t="s">
        <v>1162</v>
      </c>
      <c r="I279" s="305" t="s">
        <v>775</v>
      </c>
      <c r="J279" s="73">
        <v>42584</v>
      </c>
      <c r="K279" s="133"/>
      <c r="M279" s="305" t="s">
        <v>1264</v>
      </c>
      <c r="N279" s="305" t="s">
        <v>1266</v>
      </c>
      <c r="O279" s="305" t="s">
        <v>309</v>
      </c>
      <c r="P279" s="133">
        <v>405</v>
      </c>
      <c r="Q279" s="133">
        <v>1818</v>
      </c>
      <c r="U279" s="305" t="s">
        <v>1252</v>
      </c>
    </row>
    <row r="280" spans="1:21" x14ac:dyDescent="0.3">
      <c r="A280" s="305" t="s">
        <v>309</v>
      </c>
      <c r="B280" s="305" t="s">
        <v>317</v>
      </c>
      <c r="G280" s="305" t="s">
        <v>347</v>
      </c>
      <c r="H280" s="305" t="s">
        <v>346</v>
      </c>
      <c r="I280" s="305" t="s">
        <v>1745</v>
      </c>
      <c r="J280" s="73">
        <v>40848</v>
      </c>
      <c r="K280" s="133">
        <v>45</v>
      </c>
      <c r="M280" s="305" t="s">
        <v>1270</v>
      </c>
      <c r="N280" s="305" t="s">
        <v>1279</v>
      </c>
      <c r="O280" s="305" t="s">
        <v>480</v>
      </c>
      <c r="P280" s="133">
        <v>124</v>
      </c>
      <c r="Q280" s="133">
        <v>662</v>
      </c>
      <c r="U280" s="305" t="s">
        <v>1264</v>
      </c>
    </row>
    <row r="281" spans="1:21" x14ac:dyDescent="0.3">
      <c r="A281" s="305" t="s">
        <v>309</v>
      </c>
      <c r="B281" s="305" t="s">
        <v>340</v>
      </c>
      <c r="G281" s="305" t="s">
        <v>877</v>
      </c>
      <c r="H281" s="305" t="s">
        <v>874</v>
      </c>
      <c r="I281" s="305" t="s">
        <v>775</v>
      </c>
      <c r="J281" s="305" t="s">
        <v>1220</v>
      </c>
      <c r="K281" s="133"/>
      <c r="M281" s="305" t="s">
        <v>1277</v>
      </c>
      <c r="N281" s="305" t="s">
        <v>1278</v>
      </c>
      <c r="O281" s="305" t="s">
        <v>297</v>
      </c>
      <c r="P281" s="133">
        <v>61</v>
      </c>
      <c r="Q281" s="133">
        <v>286</v>
      </c>
      <c r="U281" s="305" t="s">
        <v>1270</v>
      </c>
    </row>
    <row r="282" spans="1:21" x14ac:dyDescent="0.3">
      <c r="A282" s="305" t="s">
        <v>309</v>
      </c>
      <c r="B282" s="305" t="s">
        <v>337</v>
      </c>
      <c r="G282" s="305" t="s">
        <v>134</v>
      </c>
      <c r="H282" s="305" t="s">
        <v>133</v>
      </c>
      <c r="I282" s="305" t="s">
        <v>775</v>
      </c>
      <c r="J282" s="305" t="s">
        <v>1220</v>
      </c>
      <c r="K282" s="133"/>
      <c r="M282" s="305" t="s">
        <v>1406</v>
      </c>
      <c r="N282" s="305" t="s">
        <v>1904</v>
      </c>
      <c r="O282" s="305" t="s">
        <v>1136</v>
      </c>
      <c r="P282" s="133">
        <v>139</v>
      </c>
      <c r="Q282" s="133">
        <v>572</v>
      </c>
      <c r="U282" s="305" t="s">
        <v>1277</v>
      </c>
    </row>
    <row r="283" spans="1:21" x14ac:dyDescent="0.3">
      <c r="A283" s="305" t="s">
        <v>309</v>
      </c>
      <c r="B283" s="305" t="s">
        <v>349</v>
      </c>
      <c r="G283" s="305" t="s">
        <v>795</v>
      </c>
      <c r="H283" s="305" t="s">
        <v>783</v>
      </c>
      <c r="I283" s="305" t="s">
        <v>775</v>
      </c>
      <c r="J283" s="305" t="s">
        <v>1220</v>
      </c>
      <c r="K283" s="133">
        <v>0</v>
      </c>
      <c r="M283" s="305" t="s">
        <v>1407</v>
      </c>
      <c r="N283" s="305" t="s">
        <v>1394</v>
      </c>
      <c r="O283" s="305" t="s">
        <v>1136</v>
      </c>
      <c r="P283" s="133">
        <v>42</v>
      </c>
      <c r="Q283" s="133">
        <v>190</v>
      </c>
      <c r="U283" s="305" t="s">
        <v>1406</v>
      </c>
    </row>
    <row r="284" spans="1:21" x14ac:dyDescent="0.3">
      <c r="A284" s="305" t="s">
        <v>309</v>
      </c>
      <c r="B284" s="305" t="s">
        <v>345</v>
      </c>
      <c r="G284" s="305" t="s">
        <v>1701</v>
      </c>
      <c r="H284" s="305" t="s">
        <v>1696</v>
      </c>
      <c r="I284" s="305" t="s">
        <v>1745</v>
      </c>
      <c r="J284" s="73">
        <v>43250</v>
      </c>
      <c r="K284" s="133">
        <v>8</v>
      </c>
      <c r="M284" s="305" t="s">
        <v>1408</v>
      </c>
      <c r="N284" s="305" t="s">
        <v>1732</v>
      </c>
      <c r="O284" s="305" t="s">
        <v>1136</v>
      </c>
      <c r="P284" s="133">
        <v>101</v>
      </c>
      <c r="Q284" s="133">
        <v>380</v>
      </c>
      <c r="U284" s="305" t="s">
        <v>1407</v>
      </c>
    </row>
    <row r="285" spans="1:21" x14ac:dyDescent="0.3">
      <c r="A285" s="305" t="s">
        <v>309</v>
      </c>
      <c r="B285" s="305" t="s">
        <v>347</v>
      </c>
      <c r="G285" s="305" t="s">
        <v>300</v>
      </c>
      <c r="H285" s="305" t="s">
        <v>298</v>
      </c>
      <c r="I285" s="305" t="s">
        <v>1745</v>
      </c>
      <c r="J285" s="305" t="s">
        <v>1220</v>
      </c>
      <c r="K285" s="133">
        <v>14</v>
      </c>
      <c r="M285" s="305" t="s">
        <v>1409</v>
      </c>
      <c r="N285" s="305" t="s">
        <v>1396</v>
      </c>
      <c r="O285" s="305" t="s">
        <v>1136</v>
      </c>
      <c r="P285" s="133">
        <v>34</v>
      </c>
      <c r="Q285" s="133">
        <v>143</v>
      </c>
      <c r="U285" s="305" t="s">
        <v>1408</v>
      </c>
    </row>
    <row r="286" spans="1:21" x14ac:dyDescent="0.3">
      <c r="A286" s="305" t="s">
        <v>309</v>
      </c>
      <c r="B286" s="305" t="s">
        <v>315</v>
      </c>
      <c r="G286" s="305" t="s">
        <v>1734</v>
      </c>
      <c r="H286" s="305" t="s">
        <v>1656</v>
      </c>
      <c r="I286" s="305" t="s">
        <v>1745</v>
      </c>
      <c r="J286" s="73">
        <v>43212</v>
      </c>
      <c r="K286" s="133">
        <v>211</v>
      </c>
      <c r="M286" s="305" t="s">
        <v>1545</v>
      </c>
      <c r="N286" s="305" t="s">
        <v>1520</v>
      </c>
      <c r="O286" s="305" t="s">
        <v>173</v>
      </c>
      <c r="P286" s="133">
        <v>245</v>
      </c>
      <c r="Q286" s="133">
        <v>1084</v>
      </c>
      <c r="U286" s="305" t="s">
        <v>1409</v>
      </c>
    </row>
    <row r="287" spans="1:21" x14ac:dyDescent="0.3">
      <c r="A287" s="305" t="s">
        <v>309</v>
      </c>
      <c r="B287" s="305" t="s">
        <v>310</v>
      </c>
      <c r="G287" s="305" t="s">
        <v>1143</v>
      </c>
      <c r="H287" s="305" t="s">
        <v>1127</v>
      </c>
      <c r="I287" s="305" t="s">
        <v>775</v>
      </c>
      <c r="J287" s="73">
        <v>42430</v>
      </c>
      <c r="K287" s="133"/>
      <c r="M287" s="305" t="s">
        <v>1546</v>
      </c>
      <c r="N287" s="305" t="s">
        <v>1515</v>
      </c>
      <c r="O287" s="305" t="s">
        <v>237</v>
      </c>
      <c r="P287" s="133">
        <v>14</v>
      </c>
      <c r="Q287" s="133">
        <v>38</v>
      </c>
      <c r="U287" s="305" t="s">
        <v>1545</v>
      </c>
    </row>
    <row r="288" spans="1:21" x14ac:dyDescent="0.3">
      <c r="A288" s="305" t="s">
        <v>309</v>
      </c>
      <c r="B288" s="305" t="s">
        <v>351</v>
      </c>
      <c r="G288" s="305" t="s">
        <v>1750</v>
      </c>
      <c r="H288" s="305" t="s">
        <v>1698</v>
      </c>
      <c r="I288" s="305" t="s">
        <v>1745</v>
      </c>
      <c r="J288" s="73">
        <v>43250</v>
      </c>
      <c r="K288" s="133">
        <v>79</v>
      </c>
      <c r="M288" s="305" t="s">
        <v>1547</v>
      </c>
      <c r="N288" s="305" t="s">
        <v>1529</v>
      </c>
      <c r="O288" s="305" t="s">
        <v>237</v>
      </c>
      <c r="P288" s="133">
        <v>25</v>
      </c>
      <c r="Q288" s="133">
        <v>69</v>
      </c>
      <c r="U288" s="305" t="s">
        <v>1546</v>
      </c>
    </row>
    <row r="289" spans="1:21" x14ac:dyDescent="0.3">
      <c r="A289" s="305" t="s">
        <v>309</v>
      </c>
      <c r="B289" s="305" t="s">
        <v>1033</v>
      </c>
      <c r="G289" s="305" t="s">
        <v>315</v>
      </c>
      <c r="H289" s="305" t="s">
        <v>314</v>
      </c>
      <c r="I289" s="305" t="s">
        <v>1745</v>
      </c>
      <c r="J289" s="73">
        <v>40848</v>
      </c>
      <c r="K289" s="133">
        <v>66</v>
      </c>
      <c r="M289" s="305" t="s">
        <v>1548</v>
      </c>
      <c r="N289" s="305" t="s">
        <v>1260</v>
      </c>
      <c r="O289" s="305" t="s">
        <v>309</v>
      </c>
      <c r="P289" s="133">
        <v>80</v>
      </c>
      <c r="Q289" s="133">
        <v>449</v>
      </c>
      <c r="U289" s="305" t="s">
        <v>1547</v>
      </c>
    </row>
    <row r="290" spans="1:21" x14ac:dyDescent="0.3">
      <c r="A290" s="305" t="s">
        <v>309</v>
      </c>
      <c r="B290" s="305" t="s">
        <v>1034</v>
      </c>
      <c r="G290" s="305" t="s">
        <v>310</v>
      </c>
      <c r="H290" s="305" t="s">
        <v>308</v>
      </c>
      <c r="I290" s="305" t="s">
        <v>775</v>
      </c>
      <c r="J290" s="73">
        <v>40848</v>
      </c>
      <c r="K290" s="133"/>
      <c r="M290" s="305" t="s">
        <v>1549</v>
      </c>
      <c r="N290" s="305" t="s">
        <v>1532</v>
      </c>
      <c r="O290" s="305" t="s">
        <v>146</v>
      </c>
      <c r="P290" s="133">
        <v>35</v>
      </c>
      <c r="Q290" s="133">
        <v>189</v>
      </c>
      <c r="U290" s="305" t="s">
        <v>1548</v>
      </c>
    </row>
    <row r="291" spans="1:21" x14ac:dyDescent="0.3">
      <c r="A291" s="305" t="s">
        <v>309</v>
      </c>
      <c r="B291" s="305" t="s">
        <v>1035</v>
      </c>
      <c r="G291" s="305" t="s">
        <v>1133</v>
      </c>
      <c r="H291" s="305" t="s">
        <v>1134</v>
      </c>
      <c r="I291" s="305" t="s">
        <v>775</v>
      </c>
      <c r="J291" s="73">
        <v>42370</v>
      </c>
      <c r="K291" s="133"/>
      <c r="M291" s="305" t="s">
        <v>1652</v>
      </c>
      <c r="N291" s="305" t="s">
        <v>1664</v>
      </c>
      <c r="O291" s="305" t="s">
        <v>173</v>
      </c>
      <c r="P291" s="133">
        <v>45</v>
      </c>
      <c r="Q291" s="133">
        <v>238</v>
      </c>
      <c r="U291" s="305" t="s">
        <v>1549</v>
      </c>
    </row>
    <row r="292" spans="1:21" x14ac:dyDescent="0.3">
      <c r="A292" s="305" t="s">
        <v>309</v>
      </c>
      <c r="B292" s="305" t="s">
        <v>1030</v>
      </c>
      <c r="G292" s="305" t="s">
        <v>64</v>
      </c>
      <c r="H292" s="305" t="s">
        <v>63</v>
      </c>
      <c r="I292" s="305" t="s">
        <v>775</v>
      </c>
      <c r="J292" s="73">
        <v>41275</v>
      </c>
      <c r="K292" s="133"/>
      <c r="M292" s="305" t="s">
        <v>1653</v>
      </c>
      <c r="N292" s="305" t="s">
        <v>1665</v>
      </c>
      <c r="O292" s="305" t="s">
        <v>173</v>
      </c>
      <c r="P292" s="133">
        <v>80</v>
      </c>
      <c r="Q292" s="133">
        <v>399</v>
      </c>
      <c r="U292" s="305" t="s">
        <v>1652</v>
      </c>
    </row>
    <row r="293" spans="1:21" x14ac:dyDescent="0.3">
      <c r="A293" s="305" t="s">
        <v>309</v>
      </c>
      <c r="B293" s="305" t="s">
        <v>1032</v>
      </c>
      <c r="G293" s="305" t="s">
        <v>126</v>
      </c>
      <c r="H293" s="305" t="s">
        <v>125</v>
      </c>
      <c r="I293" s="305" t="s">
        <v>1745</v>
      </c>
      <c r="J293" s="73">
        <v>41275</v>
      </c>
      <c r="K293" s="133">
        <v>32</v>
      </c>
      <c r="M293" s="305" t="s">
        <v>1654</v>
      </c>
      <c r="N293" s="305" t="s">
        <v>1733</v>
      </c>
      <c r="O293" s="305" t="s">
        <v>173</v>
      </c>
      <c r="P293" s="133">
        <v>111</v>
      </c>
      <c r="Q293" s="133">
        <v>484</v>
      </c>
      <c r="U293" s="305" t="s">
        <v>1653</v>
      </c>
    </row>
    <row r="294" spans="1:21" x14ac:dyDescent="0.3">
      <c r="A294" s="305" t="s">
        <v>309</v>
      </c>
      <c r="B294" s="305" t="s">
        <v>1255</v>
      </c>
      <c r="G294" s="305" t="s">
        <v>1196</v>
      </c>
      <c r="H294" s="305" t="s">
        <v>1184</v>
      </c>
      <c r="I294" s="305" t="s">
        <v>775</v>
      </c>
      <c r="J294" s="305" t="s">
        <v>1220</v>
      </c>
      <c r="K294" s="133"/>
      <c r="M294" s="305" t="s">
        <v>1655</v>
      </c>
      <c r="N294" s="305" t="s">
        <v>1668</v>
      </c>
      <c r="O294" s="305" t="s">
        <v>173</v>
      </c>
      <c r="P294" s="133">
        <v>34</v>
      </c>
      <c r="Q294" s="133">
        <v>116</v>
      </c>
      <c r="U294" s="305" t="s">
        <v>1654</v>
      </c>
    </row>
    <row r="295" spans="1:21" x14ac:dyDescent="0.3">
      <c r="A295" s="305" t="s">
        <v>309</v>
      </c>
      <c r="B295" s="305" t="s">
        <v>1266</v>
      </c>
      <c r="G295" s="305" t="s">
        <v>351</v>
      </c>
      <c r="H295" s="305" t="s">
        <v>350</v>
      </c>
      <c r="I295" s="305" t="s">
        <v>1745</v>
      </c>
      <c r="J295" s="73">
        <v>40695</v>
      </c>
      <c r="K295" s="133">
        <v>1426</v>
      </c>
      <c r="M295" s="305" t="s">
        <v>1656</v>
      </c>
      <c r="N295" s="305" t="s">
        <v>1734</v>
      </c>
      <c r="O295" s="305" t="s">
        <v>237</v>
      </c>
      <c r="P295" s="133">
        <v>211</v>
      </c>
      <c r="Q295" s="133">
        <v>972</v>
      </c>
      <c r="U295" s="305" t="s">
        <v>1655</v>
      </c>
    </row>
    <row r="296" spans="1:21" x14ac:dyDescent="0.3">
      <c r="A296" s="305" t="s">
        <v>309</v>
      </c>
      <c r="B296" s="305" t="s">
        <v>1260</v>
      </c>
      <c r="G296" s="305" t="s">
        <v>37</v>
      </c>
      <c r="H296" s="305" t="s">
        <v>36</v>
      </c>
      <c r="I296" s="305" t="s">
        <v>775</v>
      </c>
      <c r="J296" s="305" t="s">
        <v>1220</v>
      </c>
      <c r="K296" s="133"/>
      <c r="M296" s="305" t="s">
        <v>1657</v>
      </c>
      <c r="N296" s="305" t="s">
        <v>1674</v>
      </c>
      <c r="O296" s="305" t="s">
        <v>237</v>
      </c>
      <c r="P296" s="133">
        <v>229</v>
      </c>
      <c r="Q296" s="133">
        <v>1247</v>
      </c>
      <c r="U296" s="305" t="s">
        <v>1656</v>
      </c>
    </row>
    <row r="297" spans="1:21" x14ac:dyDescent="0.3">
      <c r="A297" s="305" t="s">
        <v>309</v>
      </c>
      <c r="B297" s="305" t="s">
        <v>1747</v>
      </c>
      <c r="G297" s="305" t="s">
        <v>74</v>
      </c>
      <c r="H297" s="305" t="s">
        <v>73</v>
      </c>
      <c r="I297" s="305" t="s">
        <v>775</v>
      </c>
      <c r="J297" s="305" t="s">
        <v>1220</v>
      </c>
      <c r="K297" s="133"/>
      <c r="M297" s="305" t="s">
        <v>1694</v>
      </c>
      <c r="N297" s="305" t="s">
        <v>1770</v>
      </c>
      <c r="O297" s="305" t="s">
        <v>237</v>
      </c>
      <c r="P297" s="133">
        <v>141</v>
      </c>
      <c r="Q297" s="133">
        <v>597</v>
      </c>
      <c r="U297" s="305" t="s">
        <v>1657</v>
      </c>
    </row>
    <row r="298" spans="1:21" x14ac:dyDescent="0.3">
      <c r="A298" s="305" t="s">
        <v>309</v>
      </c>
      <c r="B298" s="305" t="s">
        <v>1750</v>
      </c>
      <c r="G298" s="305" t="s">
        <v>282</v>
      </c>
      <c r="H298" s="305" t="s">
        <v>281</v>
      </c>
      <c r="I298" s="305" t="s">
        <v>775</v>
      </c>
      <c r="J298" s="73">
        <v>41000</v>
      </c>
      <c r="K298" s="133">
        <v>7</v>
      </c>
      <c r="M298" s="305" t="s">
        <v>1696</v>
      </c>
      <c r="N298" s="305" t="s">
        <v>1701</v>
      </c>
      <c r="O298" s="305" t="s">
        <v>237</v>
      </c>
      <c r="P298" s="133">
        <v>8</v>
      </c>
      <c r="Q298" s="133">
        <v>32</v>
      </c>
      <c r="U298" s="305" t="s">
        <v>1694</v>
      </c>
    </row>
    <row r="299" spans="1:21" x14ac:dyDescent="0.3">
      <c r="A299" s="305" t="s">
        <v>1200</v>
      </c>
      <c r="B299" s="305" t="s">
        <v>1197</v>
      </c>
      <c r="G299" s="305" t="s">
        <v>26</v>
      </c>
      <c r="H299" s="305" t="s">
        <v>25</v>
      </c>
      <c r="I299" s="305" t="s">
        <v>1745</v>
      </c>
      <c r="J299" s="73">
        <v>41122</v>
      </c>
      <c r="K299" s="133">
        <v>13</v>
      </c>
      <c r="M299" s="305" t="s">
        <v>1697</v>
      </c>
      <c r="N299" s="305" t="s">
        <v>1642</v>
      </c>
      <c r="O299" s="305" t="s">
        <v>480</v>
      </c>
      <c r="P299" s="133">
        <v>46</v>
      </c>
      <c r="Q299" s="133">
        <v>203</v>
      </c>
      <c r="U299" s="305" t="s">
        <v>1696</v>
      </c>
    </row>
    <row r="300" spans="1:21" x14ac:dyDescent="0.3">
      <c r="A300" s="305" t="s">
        <v>1136</v>
      </c>
      <c r="B300" s="305" t="s">
        <v>1394</v>
      </c>
      <c r="G300" s="305" t="s">
        <v>140</v>
      </c>
      <c r="H300" s="305" t="s">
        <v>139</v>
      </c>
      <c r="I300" s="305" t="s">
        <v>1745</v>
      </c>
      <c r="J300" s="73">
        <v>41122</v>
      </c>
      <c r="K300" s="133">
        <v>16</v>
      </c>
      <c r="M300" s="305" t="s">
        <v>1698</v>
      </c>
      <c r="N300" s="305" t="s">
        <v>1750</v>
      </c>
      <c r="O300" s="305" t="s">
        <v>309</v>
      </c>
      <c r="P300" s="133">
        <v>79</v>
      </c>
      <c r="Q300" s="133">
        <v>303</v>
      </c>
      <c r="U300" s="305" t="s">
        <v>1697</v>
      </c>
    </row>
    <row r="301" spans="1:21" x14ac:dyDescent="0.3">
      <c r="A301" s="305" t="s">
        <v>1136</v>
      </c>
      <c r="B301" s="305" t="s">
        <v>1396</v>
      </c>
      <c r="G301" s="305" t="s">
        <v>1032</v>
      </c>
      <c r="H301" s="305" t="s">
        <v>354</v>
      </c>
      <c r="I301" s="305" t="s">
        <v>775</v>
      </c>
      <c r="J301" s="73">
        <v>40848</v>
      </c>
      <c r="K301" s="133"/>
      <c r="M301" s="305" t="s">
        <v>1699</v>
      </c>
      <c r="N301" s="305" t="s">
        <v>1707</v>
      </c>
      <c r="O301" s="305" t="s">
        <v>480</v>
      </c>
      <c r="P301" s="133">
        <v>15</v>
      </c>
      <c r="Q301" s="133">
        <v>59</v>
      </c>
      <c r="U301" s="305" t="s">
        <v>1698</v>
      </c>
    </row>
    <row r="302" spans="1:21" x14ac:dyDescent="0.3">
      <c r="A302" s="305" t="s">
        <v>1136</v>
      </c>
      <c r="B302" s="305" t="s">
        <v>1732</v>
      </c>
      <c r="G302" s="305" t="s">
        <v>467</v>
      </c>
      <c r="H302" s="305" t="s">
        <v>468</v>
      </c>
      <c r="I302" s="305" t="s">
        <v>775</v>
      </c>
      <c r="J302" s="305" t="s">
        <v>1220</v>
      </c>
      <c r="K302" s="133">
        <v>0</v>
      </c>
      <c r="M302" s="305" t="s">
        <v>1727</v>
      </c>
      <c r="N302" s="305" t="s">
        <v>1728</v>
      </c>
      <c r="O302" s="305" t="s">
        <v>237</v>
      </c>
      <c r="P302" s="133">
        <v>32</v>
      </c>
      <c r="Q302" s="133">
        <v>161</v>
      </c>
      <c r="U302" s="305" t="s">
        <v>1699</v>
      </c>
    </row>
    <row r="303" spans="1:21" x14ac:dyDescent="0.3">
      <c r="A303" s="305" t="s">
        <v>1136</v>
      </c>
      <c r="B303" s="305" t="s">
        <v>1904</v>
      </c>
      <c r="G303" s="305" t="s">
        <v>371</v>
      </c>
      <c r="H303" s="305" t="s">
        <v>385</v>
      </c>
      <c r="I303" s="305" t="s">
        <v>1745</v>
      </c>
      <c r="J303" s="73">
        <v>41244</v>
      </c>
      <c r="K303" s="133">
        <v>204</v>
      </c>
      <c r="M303" s="305" t="s">
        <v>1748</v>
      </c>
      <c r="N303" s="305" t="s">
        <v>1747</v>
      </c>
      <c r="O303" s="305" t="s">
        <v>309</v>
      </c>
      <c r="P303" s="133">
        <v>95</v>
      </c>
      <c r="Q303" s="133">
        <v>499</v>
      </c>
      <c r="U303" s="305" t="s">
        <v>1727</v>
      </c>
    </row>
    <row r="304" spans="1:21" x14ac:dyDescent="0.3">
      <c r="U304" s="305" t="s">
        <v>1748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59.2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04" t="s">
        <v>958</v>
      </c>
      <c r="H1"/>
      <c r="I1"/>
    </row>
    <row r="2" spans="1:10" x14ac:dyDescent="0.3">
      <c r="H2" s="184" t="s">
        <v>458</v>
      </c>
      <c r="I2" s="186" t="s">
        <v>775</v>
      </c>
    </row>
    <row r="3" spans="1:10" x14ac:dyDescent="0.3">
      <c r="A3" s="157" t="s">
        <v>0</v>
      </c>
      <c r="B3" s="158" t="s">
        <v>511</v>
      </c>
      <c r="C3" s="113" t="s">
        <v>463</v>
      </c>
      <c r="D3" s="111" t="s">
        <v>865</v>
      </c>
    </row>
    <row r="4" spans="1:10" x14ac:dyDescent="0.3">
      <c r="A4" s="163" t="s">
        <v>5</v>
      </c>
      <c r="B4" s="163" t="s">
        <v>21</v>
      </c>
      <c r="C4" s="304" t="s">
        <v>22</v>
      </c>
      <c r="D4" s="165">
        <v>0.66614420062695934</v>
      </c>
      <c r="H4" s="157" t="s">
        <v>410</v>
      </c>
      <c r="I4" s="146" t="s">
        <v>794</v>
      </c>
      <c r="J4"/>
    </row>
    <row r="5" spans="1:10" x14ac:dyDescent="0.3">
      <c r="A5" s="109"/>
      <c r="B5" s="109" t="s">
        <v>17</v>
      </c>
      <c r="C5" s="304" t="s">
        <v>18</v>
      </c>
      <c r="D5" s="166">
        <v>0.7846153846153846</v>
      </c>
      <c r="H5" s="159" t="s">
        <v>173</v>
      </c>
      <c r="I5" s="385">
        <v>251</v>
      </c>
      <c r="J5"/>
    </row>
    <row r="6" spans="1:10" x14ac:dyDescent="0.3">
      <c r="A6" s="109"/>
      <c r="B6" s="109" t="s">
        <v>4</v>
      </c>
      <c r="C6" s="304" t="s">
        <v>6</v>
      </c>
      <c r="D6" s="166">
        <v>0.66147859922178998</v>
      </c>
      <c r="H6" s="269" t="s">
        <v>1063</v>
      </c>
      <c r="I6" s="385"/>
      <c r="J6"/>
    </row>
    <row r="7" spans="1:10" x14ac:dyDescent="0.3">
      <c r="A7" s="109"/>
      <c r="B7" s="109" t="s">
        <v>13</v>
      </c>
      <c r="C7" s="304" t="s">
        <v>14</v>
      </c>
      <c r="D7" s="166">
        <v>1</v>
      </c>
      <c r="H7" s="269" t="s">
        <v>1054</v>
      </c>
      <c r="I7" s="385">
        <v>6</v>
      </c>
      <c r="J7"/>
    </row>
    <row r="8" spans="1:10" x14ac:dyDescent="0.3">
      <c r="A8" s="109"/>
      <c r="B8" s="109" t="s">
        <v>25</v>
      </c>
      <c r="C8" s="304" t="s">
        <v>26</v>
      </c>
      <c r="D8" s="166">
        <v>2.8000000000000003</v>
      </c>
      <c r="H8" s="269" t="s">
        <v>1520</v>
      </c>
      <c r="I8" s="385">
        <v>245</v>
      </c>
      <c r="J8"/>
    </row>
    <row r="9" spans="1:10" x14ac:dyDescent="0.3">
      <c r="A9" s="109"/>
      <c r="B9" s="109" t="s">
        <v>19</v>
      </c>
      <c r="C9" s="304" t="s">
        <v>20</v>
      </c>
      <c r="D9" s="166">
        <v>0.47619047619047616</v>
      </c>
      <c r="H9" s="159" t="s">
        <v>297</v>
      </c>
      <c r="I9" s="385">
        <v>131</v>
      </c>
      <c r="J9"/>
    </row>
    <row r="10" spans="1:10" x14ac:dyDescent="0.3">
      <c r="A10" s="109"/>
      <c r="B10" s="109" t="s">
        <v>23</v>
      </c>
      <c r="C10" s="304" t="s">
        <v>24</v>
      </c>
      <c r="D10" s="166">
        <v>1.75</v>
      </c>
      <c r="H10" s="269" t="s">
        <v>534</v>
      </c>
      <c r="I10" s="385">
        <v>118</v>
      </c>
      <c r="J10"/>
    </row>
    <row r="11" spans="1:10" x14ac:dyDescent="0.3">
      <c r="A11" s="109"/>
      <c r="B11" s="109" t="s">
        <v>374</v>
      </c>
      <c r="C11" s="304" t="s">
        <v>364</v>
      </c>
      <c r="D11" s="166">
        <v>0.82352941176470584</v>
      </c>
      <c r="H11" s="269" t="s">
        <v>1186</v>
      </c>
      <c r="I11" s="385"/>
      <c r="J11"/>
    </row>
    <row r="12" spans="1:10" x14ac:dyDescent="0.3">
      <c r="A12" s="109"/>
      <c r="B12" s="109" t="s">
        <v>7</v>
      </c>
      <c r="C12" s="304" t="s">
        <v>8</v>
      </c>
      <c r="D12" s="166">
        <v>1.3846153846153846</v>
      </c>
      <c r="H12" s="269" t="s">
        <v>1188</v>
      </c>
      <c r="I12" s="385">
        <v>13</v>
      </c>
      <c r="J12"/>
    </row>
    <row r="13" spans="1:10" x14ac:dyDescent="0.3">
      <c r="A13" s="110"/>
      <c r="B13" s="110" t="s">
        <v>375</v>
      </c>
      <c r="C13" s="304" t="s">
        <v>465</v>
      </c>
      <c r="D13" s="167">
        <v>1.8333333333333335</v>
      </c>
      <c r="H13" s="269" t="s">
        <v>1189</v>
      </c>
      <c r="I13" s="385"/>
      <c r="J13"/>
    </row>
    <row r="14" spans="1:10" x14ac:dyDescent="0.3">
      <c r="A14" s="109" t="s">
        <v>27</v>
      </c>
      <c r="B14" s="109" t="s">
        <v>30</v>
      </c>
      <c r="C14" s="110" t="s">
        <v>28</v>
      </c>
      <c r="D14" s="166">
        <v>0.9907407407407407</v>
      </c>
      <c r="H14" s="269" t="s">
        <v>1190</v>
      </c>
      <c r="I14" s="385"/>
      <c r="J14"/>
    </row>
    <row r="15" spans="1:10" x14ac:dyDescent="0.3">
      <c r="A15" s="109"/>
      <c r="B15" s="109" t="s">
        <v>376</v>
      </c>
      <c r="C15" s="110" t="s">
        <v>363</v>
      </c>
      <c r="D15" s="166">
        <v>0.50694444444444442</v>
      </c>
      <c r="H15" s="159" t="s">
        <v>309</v>
      </c>
      <c r="I15" s="385">
        <v>92</v>
      </c>
      <c r="J15"/>
    </row>
    <row r="16" spans="1:10" x14ac:dyDescent="0.3">
      <c r="A16" s="109"/>
      <c r="B16" s="110" t="s">
        <v>789</v>
      </c>
      <c r="C16" s="110" t="s">
        <v>790</v>
      </c>
      <c r="D16" s="167">
        <v>0</v>
      </c>
      <c r="H16" s="269" t="s">
        <v>356</v>
      </c>
      <c r="I16" s="385">
        <v>0</v>
      </c>
      <c r="J16"/>
    </row>
    <row r="17" spans="1:10" x14ac:dyDescent="0.3">
      <c r="A17" s="109"/>
      <c r="B17" s="132" t="s">
        <v>29</v>
      </c>
      <c r="C17" s="132" t="s">
        <v>362</v>
      </c>
      <c r="D17" s="112">
        <v>0</v>
      </c>
      <c r="H17" s="269" t="s">
        <v>331</v>
      </c>
      <c r="I17" s="385">
        <v>0</v>
      </c>
      <c r="J17"/>
    </row>
    <row r="18" spans="1:10" x14ac:dyDescent="0.3">
      <c r="A18" s="110"/>
      <c r="B18" s="132" t="s">
        <v>876</v>
      </c>
      <c r="C18" s="132" t="s">
        <v>875</v>
      </c>
      <c r="D18" s="112">
        <v>0</v>
      </c>
      <c r="H18" s="269" t="s">
        <v>349</v>
      </c>
      <c r="I18" s="385">
        <v>92</v>
      </c>
      <c r="J18"/>
    </row>
    <row r="19" spans="1:10" x14ac:dyDescent="0.3">
      <c r="A19" s="109" t="s">
        <v>480</v>
      </c>
      <c r="B19" s="109" t="s">
        <v>866</v>
      </c>
      <c r="C19" s="109" t="s">
        <v>824</v>
      </c>
      <c r="D19" s="166">
        <v>0</v>
      </c>
      <c r="H19" s="269" t="s">
        <v>310</v>
      </c>
      <c r="I19" s="385"/>
      <c r="J19"/>
    </row>
    <row r="20" spans="1:10" x14ac:dyDescent="0.3">
      <c r="A20" s="109"/>
      <c r="B20" s="109"/>
      <c r="C20" s="110" t="s">
        <v>787</v>
      </c>
      <c r="D20" s="166">
        <v>0</v>
      </c>
      <c r="H20" s="269" t="s">
        <v>1033</v>
      </c>
      <c r="I20" s="385"/>
      <c r="J20"/>
    </row>
    <row r="21" spans="1:10" x14ac:dyDescent="0.3">
      <c r="A21" s="109"/>
      <c r="B21" s="109" t="s">
        <v>99</v>
      </c>
      <c r="C21" s="110" t="s">
        <v>100</v>
      </c>
      <c r="D21" s="166">
        <v>2</v>
      </c>
      <c r="H21" s="269" t="s">
        <v>1034</v>
      </c>
      <c r="I21" s="385"/>
      <c r="J21"/>
    </row>
    <row r="22" spans="1:10" x14ac:dyDescent="0.3">
      <c r="A22" s="109"/>
      <c r="B22" s="109" t="s">
        <v>107</v>
      </c>
      <c r="C22" s="110" t="s">
        <v>108</v>
      </c>
      <c r="D22" s="166">
        <v>1.1000000000000001</v>
      </c>
      <c r="H22" s="269" t="s">
        <v>1035</v>
      </c>
      <c r="I22" s="385">
        <v>0</v>
      </c>
      <c r="J22"/>
    </row>
    <row r="23" spans="1:10" x14ac:dyDescent="0.3">
      <c r="A23" s="109"/>
      <c r="B23" s="109" t="s">
        <v>139</v>
      </c>
      <c r="C23" s="110" t="s">
        <v>140</v>
      </c>
      <c r="D23" s="166">
        <v>0.90909090909090906</v>
      </c>
      <c r="H23" s="269" t="s">
        <v>1032</v>
      </c>
      <c r="I23" s="385"/>
      <c r="J23"/>
    </row>
    <row r="24" spans="1:10" x14ac:dyDescent="0.3">
      <c r="A24" s="109"/>
      <c r="B24" s="109" t="s">
        <v>71</v>
      </c>
      <c r="C24" s="110" t="s">
        <v>72</v>
      </c>
      <c r="D24" s="166">
        <v>1</v>
      </c>
      <c r="H24" s="159" t="s">
        <v>719</v>
      </c>
      <c r="I24" s="385">
        <v>67</v>
      </c>
      <c r="J24"/>
    </row>
    <row r="25" spans="1:10" x14ac:dyDescent="0.3">
      <c r="A25" s="109"/>
      <c r="B25" s="109" t="s">
        <v>51</v>
      </c>
      <c r="C25" s="110" t="s">
        <v>52</v>
      </c>
      <c r="D25" s="166">
        <v>0.52631578947368418</v>
      </c>
      <c r="H25" s="269" t="s">
        <v>535</v>
      </c>
      <c r="I25" s="385">
        <v>67</v>
      </c>
      <c r="J25"/>
    </row>
    <row r="26" spans="1:10" x14ac:dyDescent="0.3">
      <c r="A26" s="109"/>
      <c r="B26" s="109" t="s">
        <v>75</v>
      </c>
      <c r="C26" s="110" t="s">
        <v>76</v>
      </c>
      <c r="D26" s="166">
        <v>1.0714285714285714</v>
      </c>
      <c r="H26" s="269" t="s">
        <v>1143</v>
      </c>
      <c r="I26" s="385"/>
      <c r="J26"/>
    </row>
    <row r="27" spans="1:10" x14ac:dyDescent="0.3">
      <c r="A27" s="109"/>
      <c r="B27" s="109" t="s">
        <v>40</v>
      </c>
      <c r="C27" s="110" t="s">
        <v>41</v>
      </c>
      <c r="D27" s="166">
        <v>0.90909090909090906</v>
      </c>
      <c r="H27" s="159" t="s">
        <v>230</v>
      </c>
      <c r="I27" s="385">
        <v>41</v>
      </c>
      <c r="J27"/>
    </row>
    <row r="28" spans="1:10" x14ac:dyDescent="0.3">
      <c r="A28" s="109"/>
      <c r="B28" s="109" t="s">
        <v>89</v>
      </c>
      <c r="C28" s="110" t="s">
        <v>90</v>
      </c>
      <c r="D28" s="166">
        <v>1.25</v>
      </c>
      <c r="H28" s="269" t="s">
        <v>169</v>
      </c>
      <c r="I28" s="385"/>
      <c r="J28"/>
    </row>
    <row r="29" spans="1:10" x14ac:dyDescent="0.3">
      <c r="A29" s="109"/>
      <c r="B29" s="109" t="s">
        <v>117</v>
      </c>
      <c r="C29" s="110" t="s">
        <v>118</v>
      </c>
      <c r="D29" s="166">
        <v>1</v>
      </c>
      <c r="H29" s="269" t="s">
        <v>231</v>
      </c>
      <c r="I29" s="385">
        <v>32</v>
      </c>
      <c r="J29"/>
    </row>
    <row r="30" spans="1:10" x14ac:dyDescent="0.3">
      <c r="A30" s="109"/>
      <c r="B30" s="109" t="s">
        <v>123</v>
      </c>
      <c r="C30" s="110" t="s">
        <v>124</v>
      </c>
      <c r="D30" s="166">
        <v>0.625</v>
      </c>
      <c r="H30" s="269" t="s">
        <v>233</v>
      </c>
      <c r="I30" s="385"/>
      <c r="J30"/>
    </row>
    <row r="31" spans="1:10" x14ac:dyDescent="0.3">
      <c r="A31" s="109"/>
      <c r="B31" s="109" t="s">
        <v>125</v>
      </c>
      <c r="C31" s="110" t="s">
        <v>126</v>
      </c>
      <c r="D31" s="166">
        <v>0.45454545454545453</v>
      </c>
      <c r="H31" s="269" t="s">
        <v>235</v>
      </c>
      <c r="I31" s="385"/>
      <c r="J31"/>
    </row>
    <row r="32" spans="1:10" x14ac:dyDescent="0.3">
      <c r="A32" s="109"/>
      <c r="B32" s="109" t="s">
        <v>45</v>
      </c>
      <c r="C32" s="110" t="s">
        <v>44</v>
      </c>
      <c r="D32" s="166">
        <v>2</v>
      </c>
      <c r="H32" s="269" t="s">
        <v>359</v>
      </c>
      <c r="I32" s="385">
        <v>9</v>
      </c>
      <c r="J32"/>
    </row>
    <row r="33" spans="1:10" x14ac:dyDescent="0.3">
      <c r="A33" s="109"/>
      <c r="B33" s="109" t="s">
        <v>46</v>
      </c>
      <c r="C33" s="110" t="s">
        <v>551</v>
      </c>
      <c r="D33" s="166">
        <v>1.25</v>
      </c>
      <c r="H33" s="269" t="s">
        <v>171</v>
      </c>
      <c r="I33" s="385"/>
      <c r="J33"/>
    </row>
    <row r="34" spans="1:10" x14ac:dyDescent="0.3">
      <c r="A34" s="109"/>
      <c r="B34" s="109" t="s">
        <v>42</v>
      </c>
      <c r="C34" s="110" t="s">
        <v>43</v>
      </c>
      <c r="D34" s="166">
        <v>0.7142857142857143</v>
      </c>
      <c r="H34" s="269" t="s">
        <v>1198</v>
      </c>
      <c r="I34" s="385"/>
      <c r="J34"/>
    </row>
    <row r="35" spans="1:10" x14ac:dyDescent="0.3">
      <c r="A35" s="109"/>
      <c r="B35" s="110" t="s">
        <v>91</v>
      </c>
      <c r="C35" s="110" t="s">
        <v>92</v>
      </c>
      <c r="D35" s="167">
        <v>1</v>
      </c>
      <c r="H35" s="269" t="s">
        <v>1208</v>
      </c>
      <c r="I35" s="385"/>
      <c r="J35"/>
    </row>
    <row r="36" spans="1:10" x14ac:dyDescent="0.3">
      <c r="A36" s="109"/>
      <c r="B36" s="132" t="s">
        <v>119</v>
      </c>
      <c r="C36" s="132" t="s">
        <v>120</v>
      </c>
      <c r="D36" s="112">
        <v>0.16666666666666666</v>
      </c>
      <c r="H36" s="269" t="s">
        <v>1209</v>
      </c>
      <c r="I36" s="385"/>
      <c r="J36"/>
    </row>
    <row r="37" spans="1:10" x14ac:dyDescent="0.3">
      <c r="A37" s="109"/>
      <c r="B37" s="132" t="s">
        <v>1163</v>
      </c>
      <c r="C37" s="132" t="s">
        <v>1157</v>
      </c>
      <c r="D37" s="112">
        <v>0</v>
      </c>
      <c r="H37" s="269" t="s">
        <v>1199</v>
      </c>
      <c r="I37" s="385"/>
      <c r="J37"/>
    </row>
    <row r="38" spans="1:10" x14ac:dyDescent="0.3">
      <c r="A38" s="110"/>
      <c r="B38" s="132" t="s">
        <v>1161</v>
      </c>
      <c r="C38" s="132" t="s">
        <v>1158</v>
      </c>
      <c r="D38" s="112">
        <v>0.53333333333333333</v>
      </c>
      <c r="H38" s="269" t="s">
        <v>1210</v>
      </c>
      <c r="I38" s="385"/>
      <c r="J38"/>
    </row>
    <row r="39" spans="1:10" x14ac:dyDescent="0.3">
      <c r="A39" s="109" t="s">
        <v>146</v>
      </c>
      <c r="B39" s="109" t="s">
        <v>148</v>
      </c>
      <c r="C39" s="110" t="s">
        <v>149</v>
      </c>
      <c r="D39" s="166">
        <v>0.41269841269841268</v>
      </c>
      <c r="H39" s="269" t="s">
        <v>1214</v>
      </c>
      <c r="I39" s="385"/>
      <c r="J39"/>
    </row>
    <row r="40" spans="1:10" x14ac:dyDescent="0.3">
      <c r="A40" s="109"/>
      <c r="B40" s="109" t="s">
        <v>381</v>
      </c>
      <c r="C40" s="110" t="s">
        <v>367</v>
      </c>
      <c r="D40" s="166">
        <v>1</v>
      </c>
      <c r="H40" s="269" t="s">
        <v>1192</v>
      </c>
      <c r="I40" s="385"/>
      <c r="J40"/>
    </row>
    <row r="41" spans="1:10" x14ac:dyDescent="0.3">
      <c r="A41" s="109"/>
      <c r="B41" s="109" t="s">
        <v>382</v>
      </c>
      <c r="C41" s="110" t="s">
        <v>368</v>
      </c>
      <c r="D41" s="166">
        <v>1</v>
      </c>
      <c r="H41" s="269" t="s">
        <v>1193</v>
      </c>
      <c r="I41" s="385"/>
      <c r="J41"/>
    </row>
    <row r="42" spans="1:10" x14ac:dyDescent="0.3">
      <c r="A42" s="109"/>
      <c r="B42" s="109" t="s">
        <v>383</v>
      </c>
      <c r="C42" s="110" t="s">
        <v>366</v>
      </c>
      <c r="D42" s="166">
        <v>0.92647058823529416</v>
      </c>
      <c r="H42" s="269" t="s">
        <v>1194</v>
      </c>
      <c r="I42" s="385"/>
      <c r="J42"/>
    </row>
    <row r="43" spans="1:10" x14ac:dyDescent="0.3">
      <c r="A43" s="109"/>
      <c r="B43" s="109" t="s">
        <v>385</v>
      </c>
      <c r="C43" s="110" t="s">
        <v>371</v>
      </c>
      <c r="D43" s="166">
        <v>0.543010752688172</v>
      </c>
      <c r="H43" s="269" t="s">
        <v>1195</v>
      </c>
      <c r="I43" s="385"/>
      <c r="J43"/>
    </row>
    <row r="44" spans="1:10" x14ac:dyDescent="0.3">
      <c r="A44" s="109"/>
      <c r="B44" s="110" t="s">
        <v>147</v>
      </c>
      <c r="C44" s="110" t="s">
        <v>369</v>
      </c>
      <c r="D44" s="167">
        <v>0.10869565217391304</v>
      </c>
      <c r="H44" s="269" t="s">
        <v>1196</v>
      </c>
      <c r="I44" s="385"/>
      <c r="J44"/>
    </row>
    <row r="45" spans="1:10" x14ac:dyDescent="0.3">
      <c r="A45" s="110"/>
      <c r="B45" s="132" t="s">
        <v>942</v>
      </c>
      <c r="C45" s="132" t="s">
        <v>943</v>
      </c>
      <c r="D45" s="112">
        <v>0</v>
      </c>
      <c r="H45" s="159" t="s">
        <v>237</v>
      </c>
      <c r="I45" s="385">
        <v>32</v>
      </c>
      <c r="J45"/>
    </row>
    <row r="46" spans="1:10" x14ac:dyDescent="0.3">
      <c r="A46" s="109" t="s">
        <v>151</v>
      </c>
      <c r="B46" s="109" t="s">
        <v>150</v>
      </c>
      <c r="C46" s="110" t="s">
        <v>152</v>
      </c>
      <c r="D46" s="166">
        <v>0.54123711340206193</v>
      </c>
      <c r="H46" s="269" t="s">
        <v>266</v>
      </c>
      <c r="I46" s="385"/>
      <c r="J46"/>
    </row>
    <row r="47" spans="1:10" x14ac:dyDescent="0.3">
      <c r="A47" s="109"/>
      <c r="B47" s="109" t="s">
        <v>197</v>
      </c>
      <c r="C47" s="110" t="s">
        <v>198</v>
      </c>
      <c r="D47" s="166">
        <v>0.97623400365630708</v>
      </c>
      <c r="H47" s="269" t="s">
        <v>282</v>
      </c>
      <c r="I47" s="385">
        <v>7</v>
      </c>
      <c r="J47"/>
    </row>
    <row r="48" spans="1:10" x14ac:dyDescent="0.3">
      <c r="A48" s="109"/>
      <c r="B48" s="109" t="s">
        <v>153</v>
      </c>
      <c r="C48" s="110" t="s">
        <v>154</v>
      </c>
      <c r="D48" s="166">
        <v>0.44543429844097998</v>
      </c>
      <c r="H48" s="269" t="s">
        <v>1529</v>
      </c>
      <c r="I48" s="385">
        <v>25</v>
      </c>
      <c r="J48"/>
    </row>
    <row r="49" spans="1:10" x14ac:dyDescent="0.3">
      <c r="A49" s="109"/>
      <c r="B49" s="109" t="s">
        <v>159</v>
      </c>
      <c r="C49" s="110" t="s">
        <v>160</v>
      </c>
      <c r="D49" s="166">
        <v>0.75510204081632648</v>
      </c>
      <c r="H49" s="159" t="s">
        <v>5</v>
      </c>
      <c r="I49" s="385">
        <v>20</v>
      </c>
      <c r="J49"/>
    </row>
    <row r="50" spans="1:10" x14ac:dyDescent="0.3">
      <c r="A50" s="109"/>
      <c r="B50" s="109" t="s">
        <v>812</v>
      </c>
      <c r="C50" s="110" t="s">
        <v>811</v>
      </c>
      <c r="D50" s="166">
        <v>0.76674937965260548</v>
      </c>
      <c r="H50" s="269" t="s">
        <v>10</v>
      </c>
      <c r="I50" s="385">
        <v>0</v>
      </c>
      <c r="J50"/>
    </row>
    <row r="51" spans="1:10" x14ac:dyDescent="0.3">
      <c r="A51" s="109"/>
      <c r="B51" s="109" t="s">
        <v>187</v>
      </c>
      <c r="C51" s="110" t="s">
        <v>188</v>
      </c>
      <c r="D51" s="166">
        <v>0.49222797927461137</v>
      </c>
      <c r="H51" s="269" t="s">
        <v>16</v>
      </c>
      <c r="I51" s="385"/>
      <c r="J51"/>
    </row>
    <row r="52" spans="1:10" x14ac:dyDescent="0.3">
      <c r="A52" s="109"/>
      <c r="B52" s="110" t="s">
        <v>846</v>
      </c>
      <c r="C52" s="110" t="s">
        <v>847</v>
      </c>
      <c r="D52" s="167">
        <v>0.28735632183908044</v>
      </c>
      <c r="H52" s="269" t="s">
        <v>822</v>
      </c>
      <c r="I52" s="385"/>
      <c r="J52"/>
    </row>
    <row r="53" spans="1:10" x14ac:dyDescent="0.3">
      <c r="A53" s="110"/>
      <c r="B53" s="132" t="s">
        <v>939</v>
      </c>
      <c r="C53" s="132" t="s">
        <v>938</v>
      </c>
      <c r="D53" s="112">
        <v>0</v>
      </c>
      <c r="H53" s="269" t="s">
        <v>24</v>
      </c>
      <c r="I53" s="385">
        <v>20</v>
      </c>
      <c r="J53"/>
    </row>
    <row r="54" spans="1:10" x14ac:dyDescent="0.3">
      <c r="A54" s="109" t="s">
        <v>166</v>
      </c>
      <c r="B54" s="109" t="s">
        <v>165</v>
      </c>
      <c r="C54" s="110" t="s">
        <v>167</v>
      </c>
      <c r="D54" s="166">
        <v>1.1428571428571428</v>
      </c>
      <c r="H54" s="269" t="s">
        <v>877</v>
      </c>
      <c r="I54" s="385"/>
      <c r="J54"/>
    </row>
    <row r="55" spans="1:10" x14ac:dyDescent="0.3">
      <c r="A55" s="110"/>
      <c r="B55" s="110" t="s">
        <v>761</v>
      </c>
      <c r="C55" s="110" t="s">
        <v>760</v>
      </c>
      <c r="D55" s="167">
        <v>1</v>
      </c>
      <c r="H55" s="269" t="s">
        <v>795</v>
      </c>
      <c r="I55" s="385">
        <v>0</v>
      </c>
      <c r="J55"/>
    </row>
    <row r="56" spans="1:10" x14ac:dyDescent="0.3">
      <c r="A56" s="109" t="s">
        <v>173</v>
      </c>
      <c r="B56" s="109" t="s">
        <v>175</v>
      </c>
      <c r="C56" s="110" t="s">
        <v>176</v>
      </c>
      <c r="D56" s="166">
        <v>0.66666666666666663</v>
      </c>
      <c r="H56" s="159" t="s">
        <v>480</v>
      </c>
      <c r="I56" s="385">
        <v>8</v>
      </c>
      <c r="J56"/>
    </row>
    <row r="57" spans="1:10" x14ac:dyDescent="0.3">
      <c r="A57" s="109"/>
      <c r="B57" s="109" t="s">
        <v>172</v>
      </c>
      <c r="C57" s="110" t="s">
        <v>174</v>
      </c>
      <c r="D57" s="166">
        <v>1</v>
      </c>
      <c r="H57" s="269" t="s">
        <v>128</v>
      </c>
      <c r="I57" s="385">
        <v>0</v>
      </c>
      <c r="J57"/>
    </row>
    <row r="58" spans="1:10" x14ac:dyDescent="0.3">
      <c r="A58" s="109"/>
      <c r="B58" s="110" t="s">
        <v>177</v>
      </c>
      <c r="C58" s="110" t="s">
        <v>178</v>
      </c>
      <c r="D58" s="167">
        <v>1</v>
      </c>
      <c r="H58" s="269" t="s">
        <v>62</v>
      </c>
      <c r="I58" s="385"/>
      <c r="J58"/>
    </row>
    <row r="59" spans="1:10" x14ac:dyDescent="0.3">
      <c r="A59" s="110"/>
      <c r="B59" s="132" t="s">
        <v>1056</v>
      </c>
      <c r="C59" s="132" t="s">
        <v>1062</v>
      </c>
      <c r="D59" s="112">
        <v>1</v>
      </c>
      <c r="H59" s="269" t="s">
        <v>39</v>
      </c>
      <c r="I59" s="385"/>
      <c r="J59"/>
    </row>
    <row r="60" spans="1:10" x14ac:dyDescent="0.3">
      <c r="A60" s="109" t="s">
        <v>180</v>
      </c>
      <c r="B60" s="109" t="s">
        <v>179</v>
      </c>
      <c r="C60" s="110" t="s">
        <v>181</v>
      </c>
      <c r="D60" s="166">
        <v>1</v>
      </c>
      <c r="H60" s="269" t="s">
        <v>48</v>
      </c>
      <c r="I60" s="385"/>
      <c r="J60"/>
    </row>
    <row r="61" spans="1:10" x14ac:dyDescent="0.3">
      <c r="A61" s="110"/>
      <c r="B61" s="110" t="s">
        <v>285</v>
      </c>
      <c r="C61" s="110" t="s">
        <v>286</v>
      </c>
      <c r="D61" s="167">
        <v>1.5263157894736841</v>
      </c>
      <c r="H61" s="269" t="s">
        <v>50</v>
      </c>
      <c r="I61" s="385"/>
      <c r="J61"/>
    </row>
    <row r="62" spans="1:10" x14ac:dyDescent="0.3">
      <c r="A62" s="109" t="s">
        <v>185</v>
      </c>
      <c r="B62" s="109" t="s">
        <v>208</v>
      </c>
      <c r="C62" s="110" t="s">
        <v>209</v>
      </c>
      <c r="D62" s="166">
        <v>0.71317829457364335</v>
      </c>
      <c r="H62" s="269" t="s">
        <v>58</v>
      </c>
      <c r="I62" s="385"/>
      <c r="J62"/>
    </row>
    <row r="63" spans="1:10" x14ac:dyDescent="0.3">
      <c r="A63" s="109"/>
      <c r="B63" s="109" t="s">
        <v>201</v>
      </c>
      <c r="C63" s="110" t="s">
        <v>202</v>
      </c>
      <c r="D63" s="166">
        <v>0.57735849056603772</v>
      </c>
      <c r="H63" s="269" t="s">
        <v>60</v>
      </c>
      <c r="I63" s="385"/>
      <c r="J63"/>
    </row>
    <row r="64" spans="1:10" x14ac:dyDescent="0.3">
      <c r="A64" s="109"/>
      <c r="B64" s="109" t="s">
        <v>222</v>
      </c>
      <c r="C64" s="110" t="s">
        <v>223</v>
      </c>
      <c r="D64" s="166">
        <v>0.65048543689320382</v>
      </c>
      <c r="H64" s="269" t="s">
        <v>70</v>
      </c>
      <c r="I64" s="385"/>
      <c r="J64"/>
    </row>
    <row r="65" spans="1:10" x14ac:dyDescent="0.3">
      <c r="A65" s="109"/>
      <c r="B65" s="109" t="s">
        <v>189</v>
      </c>
      <c r="C65" s="110" t="s">
        <v>190</v>
      </c>
      <c r="D65" s="166">
        <v>0.42268041237113402</v>
      </c>
      <c r="H65" s="269" t="s">
        <v>78</v>
      </c>
      <c r="I65" s="385"/>
      <c r="J65"/>
    </row>
    <row r="66" spans="1:10" x14ac:dyDescent="0.3">
      <c r="A66" s="109"/>
      <c r="B66" s="109" t="s">
        <v>184</v>
      </c>
      <c r="C66" s="110" t="s">
        <v>186</v>
      </c>
      <c r="D66" s="166">
        <v>1</v>
      </c>
      <c r="H66" s="269" t="s">
        <v>82</v>
      </c>
      <c r="I66" s="385"/>
      <c r="J66"/>
    </row>
    <row r="67" spans="1:10" x14ac:dyDescent="0.3">
      <c r="A67" s="109"/>
      <c r="B67" s="109" t="s">
        <v>228</v>
      </c>
      <c r="C67" s="110" t="s">
        <v>229</v>
      </c>
      <c r="D67" s="166">
        <v>0.91836734693877553</v>
      </c>
      <c r="H67" s="269" t="s">
        <v>56</v>
      </c>
      <c r="I67" s="385">
        <v>0</v>
      </c>
      <c r="J67"/>
    </row>
    <row r="68" spans="1:10" x14ac:dyDescent="0.3">
      <c r="A68" s="109"/>
      <c r="B68" s="109" t="s">
        <v>224</v>
      </c>
      <c r="C68" s="110" t="s">
        <v>225</v>
      </c>
      <c r="D68" s="166">
        <v>0.97560975609756095</v>
      </c>
      <c r="H68" s="269" t="s">
        <v>956</v>
      </c>
      <c r="I68" s="385"/>
      <c r="J68"/>
    </row>
    <row r="69" spans="1:10" x14ac:dyDescent="0.3">
      <c r="A69" s="109"/>
      <c r="B69" s="109" t="s">
        <v>195</v>
      </c>
      <c r="C69" s="110" t="s">
        <v>196</v>
      </c>
      <c r="D69" s="166">
        <v>0.77296248382923671</v>
      </c>
      <c r="H69" s="269" t="s">
        <v>94</v>
      </c>
      <c r="I69" s="385">
        <v>0</v>
      </c>
      <c r="J69"/>
    </row>
    <row r="70" spans="1:10" x14ac:dyDescent="0.3">
      <c r="A70" s="109"/>
      <c r="B70" s="109" t="s">
        <v>193</v>
      </c>
      <c r="C70" s="110" t="s">
        <v>194</v>
      </c>
      <c r="D70" s="166">
        <v>0.8607242339832869</v>
      </c>
      <c r="H70" s="269" t="s">
        <v>54</v>
      </c>
      <c r="I70" s="385">
        <v>0</v>
      </c>
      <c r="J70"/>
    </row>
    <row r="71" spans="1:10" x14ac:dyDescent="0.3">
      <c r="A71" s="109"/>
      <c r="B71" s="109" t="s">
        <v>191</v>
      </c>
      <c r="C71" s="110" t="s">
        <v>192</v>
      </c>
      <c r="D71" s="166">
        <v>1.796116504854369</v>
      </c>
      <c r="H71" s="269" t="s">
        <v>66</v>
      </c>
      <c r="I71" s="385">
        <v>0</v>
      </c>
      <c r="J71"/>
    </row>
    <row r="72" spans="1:10" x14ac:dyDescent="0.3">
      <c r="A72" s="109"/>
      <c r="B72" s="109" t="s">
        <v>218</v>
      </c>
      <c r="C72" s="110" t="s">
        <v>219</v>
      </c>
      <c r="D72" s="166">
        <v>1.2010050251256281</v>
      </c>
      <c r="H72" s="269" t="s">
        <v>80</v>
      </c>
      <c r="I72" s="385">
        <v>0</v>
      </c>
      <c r="J72"/>
    </row>
    <row r="73" spans="1:10" x14ac:dyDescent="0.3">
      <c r="A73" s="110"/>
      <c r="B73" s="110" t="s">
        <v>214</v>
      </c>
      <c r="C73" s="110" t="s">
        <v>215</v>
      </c>
      <c r="D73" s="167">
        <v>1.7318435754189945</v>
      </c>
      <c r="H73" s="269" t="s">
        <v>102</v>
      </c>
      <c r="I73" s="385">
        <v>0</v>
      </c>
      <c r="J73"/>
    </row>
    <row r="74" spans="1:10" x14ac:dyDescent="0.3">
      <c r="A74" s="109" t="s">
        <v>230</v>
      </c>
      <c r="B74" s="109" t="s">
        <v>904</v>
      </c>
      <c r="C74" s="110" t="s">
        <v>903</v>
      </c>
      <c r="D74" s="166">
        <v>1</v>
      </c>
      <c r="H74" s="269" t="s">
        <v>106</v>
      </c>
      <c r="I74" s="385">
        <v>0</v>
      </c>
      <c r="J74"/>
    </row>
    <row r="75" spans="1:10" x14ac:dyDescent="0.3">
      <c r="A75" s="109"/>
      <c r="B75" s="110" t="s">
        <v>914</v>
      </c>
      <c r="C75" s="110" t="s">
        <v>913</v>
      </c>
      <c r="D75" s="167">
        <v>1.2000000000000002</v>
      </c>
      <c r="H75" s="269" t="s">
        <v>116</v>
      </c>
      <c r="I75" s="385">
        <v>0</v>
      </c>
      <c r="J75"/>
    </row>
    <row r="76" spans="1:10" x14ac:dyDescent="0.3">
      <c r="A76" s="110"/>
      <c r="B76" s="132" t="s">
        <v>771</v>
      </c>
      <c r="C76" s="132" t="s">
        <v>359</v>
      </c>
      <c r="D76" s="112">
        <v>1</v>
      </c>
      <c r="H76" s="269" t="s">
        <v>130</v>
      </c>
      <c r="I76" s="385">
        <v>0</v>
      </c>
      <c r="J76"/>
    </row>
    <row r="77" spans="1:10" x14ac:dyDescent="0.3">
      <c r="A77" s="109" t="s">
        <v>237</v>
      </c>
      <c r="B77" s="109" t="s">
        <v>866</v>
      </c>
      <c r="C77" s="109" t="s">
        <v>823</v>
      </c>
      <c r="D77" s="166">
        <v>0</v>
      </c>
      <c r="H77" s="269" t="s">
        <v>138</v>
      </c>
      <c r="I77" s="385">
        <v>0</v>
      </c>
      <c r="J77"/>
    </row>
    <row r="78" spans="1:10" x14ac:dyDescent="0.3">
      <c r="A78" s="109"/>
      <c r="B78" s="109"/>
      <c r="C78" s="110" t="s">
        <v>787</v>
      </c>
      <c r="D78" s="166">
        <v>0</v>
      </c>
      <c r="H78" s="269" t="s">
        <v>136</v>
      </c>
      <c r="I78" s="385">
        <v>0</v>
      </c>
      <c r="J78"/>
    </row>
    <row r="79" spans="1:10" x14ac:dyDescent="0.3">
      <c r="A79" s="109"/>
      <c r="B79" s="109" t="s">
        <v>236</v>
      </c>
      <c r="C79" s="110" t="s">
        <v>238</v>
      </c>
      <c r="D79" s="166">
        <v>0.90909090909090906</v>
      </c>
      <c r="H79" s="269" t="s">
        <v>68</v>
      </c>
      <c r="I79" s="385">
        <v>0</v>
      </c>
      <c r="J79"/>
    </row>
    <row r="80" spans="1:10" x14ac:dyDescent="0.3">
      <c r="A80" s="109"/>
      <c r="B80" s="109" t="s">
        <v>267</v>
      </c>
      <c r="C80" s="110" t="s">
        <v>268</v>
      </c>
      <c r="D80" s="166">
        <v>1.1846153846153846</v>
      </c>
      <c r="H80" s="269" t="s">
        <v>84</v>
      </c>
      <c r="I80" s="385">
        <v>0</v>
      </c>
      <c r="J80"/>
    </row>
    <row r="81" spans="1:10" x14ac:dyDescent="0.3">
      <c r="A81" s="109"/>
      <c r="B81" s="109" t="s">
        <v>249</v>
      </c>
      <c r="C81" s="110" t="s">
        <v>250</v>
      </c>
      <c r="D81" s="166">
        <v>0.64516129032258063</v>
      </c>
      <c r="H81" s="269" t="s">
        <v>86</v>
      </c>
      <c r="I81" s="385">
        <v>0</v>
      </c>
      <c r="J81"/>
    </row>
    <row r="82" spans="1:10" x14ac:dyDescent="0.3">
      <c r="A82" s="109"/>
      <c r="B82" s="109" t="s">
        <v>247</v>
      </c>
      <c r="C82" s="110" t="s">
        <v>248</v>
      </c>
      <c r="D82" s="166">
        <v>2</v>
      </c>
      <c r="H82" s="269" t="s">
        <v>104</v>
      </c>
      <c r="I82" s="385">
        <v>0</v>
      </c>
      <c r="J82"/>
    </row>
    <row r="83" spans="1:10" x14ac:dyDescent="0.3">
      <c r="A83" s="109"/>
      <c r="B83" s="109" t="s">
        <v>273</v>
      </c>
      <c r="C83" s="110" t="s">
        <v>274</v>
      </c>
      <c r="D83" s="166">
        <v>0.69565217391304346</v>
      </c>
      <c r="H83" s="269" t="s">
        <v>98</v>
      </c>
      <c r="I83" s="385">
        <v>0</v>
      </c>
      <c r="J83"/>
    </row>
    <row r="84" spans="1:10" x14ac:dyDescent="0.3">
      <c r="A84" s="109"/>
      <c r="B84" s="109" t="s">
        <v>275</v>
      </c>
      <c r="C84" s="110" t="s">
        <v>276</v>
      </c>
      <c r="D84" s="166">
        <v>0.5423728813559322</v>
      </c>
      <c r="H84" s="269" t="s">
        <v>142</v>
      </c>
      <c r="I84" s="385">
        <v>0</v>
      </c>
      <c r="J84"/>
    </row>
    <row r="85" spans="1:10" x14ac:dyDescent="0.3">
      <c r="A85" s="109"/>
      <c r="B85" s="109" t="s">
        <v>259</v>
      </c>
      <c r="C85" s="110" t="s">
        <v>260</v>
      </c>
      <c r="D85" s="166">
        <v>0.76923076923076916</v>
      </c>
      <c r="H85" s="269" t="s">
        <v>110</v>
      </c>
      <c r="I85" s="385">
        <v>0</v>
      </c>
      <c r="J85"/>
    </row>
    <row r="86" spans="1:10" x14ac:dyDescent="0.3">
      <c r="A86" s="109"/>
      <c r="B86" s="109" t="s">
        <v>279</v>
      </c>
      <c r="C86" s="110" t="s">
        <v>280</v>
      </c>
      <c r="D86" s="166">
        <v>0.54347826086956519</v>
      </c>
      <c r="H86" s="269" t="s">
        <v>112</v>
      </c>
      <c r="I86" s="385">
        <v>0</v>
      </c>
      <c r="J86"/>
    </row>
    <row r="87" spans="1:10" x14ac:dyDescent="0.3">
      <c r="A87" s="109"/>
      <c r="B87" s="109" t="s">
        <v>245</v>
      </c>
      <c r="C87" s="110" t="s">
        <v>246</v>
      </c>
      <c r="D87" s="166">
        <v>9.6774193548387094E-2</v>
      </c>
      <c r="H87" s="269" t="s">
        <v>114</v>
      </c>
      <c r="I87" s="385">
        <v>0</v>
      </c>
      <c r="J87"/>
    </row>
    <row r="88" spans="1:10" x14ac:dyDescent="0.3">
      <c r="A88" s="109"/>
      <c r="B88" s="109" t="s">
        <v>242</v>
      </c>
      <c r="C88" s="110" t="s">
        <v>243</v>
      </c>
      <c r="D88" s="166">
        <v>0.5</v>
      </c>
      <c r="H88" s="269" t="s">
        <v>122</v>
      </c>
      <c r="I88" s="385">
        <v>0</v>
      </c>
      <c r="J88"/>
    </row>
    <row r="89" spans="1:10" x14ac:dyDescent="0.3">
      <c r="A89" s="109"/>
      <c r="B89" s="109" t="s">
        <v>255</v>
      </c>
      <c r="C89" s="110" t="s">
        <v>256</v>
      </c>
      <c r="D89" s="166">
        <v>0.11904761904761904</v>
      </c>
      <c r="H89" s="269" t="s">
        <v>124</v>
      </c>
      <c r="I89" s="385">
        <v>8</v>
      </c>
      <c r="J89"/>
    </row>
    <row r="90" spans="1:10" x14ac:dyDescent="0.3">
      <c r="A90" s="109"/>
      <c r="B90" s="109" t="s">
        <v>283</v>
      </c>
      <c r="C90" s="110" t="s">
        <v>284</v>
      </c>
      <c r="D90" s="166">
        <v>0.89928057553956831</v>
      </c>
      <c r="H90" s="269" t="s">
        <v>96</v>
      </c>
      <c r="I90" s="385">
        <v>0</v>
      </c>
      <c r="J90"/>
    </row>
    <row r="91" spans="1:10" x14ac:dyDescent="0.3">
      <c r="A91" s="109"/>
      <c r="B91" s="109" t="s">
        <v>239</v>
      </c>
      <c r="C91" s="110" t="s">
        <v>240</v>
      </c>
      <c r="D91" s="166">
        <v>0.22857142857142856</v>
      </c>
      <c r="H91" s="269" t="s">
        <v>132</v>
      </c>
      <c r="I91" s="385">
        <v>0</v>
      </c>
      <c r="J91"/>
    </row>
    <row r="92" spans="1:10" x14ac:dyDescent="0.3">
      <c r="A92" s="109"/>
      <c r="B92" s="109" t="s">
        <v>257</v>
      </c>
      <c r="C92" s="110" t="s">
        <v>258</v>
      </c>
      <c r="D92" s="166">
        <v>0.32258064516129031</v>
      </c>
      <c r="H92" s="269" t="s">
        <v>134</v>
      </c>
      <c r="I92" s="385"/>
      <c r="J92"/>
    </row>
    <row r="93" spans="1:10" x14ac:dyDescent="0.3">
      <c r="A93" s="109"/>
      <c r="B93" s="109" t="s">
        <v>251</v>
      </c>
      <c r="C93" s="110" t="s">
        <v>252</v>
      </c>
      <c r="D93" s="166">
        <v>0.79999999999999993</v>
      </c>
      <c r="H93" s="269" t="s">
        <v>64</v>
      </c>
      <c r="I93" s="385"/>
      <c r="J93"/>
    </row>
    <row r="94" spans="1:10" x14ac:dyDescent="0.3">
      <c r="A94" s="109"/>
      <c r="B94" s="109" t="s">
        <v>253</v>
      </c>
      <c r="C94" s="110" t="s">
        <v>254</v>
      </c>
      <c r="D94" s="166">
        <v>0.65573770491803274</v>
      </c>
      <c r="H94" s="269" t="s">
        <v>74</v>
      </c>
      <c r="I94" s="385"/>
      <c r="J94"/>
    </row>
    <row r="95" spans="1:10" x14ac:dyDescent="0.3">
      <c r="A95" s="109"/>
      <c r="B95" s="109" t="s">
        <v>261</v>
      </c>
      <c r="C95" s="110" t="s">
        <v>262</v>
      </c>
      <c r="D95" s="166">
        <v>1.2173913043478262</v>
      </c>
      <c r="H95" s="269" t="s">
        <v>467</v>
      </c>
      <c r="I95" s="385">
        <v>0</v>
      </c>
      <c r="J95"/>
    </row>
    <row r="96" spans="1:10" x14ac:dyDescent="0.3">
      <c r="A96" s="109"/>
      <c r="B96" s="109" t="s">
        <v>263</v>
      </c>
      <c r="C96" s="110" t="s">
        <v>264</v>
      </c>
      <c r="D96" s="166">
        <v>1.2666666666666666</v>
      </c>
      <c r="H96" s="269" t="s">
        <v>1133</v>
      </c>
      <c r="I96" s="385"/>
      <c r="J96"/>
    </row>
    <row r="97" spans="1:10" x14ac:dyDescent="0.3">
      <c r="A97" s="109"/>
      <c r="B97" s="109" t="s">
        <v>281</v>
      </c>
      <c r="C97" s="110" t="s">
        <v>282</v>
      </c>
      <c r="D97" s="166">
        <v>1</v>
      </c>
      <c r="H97" s="269" t="s">
        <v>1154</v>
      </c>
      <c r="I97" s="385"/>
      <c r="J97"/>
    </row>
    <row r="98" spans="1:10" x14ac:dyDescent="0.3">
      <c r="A98" s="109"/>
      <c r="B98" s="109" t="s">
        <v>269</v>
      </c>
      <c r="C98" s="110" t="s">
        <v>270</v>
      </c>
      <c r="D98" s="166">
        <v>1.0634920634920635</v>
      </c>
      <c r="H98" s="269" t="s">
        <v>1155</v>
      </c>
      <c r="I98" s="385"/>
      <c r="J98"/>
    </row>
    <row r="99" spans="1:10" x14ac:dyDescent="0.3">
      <c r="A99" s="109"/>
      <c r="B99" s="109" t="s">
        <v>271</v>
      </c>
      <c r="C99" s="110" t="s">
        <v>272</v>
      </c>
      <c r="D99" s="166">
        <v>0.97959183673469385</v>
      </c>
      <c r="H99" s="159" t="s">
        <v>144</v>
      </c>
      <c r="I99" s="385"/>
      <c r="J99"/>
    </row>
    <row r="100" spans="1:10" x14ac:dyDescent="0.3">
      <c r="A100" s="110"/>
      <c r="B100" s="110" t="s">
        <v>241</v>
      </c>
      <c r="C100" s="110" t="s">
        <v>1031</v>
      </c>
      <c r="D100" s="167">
        <v>2.3518518518518521</v>
      </c>
      <c r="H100" s="269" t="s">
        <v>145</v>
      </c>
      <c r="I100" s="385"/>
      <c r="J100"/>
    </row>
    <row r="101" spans="1:10" x14ac:dyDescent="0.3">
      <c r="A101" s="109" t="s">
        <v>288</v>
      </c>
      <c r="B101" s="109" t="s">
        <v>287</v>
      </c>
      <c r="C101" s="110" t="s">
        <v>289</v>
      </c>
      <c r="D101" s="166">
        <v>0.44776119402985076</v>
      </c>
      <c r="H101" s="159" t="s">
        <v>151</v>
      </c>
      <c r="I101" s="385">
        <v>0</v>
      </c>
      <c r="J101"/>
    </row>
    <row r="102" spans="1:10" x14ac:dyDescent="0.3">
      <c r="A102" s="109"/>
      <c r="B102" s="109" t="s">
        <v>290</v>
      </c>
      <c r="C102" s="110" t="s">
        <v>291</v>
      </c>
      <c r="D102" s="166">
        <v>1.2702702702702702</v>
      </c>
      <c r="H102" s="269" t="s">
        <v>808</v>
      </c>
      <c r="I102" s="385">
        <v>0</v>
      </c>
      <c r="J102"/>
    </row>
    <row r="103" spans="1:10" x14ac:dyDescent="0.3">
      <c r="A103" s="109"/>
      <c r="B103" s="109" t="s">
        <v>906</v>
      </c>
      <c r="C103" s="110" t="s">
        <v>905</v>
      </c>
      <c r="D103" s="166">
        <v>1.0277777777777777</v>
      </c>
      <c r="H103" s="269" t="s">
        <v>803</v>
      </c>
      <c r="I103" s="385">
        <v>0</v>
      </c>
      <c r="J103"/>
    </row>
    <row r="104" spans="1:10" x14ac:dyDescent="0.3">
      <c r="A104" s="109"/>
      <c r="B104" s="110" t="s">
        <v>910</v>
      </c>
      <c r="C104" s="110" t="s">
        <v>917</v>
      </c>
      <c r="D104" s="167">
        <v>0.6</v>
      </c>
      <c r="H104" s="269" t="s">
        <v>804</v>
      </c>
      <c r="I104" s="385">
        <v>0</v>
      </c>
      <c r="J104"/>
    </row>
    <row r="105" spans="1:10" x14ac:dyDescent="0.3">
      <c r="A105" s="110"/>
      <c r="B105" s="132" t="s">
        <v>294</v>
      </c>
      <c r="C105" s="132" t="s">
        <v>372</v>
      </c>
      <c r="D105" s="112">
        <v>0</v>
      </c>
      <c r="H105" s="269" t="s">
        <v>888</v>
      </c>
      <c r="I105" s="385"/>
      <c r="J105"/>
    </row>
    <row r="106" spans="1:10" x14ac:dyDescent="0.3">
      <c r="A106" s="110" t="s">
        <v>297</v>
      </c>
      <c r="B106" s="110" t="s">
        <v>296</v>
      </c>
      <c r="C106" s="110" t="s">
        <v>759</v>
      </c>
      <c r="D106" s="167">
        <v>0.22727272727272727</v>
      </c>
      <c r="H106" s="269" t="s">
        <v>810</v>
      </c>
      <c r="I106" s="385">
        <v>0</v>
      </c>
      <c r="J106"/>
    </row>
    <row r="107" spans="1:10" x14ac:dyDescent="0.3">
      <c r="A107" s="109" t="s">
        <v>301</v>
      </c>
      <c r="B107" s="109" t="s">
        <v>304</v>
      </c>
      <c r="C107" s="110" t="s">
        <v>305</v>
      </c>
      <c r="D107" s="166">
        <v>0.48837209302325579</v>
      </c>
      <c r="H107" s="269" t="s">
        <v>469</v>
      </c>
      <c r="I107" s="385">
        <v>0</v>
      </c>
      <c r="J107"/>
    </row>
    <row r="108" spans="1:10" x14ac:dyDescent="0.3">
      <c r="A108" s="110"/>
      <c r="B108" s="110" t="s">
        <v>306</v>
      </c>
      <c r="C108" s="110" t="s">
        <v>307</v>
      </c>
      <c r="D108" s="167">
        <v>1.0697674418604652</v>
      </c>
      <c r="H108" s="269" t="s">
        <v>158</v>
      </c>
      <c r="I108" s="385">
        <v>0</v>
      </c>
      <c r="J108"/>
    </row>
    <row r="109" spans="1:10" x14ac:dyDescent="0.3">
      <c r="A109" s="109" t="s">
        <v>309</v>
      </c>
      <c r="B109" s="109" t="s">
        <v>339</v>
      </c>
      <c r="C109" s="110" t="s">
        <v>340</v>
      </c>
      <c r="D109" s="166">
        <v>0.58461538461538465</v>
      </c>
      <c r="H109" s="269" t="s">
        <v>802</v>
      </c>
      <c r="I109" s="385">
        <v>0</v>
      </c>
      <c r="J109"/>
    </row>
    <row r="110" spans="1:10" x14ac:dyDescent="0.3">
      <c r="A110" s="109"/>
      <c r="B110" s="109" t="s">
        <v>348</v>
      </c>
      <c r="C110" s="110" t="s">
        <v>349</v>
      </c>
      <c r="D110" s="166">
        <v>1</v>
      </c>
      <c r="H110" s="269" t="s">
        <v>801</v>
      </c>
      <c r="I110" s="385">
        <v>0</v>
      </c>
      <c r="J110"/>
    </row>
    <row r="111" spans="1:10" x14ac:dyDescent="0.3">
      <c r="A111" s="109"/>
      <c r="B111" s="109" t="s">
        <v>318</v>
      </c>
      <c r="C111" s="110" t="s">
        <v>319</v>
      </c>
      <c r="D111" s="166">
        <v>0.96666666666666667</v>
      </c>
      <c r="H111" s="269" t="s">
        <v>295</v>
      </c>
      <c r="I111" s="385"/>
      <c r="J111"/>
    </row>
    <row r="112" spans="1:10" x14ac:dyDescent="0.3">
      <c r="A112" s="109"/>
      <c r="B112" s="109" t="s">
        <v>311</v>
      </c>
      <c r="C112" s="110" t="s">
        <v>312</v>
      </c>
      <c r="D112" s="166">
        <v>1.0294117647058822</v>
      </c>
      <c r="H112" s="269" t="s">
        <v>471</v>
      </c>
      <c r="I112" s="385">
        <v>0</v>
      </c>
      <c r="J112"/>
    </row>
    <row r="113" spans="1:10" x14ac:dyDescent="0.3">
      <c r="A113" s="109"/>
      <c r="B113" s="109" t="s">
        <v>328</v>
      </c>
      <c r="C113" s="110" t="s">
        <v>329</v>
      </c>
      <c r="D113" s="166">
        <v>0.9042553191489362</v>
      </c>
      <c r="H113" s="269" t="s">
        <v>162</v>
      </c>
      <c r="I113" s="385">
        <v>0</v>
      </c>
      <c r="J113"/>
    </row>
    <row r="114" spans="1:10" x14ac:dyDescent="0.3">
      <c r="A114" s="109"/>
      <c r="B114" s="109" t="s">
        <v>336</v>
      </c>
      <c r="C114" s="110" t="s">
        <v>337</v>
      </c>
      <c r="D114" s="166">
        <v>1.258064516129032</v>
      </c>
      <c r="H114" s="269" t="s">
        <v>791</v>
      </c>
      <c r="I114" s="385">
        <v>0</v>
      </c>
      <c r="J114"/>
    </row>
    <row r="115" spans="1:10" x14ac:dyDescent="0.3">
      <c r="A115" s="109"/>
      <c r="B115" s="109" t="s">
        <v>326</v>
      </c>
      <c r="C115" s="110" t="s">
        <v>327</v>
      </c>
      <c r="D115" s="166">
        <v>0.37024221453287198</v>
      </c>
      <c r="H115" s="269" t="s">
        <v>792</v>
      </c>
      <c r="I115" s="385">
        <v>0</v>
      </c>
      <c r="J115"/>
    </row>
    <row r="116" spans="1:10" x14ac:dyDescent="0.3">
      <c r="A116" s="109"/>
      <c r="B116" s="109" t="s">
        <v>316</v>
      </c>
      <c r="C116" s="110" t="s">
        <v>317</v>
      </c>
      <c r="D116" s="166">
        <v>1.0090090090090089</v>
      </c>
      <c r="H116" s="269" t="s">
        <v>164</v>
      </c>
      <c r="I116" s="385">
        <v>0</v>
      </c>
      <c r="J116"/>
    </row>
    <row r="117" spans="1:10" x14ac:dyDescent="0.3">
      <c r="A117" s="109"/>
      <c r="B117" s="109" t="s">
        <v>346</v>
      </c>
      <c r="C117" s="110" t="s">
        <v>347</v>
      </c>
      <c r="D117" s="166">
        <v>1.7173913043478262</v>
      </c>
      <c r="H117" s="269" t="s">
        <v>813</v>
      </c>
      <c r="I117" s="385">
        <v>0</v>
      </c>
      <c r="J117"/>
    </row>
    <row r="118" spans="1:10" x14ac:dyDescent="0.3">
      <c r="A118" s="109"/>
      <c r="B118" s="109" t="s">
        <v>314</v>
      </c>
      <c r="C118" s="110" t="s">
        <v>315</v>
      </c>
      <c r="D118" s="166">
        <v>0.84615384615384626</v>
      </c>
      <c r="H118" s="159" t="s">
        <v>301</v>
      </c>
      <c r="I118" s="385"/>
      <c r="J118"/>
    </row>
    <row r="119" spans="1:10" x14ac:dyDescent="0.3">
      <c r="A119" s="109"/>
      <c r="B119" s="109" t="s">
        <v>324</v>
      </c>
      <c r="C119" s="110" t="s">
        <v>325</v>
      </c>
      <c r="D119" s="166">
        <v>0.88888888888888884</v>
      </c>
      <c r="H119" s="269" t="s">
        <v>12</v>
      </c>
      <c r="I119" s="385"/>
      <c r="J119"/>
    </row>
    <row r="120" spans="1:10" x14ac:dyDescent="0.3">
      <c r="A120" s="109"/>
      <c r="B120" s="109" t="s">
        <v>322</v>
      </c>
      <c r="C120" s="110" t="s">
        <v>323</v>
      </c>
      <c r="D120" s="166">
        <v>1.0983935742971889</v>
      </c>
      <c r="H120" s="159" t="s">
        <v>27</v>
      </c>
      <c r="I120" s="385"/>
      <c r="J120"/>
    </row>
    <row r="121" spans="1:10" x14ac:dyDescent="0.3">
      <c r="A121" s="109"/>
      <c r="B121" s="109" t="s">
        <v>344</v>
      </c>
      <c r="C121" s="110" t="s">
        <v>345</v>
      </c>
      <c r="D121" s="166">
        <v>1.4184782608695652</v>
      </c>
      <c r="H121" s="314" t="s">
        <v>32</v>
      </c>
      <c r="I121" s="385"/>
      <c r="J121"/>
    </row>
    <row r="122" spans="1:10" x14ac:dyDescent="0.3">
      <c r="A122" s="109"/>
      <c r="B122" s="109" t="s">
        <v>332</v>
      </c>
      <c r="C122" s="110" t="s">
        <v>333</v>
      </c>
      <c r="D122" s="166">
        <v>1.2302631578947367</v>
      </c>
      <c r="H122" s="269" t="s">
        <v>34</v>
      </c>
      <c r="I122" s="385"/>
      <c r="J122"/>
    </row>
    <row r="123" spans="1:10" x14ac:dyDescent="0.3">
      <c r="A123" s="109"/>
      <c r="B123" s="109" t="s">
        <v>334</v>
      </c>
      <c r="C123" s="110" t="s">
        <v>335</v>
      </c>
      <c r="D123" s="166">
        <v>0.67114093959731547</v>
      </c>
      <c r="H123" s="269" t="s">
        <v>37</v>
      </c>
      <c r="I123" s="385"/>
      <c r="J123"/>
    </row>
    <row r="124" spans="1:10" x14ac:dyDescent="0.3">
      <c r="A124" s="109"/>
      <c r="B124" s="109" t="s">
        <v>350</v>
      </c>
      <c r="C124" s="110" t="s">
        <v>351</v>
      </c>
      <c r="D124" s="166">
        <v>0.11461318051575932</v>
      </c>
      <c r="H124" s="159" t="s">
        <v>288</v>
      </c>
      <c r="I124" s="385">
        <v>0</v>
      </c>
      <c r="J124"/>
    </row>
    <row r="125" spans="1:10" x14ac:dyDescent="0.3">
      <c r="A125" s="109"/>
      <c r="B125" s="109" t="s">
        <v>320</v>
      </c>
      <c r="C125" s="110" t="s">
        <v>321</v>
      </c>
      <c r="D125" s="166">
        <v>1</v>
      </c>
      <c r="H125" s="269" t="s">
        <v>373</v>
      </c>
      <c r="I125" s="385">
        <v>0</v>
      </c>
      <c r="J125"/>
    </row>
    <row r="126" spans="1:10" x14ac:dyDescent="0.3">
      <c r="A126" s="109"/>
      <c r="B126" s="109" t="s">
        <v>352</v>
      </c>
      <c r="C126" s="110" t="s">
        <v>353</v>
      </c>
      <c r="D126" s="166">
        <v>0.65</v>
      </c>
      <c r="H126" s="269" t="s">
        <v>293</v>
      </c>
      <c r="I126" s="385"/>
      <c r="J126"/>
    </row>
    <row r="127" spans="1:10" x14ac:dyDescent="0.3">
      <c r="A127" s="109"/>
      <c r="B127" s="109" t="s">
        <v>341</v>
      </c>
      <c r="C127" s="110" t="s">
        <v>342</v>
      </c>
      <c r="D127" s="166">
        <v>0.95</v>
      </c>
      <c r="H127" s="269" t="s">
        <v>1129</v>
      </c>
      <c r="I127" s="385"/>
      <c r="J127"/>
    </row>
    <row r="128" spans="1:10" x14ac:dyDescent="0.3">
      <c r="A128" s="110"/>
      <c r="B128" s="110" t="s">
        <v>343</v>
      </c>
      <c r="C128" s="110" t="s">
        <v>1030</v>
      </c>
      <c r="D128" s="167">
        <v>0.18817204301075269</v>
      </c>
      <c r="H128" s="159" t="s">
        <v>180</v>
      </c>
      <c r="I128" s="385">
        <v>0</v>
      </c>
      <c r="J128"/>
    </row>
    <row r="129" spans="1:10" x14ac:dyDescent="0.3">
      <c r="A129" s="109" t="s">
        <v>299</v>
      </c>
      <c r="B129" s="110" t="s">
        <v>866</v>
      </c>
      <c r="C129" s="110" t="s">
        <v>787</v>
      </c>
      <c r="D129" s="167">
        <v>0</v>
      </c>
      <c r="H129" s="269" t="s">
        <v>183</v>
      </c>
      <c r="I129" s="385">
        <v>0</v>
      </c>
      <c r="J129"/>
    </row>
    <row r="130" spans="1:10" x14ac:dyDescent="0.3">
      <c r="A130" s="110"/>
      <c r="B130" s="132" t="s">
        <v>1045</v>
      </c>
      <c r="C130" s="132" t="s">
        <v>1046</v>
      </c>
      <c r="D130" s="112">
        <v>0.98360655737704916</v>
      </c>
      <c r="H130" s="159" t="s">
        <v>299</v>
      </c>
      <c r="I130" s="385">
        <v>0</v>
      </c>
      <c r="J130"/>
    </row>
    <row r="131" spans="1:10" x14ac:dyDescent="0.3">
      <c r="A131" s="109" t="s">
        <v>719</v>
      </c>
      <c r="B131" s="132" t="s">
        <v>1044</v>
      </c>
      <c r="C131" s="132" t="s">
        <v>1060</v>
      </c>
      <c r="D131" s="112">
        <v>1.0294117647058825</v>
      </c>
      <c r="H131" s="269" t="s">
        <v>815</v>
      </c>
      <c r="I131" s="385">
        <v>0</v>
      </c>
      <c r="J131"/>
    </row>
    <row r="132" spans="1:10" x14ac:dyDescent="0.3">
      <c r="A132" s="110" t="s">
        <v>411</v>
      </c>
      <c r="B132" s="110"/>
      <c r="C132" s="110"/>
      <c r="D132" s="167">
        <v>105.42932448197416</v>
      </c>
      <c r="H132" s="159" t="s">
        <v>185</v>
      </c>
      <c r="I132" s="385"/>
      <c r="J132"/>
    </row>
    <row r="133" spans="1:10" x14ac:dyDescent="0.3">
      <c r="B133"/>
      <c r="H133" s="269" t="s">
        <v>200</v>
      </c>
      <c r="I133" s="385"/>
      <c r="J133"/>
    </row>
    <row r="134" spans="1:10" x14ac:dyDescent="0.3">
      <c r="B134"/>
      <c r="H134" s="269" t="s">
        <v>204</v>
      </c>
      <c r="I134" s="385"/>
      <c r="J134"/>
    </row>
    <row r="135" spans="1:10" x14ac:dyDescent="0.3">
      <c r="B135"/>
      <c r="H135" s="269" t="s">
        <v>205</v>
      </c>
      <c r="I135" s="385"/>
      <c r="J135"/>
    </row>
    <row r="136" spans="1:10" x14ac:dyDescent="0.3">
      <c r="B136"/>
      <c r="H136" s="269" t="s">
        <v>207</v>
      </c>
      <c r="I136" s="385"/>
      <c r="J136"/>
    </row>
    <row r="137" spans="1:10" x14ac:dyDescent="0.3">
      <c r="B137"/>
      <c r="H137" s="269" t="s">
        <v>211</v>
      </c>
      <c r="I137" s="385"/>
      <c r="J137"/>
    </row>
    <row r="138" spans="1:10" x14ac:dyDescent="0.3">
      <c r="B138"/>
      <c r="H138" s="269" t="s">
        <v>217</v>
      </c>
      <c r="I138" s="385"/>
      <c r="J138"/>
    </row>
    <row r="139" spans="1:10" x14ac:dyDescent="0.3">
      <c r="B139"/>
      <c r="H139" s="269" t="s">
        <v>221</v>
      </c>
      <c r="I139" s="385"/>
      <c r="J139"/>
    </row>
    <row r="140" spans="1:10" x14ac:dyDescent="0.3">
      <c r="B140"/>
      <c r="H140" s="269" t="s">
        <v>227</v>
      </c>
      <c r="I140" s="385"/>
      <c r="J140"/>
    </row>
    <row r="141" spans="1:10" x14ac:dyDescent="0.3">
      <c r="B141"/>
      <c r="H141" s="269" t="s">
        <v>1080</v>
      </c>
      <c r="I141" s="385"/>
      <c r="J141"/>
    </row>
    <row r="142" spans="1:10" x14ac:dyDescent="0.3">
      <c r="B142"/>
      <c r="H142" s="159" t="s">
        <v>146</v>
      </c>
      <c r="I142" s="385">
        <v>0</v>
      </c>
      <c r="J142"/>
    </row>
    <row r="143" spans="1:10" x14ac:dyDescent="0.3">
      <c r="B143"/>
      <c r="H143" s="269" t="s">
        <v>837</v>
      </c>
      <c r="I143" s="385">
        <v>0</v>
      </c>
      <c r="J143"/>
    </row>
    <row r="144" spans="1:10" x14ac:dyDescent="0.3">
      <c r="B144"/>
      <c r="H144" s="269" t="s">
        <v>839</v>
      </c>
      <c r="I144" s="385">
        <v>0</v>
      </c>
      <c r="J144"/>
    </row>
    <row r="145" spans="2:10" x14ac:dyDescent="0.3">
      <c r="B145"/>
      <c r="H145" s="269" t="s">
        <v>370</v>
      </c>
      <c r="I145" s="385"/>
      <c r="J145"/>
    </row>
    <row r="146" spans="2:10" x14ac:dyDescent="0.3">
      <c r="B146"/>
      <c r="H146" s="269" t="s">
        <v>365</v>
      </c>
      <c r="I146" s="385">
        <v>0</v>
      </c>
      <c r="J146"/>
    </row>
    <row r="147" spans="2:10" x14ac:dyDescent="0.3">
      <c r="B147"/>
      <c r="H147" s="159" t="s">
        <v>817</v>
      </c>
      <c r="I147" s="385"/>
      <c r="J147"/>
    </row>
    <row r="148" spans="2:10" x14ac:dyDescent="0.3">
      <c r="B148"/>
      <c r="H148" s="269" t="s">
        <v>819</v>
      </c>
      <c r="I148" s="385"/>
      <c r="J148"/>
    </row>
    <row r="149" spans="2:10" x14ac:dyDescent="0.3">
      <c r="B149"/>
      <c r="H149" s="159" t="s">
        <v>361</v>
      </c>
      <c r="I149" s="385">
        <v>0</v>
      </c>
      <c r="J149"/>
    </row>
    <row r="150" spans="2:10" x14ac:dyDescent="0.3">
      <c r="B150"/>
      <c r="H150" s="269" t="s">
        <v>35</v>
      </c>
      <c r="I150" s="385">
        <v>0</v>
      </c>
      <c r="J150"/>
    </row>
    <row r="151" spans="2:10" x14ac:dyDescent="0.3">
      <c r="B151"/>
      <c r="H151" s="187" t="s">
        <v>411</v>
      </c>
      <c r="I151" s="386">
        <v>642</v>
      </c>
      <c r="J151"/>
    </row>
    <row r="152" spans="2:10" x14ac:dyDescent="0.3">
      <c r="B152"/>
      <c r="H152"/>
      <c r="I152"/>
      <c r="J152"/>
    </row>
    <row r="153" spans="2:10" x14ac:dyDescent="0.3">
      <c r="B153"/>
      <c r="H153"/>
      <c r="I153"/>
      <c r="J153"/>
    </row>
    <row r="154" spans="2:10" x14ac:dyDescent="0.3">
      <c r="B154"/>
      <c r="H154"/>
      <c r="I154"/>
      <c r="J154"/>
    </row>
    <row r="155" spans="2:10" x14ac:dyDescent="0.3">
      <c r="B155"/>
      <c r="H155"/>
      <c r="I155"/>
      <c r="J155"/>
    </row>
    <row r="156" spans="2:10" x14ac:dyDescent="0.3">
      <c r="B156"/>
      <c r="H156"/>
      <c r="I156"/>
      <c r="J156"/>
    </row>
    <row r="157" spans="2:10" x14ac:dyDescent="0.3">
      <c r="B157"/>
      <c r="H157"/>
      <c r="I157"/>
      <c r="J157"/>
    </row>
    <row r="158" spans="2:10" x14ac:dyDescent="0.3">
      <c r="B158"/>
      <c r="H158"/>
      <c r="I158"/>
      <c r="J158"/>
    </row>
    <row r="159" spans="2:10" x14ac:dyDescent="0.3">
      <c r="B159"/>
      <c r="H159"/>
      <c r="I159"/>
      <c r="J159"/>
    </row>
    <row r="160" spans="2:10" x14ac:dyDescent="0.3">
      <c r="B160"/>
      <c r="H160"/>
      <c r="I160"/>
      <c r="J160"/>
    </row>
    <row r="161" spans="2:10" x14ac:dyDescent="0.3">
      <c r="B161"/>
      <c r="H161"/>
      <c r="I161"/>
      <c r="J161"/>
    </row>
    <row r="162" spans="2:10" x14ac:dyDescent="0.3">
      <c r="B162"/>
      <c r="H162"/>
      <c r="I162"/>
      <c r="J162"/>
    </row>
    <row r="163" spans="2:10" x14ac:dyDescent="0.3">
      <c r="B163"/>
      <c r="H163"/>
      <c r="I163"/>
      <c r="J163"/>
    </row>
    <row r="164" spans="2:10" x14ac:dyDescent="0.3">
      <c r="B164"/>
      <c r="H164"/>
      <c r="I164"/>
      <c r="J164"/>
    </row>
    <row r="165" spans="2:10" x14ac:dyDescent="0.3">
      <c r="B165"/>
      <c r="H165"/>
      <c r="I165"/>
      <c r="J165"/>
    </row>
    <row r="166" spans="2:10" x14ac:dyDescent="0.3">
      <c r="B166"/>
      <c r="H166"/>
      <c r="I166"/>
      <c r="J166"/>
    </row>
    <row r="167" spans="2:10" x14ac:dyDescent="0.3">
      <c r="B167"/>
      <c r="H167"/>
      <c r="I167"/>
      <c r="J167"/>
    </row>
    <row r="168" spans="2:10" x14ac:dyDescent="0.3">
      <c r="B168"/>
      <c r="H168"/>
      <c r="I168"/>
      <c r="J168"/>
    </row>
    <row r="169" spans="2:10" x14ac:dyDescent="0.3">
      <c r="B169"/>
      <c r="H169"/>
      <c r="I169"/>
      <c r="J169"/>
    </row>
    <row r="170" spans="2:10" x14ac:dyDescent="0.3">
      <c r="B170"/>
      <c r="H170"/>
      <c r="I170"/>
      <c r="J170"/>
    </row>
    <row r="171" spans="2:10" x14ac:dyDescent="0.3">
      <c r="B171"/>
      <c r="H171"/>
      <c r="I171"/>
      <c r="J171"/>
    </row>
    <row r="172" spans="2:10" x14ac:dyDescent="0.3">
      <c r="B172"/>
      <c r="H172"/>
      <c r="I172"/>
      <c r="J172"/>
    </row>
    <row r="173" spans="2:10" x14ac:dyDescent="0.3">
      <c r="B173"/>
      <c r="H173"/>
      <c r="I173"/>
      <c r="J173"/>
    </row>
    <row r="174" spans="2:10" x14ac:dyDescent="0.3">
      <c r="B174"/>
      <c r="H174"/>
      <c r="I174"/>
      <c r="J174"/>
    </row>
    <row r="175" spans="2:10" x14ac:dyDescent="0.3">
      <c r="B175"/>
      <c r="H175"/>
      <c r="I175"/>
      <c r="J175"/>
    </row>
    <row r="176" spans="2:10" x14ac:dyDescent="0.3">
      <c r="B176"/>
      <c r="H176"/>
      <c r="I176"/>
      <c r="J176"/>
    </row>
    <row r="177" spans="2:10" x14ac:dyDescent="0.3">
      <c r="B177"/>
      <c r="H177"/>
      <c r="I177"/>
      <c r="J177"/>
    </row>
    <row r="178" spans="2:10" x14ac:dyDescent="0.3">
      <c r="B178"/>
      <c r="H178"/>
      <c r="I178"/>
      <c r="J178"/>
    </row>
    <row r="179" spans="2:10" x14ac:dyDescent="0.3">
      <c r="B179"/>
      <c r="H179"/>
      <c r="I179"/>
      <c r="J179"/>
    </row>
    <row r="180" spans="2:10" x14ac:dyDescent="0.3">
      <c r="B180"/>
      <c r="H180"/>
      <c r="I180"/>
      <c r="J180"/>
    </row>
    <row r="181" spans="2:10" x14ac:dyDescent="0.3">
      <c r="B181"/>
      <c r="H181"/>
      <c r="I181"/>
      <c r="J181"/>
    </row>
    <row r="182" spans="2:10" x14ac:dyDescent="0.3">
      <c r="B182"/>
      <c r="H182"/>
      <c r="I182"/>
      <c r="J182"/>
    </row>
    <row r="183" spans="2:10" x14ac:dyDescent="0.3">
      <c r="B183"/>
      <c r="H183"/>
      <c r="I183"/>
      <c r="J183"/>
    </row>
    <row r="184" spans="2:10" x14ac:dyDescent="0.3">
      <c r="B184"/>
      <c r="H184"/>
      <c r="I184"/>
      <c r="J184"/>
    </row>
    <row r="185" spans="2:10" x14ac:dyDescent="0.3">
      <c r="B185"/>
      <c r="H185"/>
      <c r="I185"/>
      <c r="J185"/>
    </row>
    <row r="186" spans="2:10" x14ac:dyDescent="0.3">
      <c r="B186"/>
      <c r="H186"/>
      <c r="I186"/>
      <c r="J186"/>
    </row>
    <row r="187" spans="2:10" x14ac:dyDescent="0.3">
      <c r="B187"/>
      <c r="H187"/>
      <c r="I187"/>
      <c r="J187"/>
    </row>
    <row r="188" spans="2:10" x14ac:dyDescent="0.3">
      <c r="B188"/>
      <c r="H188"/>
      <c r="I188"/>
      <c r="J188"/>
    </row>
    <row r="189" spans="2:10" x14ac:dyDescent="0.3">
      <c r="B189"/>
      <c r="H189"/>
      <c r="I189"/>
      <c r="J189"/>
    </row>
    <row r="190" spans="2:10" x14ac:dyDescent="0.3">
      <c r="B190"/>
      <c r="H190"/>
      <c r="I190"/>
      <c r="J190"/>
    </row>
    <row r="191" spans="2:10" x14ac:dyDescent="0.3">
      <c r="B191"/>
      <c r="H191"/>
      <c r="I191"/>
      <c r="J191"/>
    </row>
    <row r="192" spans="2:10" x14ac:dyDescent="0.3">
      <c r="B192"/>
      <c r="H192"/>
      <c r="I192"/>
      <c r="J192"/>
    </row>
    <row r="193" spans="2:10" x14ac:dyDescent="0.3">
      <c r="B193"/>
      <c r="H193"/>
      <c r="I193"/>
      <c r="J193"/>
    </row>
    <row r="194" spans="2:10" x14ac:dyDescent="0.3">
      <c r="B194"/>
      <c r="H194"/>
      <c r="I194"/>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176"/>
  <sheetViews>
    <sheetView showGridLines="0" showZeros="0" zoomScaleNormal="100" zoomScaleSheetLayoutView="85" workbookViewId="0">
      <pane xSplit="6" ySplit="4" topLeftCell="G35" activePane="bottomRight" state="frozen"/>
      <selection pane="topRight" activeCell="G1" sqref="G1"/>
      <selection pane="bottomLeft" activeCell="A5" sqref="A5"/>
      <selection pane="bottomRight" activeCell="P138" sqref="P138"/>
    </sheetView>
  </sheetViews>
  <sheetFormatPr defaultColWidth="9.109375" defaultRowHeight="11.25" customHeight="1" x14ac:dyDescent="0.25"/>
  <cols>
    <col min="1" max="1" width="9.109375" style="352"/>
    <col min="2" max="2" width="10.5546875" style="352" customWidth="1"/>
    <col min="3" max="3" width="9.44140625" style="352" customWidth="1"/>
    <col min="4" max="4" width="29.33203125" style="352" customWidth="1"/>
    <col min="5" max="5" width="15.88671875" style="352" customWidth="1"/>
    <col min="6" max="6" width="7.88671875" style="353" customWidth="1"/>
    <col min="7" max="7" width="8.5546875" style="352" customWidth="1"/>
    <col min="8" max="9" width="10.33203125" style="354" customWidth="1"/>
    <col min="10" max="11" width="11.109375" style="354" customWidth="1"/>
    <col min="12" max="15" width="10.33203125" style="354" customWidth="1"/>
    <col min="16" max="17" width="13.88671875" style="354" customWidth="1"/>
    <col min="18" max="18" width="12.33203125" style="354" customWidth="1"/>
    <col min="19" max="19" width="10.6640625" style="354" customWidth="1"/>
    <col min="20" max="20" width="13.33203125" style="354" customWidth="1"/>
    <col min="21" max="21" width="30.6640625" style="352" customWidth="1"/>
    <col min="22" max="250" width="9.109375" style="352"/>
    <col min="251" max="251" width="9.44140625" style="352" customWidth="1"/>
    <col min="252" max="252" width="31.44140625" style="352" customWidth="1"/>
    <col min="253" max="258" width="0" style="352" hidden="1" customWidth="1"/>
    <col min="259" max="259" width="8.6640625" style="352" customWidth="1"/>
    <col min="260" max="260" width="8.109375" style="352" customWidth="1"/>
    <col min="261" max="261" width="14.44140625" style="352" customWidth="1"/>
    <col min="262" max="262" width="13.33203125" style="352" customWidth="1"/>
    <col min="263" max="263" width="9.6640625" style="352" customWidth="1"/>
    <col min="264" max="264" width="13.5546875" style="352" customWidth="1"/>
    <col min="265" max="265" width="10.5546875" style="352" customWidth="1"/>
    <col min="266" max="266" width="11.33203125" style="352" customWidth="1"/>
    <col min="267" max="267" width="8.6640625" style="352" customWidth="1"/>
    <col min="268" max="268" width="9" style="352" customWidth="1"/>
    <col min="269" max="269" width="6.6640625" style="352" customWidth="1"/>
    <col min="270" max="270" width="11.44140625" style="352" customWidth="1"/>
    <col min="271" max="271" width="12.33203125" style="352" customWidth="1"/>
    <col min="272" max="272" width="11.33203125" style="352" customWidth="1"/>
    <col min="273" max="273" width="12.44140625" style="352" customWidth="1"/>
    <col min="274" max="274" width="13" style="352" customWidth="1"/>
    <col min="275" max="275" width="9.5546875" style="352" customWidth="1"/>
    <col min="276" max="276" width="11.44140625" style="352" customWidth="1"/>
    <col min="277" max="506" width="9.109375" style="352"/>
    <col min="507" max="507" width="9.44140625" style="352" customWidth="1"/>
    <col min="508" max="508" width="31.44140625" style="352" customWidth="1"/>
    <col min="509" max="514" width="0" style="352" hidden="1" customWidth="1"/>
    <col min="515" max="515" width="8.6640625" style="352" customWidth="1"/>
    <col min="516" max="516" width="8.109375" style="352" customWidth="1"/>
    <col min="517" max="517" width="14.44140625" style="352" customWidth="1"/>
    <col min="518" max="518" width="13.33203125" style="352" customWidth="1"/>
    <col min="519" max="519" width="9.6640625" style="352" customWidth="1"/>
    <col min="520" max="520" width="13.5546875" style="352" customWidth="1"/>
    <col min="521" max="521" width="10.5546875" style="352" customWidth="1"/>
    <col min="522" max="522" width="11.33203125" style="352" customWidth="1"/>
    <col min="523" max="523" width="8.6640625" style="352" customWidth="1"/>
    <col min="524" max="524" width="9" style="352" customWidth="1"/>
    <col min="525" max="525" width="6.6640625" style="352" customWidth="1"/>
    <col min="526" max="526" width="11.44140625" style="352" customWidth="1"/>
    <col min="527" max="527" width="12.33203125" style="352" customWidth="1"/>
    <col min="528" max="528" width="11.33203125" style="352" customWidth="1"/>
    <col min="529" max="529" width="12.44140625" style="352" customWidth="1"/>
    <col min="530" max="530" width="13" style="352" customWidth="1"/>
    <col min="531" max="531" width="9.5546875" style="352" customWidth="1"/>
    <col min="532" max="532" width="11.44140625" style="352" customWidth="1"/>
    <col min="533" max="762" width="9.109375" style="352"/>
    <col min="763" max="763" width="9.44140625" style="352" customWidth="1"/>
    <col min="764" max="764" width="31.44140625" style="352" customWidth="1"/>
    <col min="765" max="770" width="0" style="352" hidden="1" customWidth="1"/>
    <col min="771" max="771" width="8.6640625" style="352" customWidth="1"/>
    <col min="772" max="772" width="8.109375" style="352" customWidth="1"/>
    <col min="773" max="773" width="14.44140625" style="352" customWidth="1"/>
    <col min="774" max="774" width="13.33203125" style="352" customWidth="1"/>
    <col min="775" max="775" width="9.6640625" style="352" customWidth="1"/>
    <col min="776" max="776" width="13.5546875" style="352" customWidth="1"/>
    <col min="777" max="777" width="10.5546875" style="352" customWidth="1"/>
    <col min="778" max="778" width="11.33203125" style="352" customWidth="1"/>
    <col min="779" max="779" width="8.6640625" style="352" customWidth="1"/>
    <col min="780" max="780" width="9" style="352" customWidth="1"/>
    <col min="781" max="781" width="6.6640625" style="352" customWidth="1"/>
    <col min="782" max="782" width="11.44140625" style="352" customWidth="1"/>
    <col min="783" max="783" width="12.33203125" style="352" customWidth="1"/>
    <col min="784" max="784" width="11.33203125" style="352" customWidth="1"/>
    <col min="785" max="785" width="12.44140625" style="352" customWidth="1"/>
    <col min="786" max="786" width="13" style="352" customWidth="1"/>
    <col min="787" max="787" width="9.5546875" style="352" customWidth="1"/>
    <col min="788" max="788" width="11.44140625" style="352" customWidth="1"/>
    <col min="789" max="1018" width="9.109375" style="352"/>
    <col min="1019" max="1019" width="9.44140625" style="352" customWidth="1"/>
    <col min="1020" max="1020" width="31.44140625" style="352" customWidth="1"/>
    <col min="1021" max="1026" width="0" style="352" hidden="1" customWidth="1"/>
    <col min="1027" max="1027" width="8.6640625" style="352" customWidth="1"/>
    <col min="1028" max="1028" width="8.109375" style="352" customWidth="1"/>
    <col min="1029" max="1029" width="14.44140625" style="352" customWidth="1"/>
    <col min="1030" max="1030" width="13.33203125" style="352" customWidth="1"/>
    <col min="1031" max="1031" width="9.6640625" style="352" customWidth="1"/>
    <col min="1032" max="1032" width="13.5546875" style="352" customWidth="1"/>
    <col min="1033" max="1033" width="10.5546875" style="352" customWidth="1"/>
    <col min="1034" max="1034" width="11.33203125" style="352" customWidth="1"/>
    <col min="1035" max="1035" width="8.6640625" style="352" customWidth="1"/>
    <col min="1036" max="1036" width="9" style="352" customWidth="1"/>
    <col min="1037" max="1037" width="6.6640625" style="352" customWidth="1"/>
    <col min="1038" max="1038" width="11.44140625" style="352" customWidth="1"/>
    <col min="1039" max="1039" width="12.33203125" style="352" customWidth="1"/>
    <col min="1040" max="1040" width="11.33203125" style="352" customWidth="1"/>
    <col min="1041" max="1041" width="12.44140625" style="352" customWidth="1"/>
    <col min="1042" max="1042" width="13" style="352" customWidth="1"/>
    <col min="1043" max="1043" width="9.5546875" style="352" customWidth="1"/>
    <col min="1044" max="1044" width="11.44140625" style="352" customWidth="1"/>
    <col min="1045" max="1274" width="9.109375" style="352"/>
    <col min="1275" max="1275" width="9.44140625" style="352" customWidth="1"/>
    <col min="1276" max="1276" width="31.44140625" style="352" customWidth="1"/>
    <col min="1277" max="1282" width="0" style="352" hidden="1" customWidth="1"/>
    <col min="1283" max="1283" width="8.6640625" style="352" customWidth="1"/>
    <col min="1284" max="1284" width="8.109375" style="352" customWidth="1"/>
    <col min="1285" max="1285" width="14.44140625" style="352" customWidth="1"/>
    <col min="1286" max="1286" width="13.33203125" style="352" customWidth="1"/>
    <col min="1287" max="1287" width="9.6640625" style="352" customWidth="1"/>
    <col min="1288" max="1288" width="13.5546875" style="352" customWidth="1"/>
    <col min="1289" max="1289" width="10.5546875" style="352" customWidth="1"/>
    <col min="1290" max="1290" width="11.33203125" style="352" customWidth="1"/>
    <col min="1291" max="1291" width="8.6640625" style="352" customWidth="1"/>
    <col min="1292" max="1292" width="9" style="352" customWidth="1"/>
    <col min="1293" max="1293" width="6.6640625" style="352" customWidth="1"/>
    <col min="1294" max="1294" width="11.44140625" style="352" customWidth="1"/>
    <col min="1295" max="1295" width="12.33203125" style="352" customWidth="1"/>
    <col min="1296" max="1296" width="11.33203125" style="352" customWidth="1"/>
    <col min="1297" max="1297" width="12.44140625" style="352" customWidth="1"/>
    <col min="1298" max="1298" width="13" style="352" customWidth="1"/>
    <col min="1299" max="1299" width="9.5546875" style="352" customWidth="1"/>
    <col min="1300" max="1300" width="11.44140625" style="352" customWidth="1"/>
    <col min="1301" max="1530" width="9.109375" style="352"/>
    <col min="1531" max="1531" width="9.44140625" style="352" customWidth="1"/>
    <col min="1532" max="1532" width="31.44140625" style="352" customWidth="1"/>
    <col min="1533" max="1538" width="0" style="352" hidden="1" customWidth="1"/>
    <col min="1539" max="1539" width="8.6640625" style="352" customWidth="1"/>
    <col min="1540" max="1540" width="8.109375" style="352" customWidth="1"/>
    <col min="1541" max="1541" width="14.44140625" style="352" customWidth="1"/>
    <col min="1542" max="1542" width="13.33203125" style="352" customWidth="1"/>
    <col min="1543" max="1543" width="9.6640625" style="352" customWidth="1"/>
    <col min="1544" max="1544" width="13.5546875" style="352" customWidth="1"/>
    <col min="1545" max="1545" width="10.5546875" style="352" customWidth="1"/>
    <col min="1546" max="1546" width="11.33203125" style="352" customWidth="1"/>
    <col min="1547" max="1547" width="8.6640625" style="352" customWidth="1"/>
    <col min="1548" max="1548" width="9" style="352" customWidth="1"/>
    <col min="1549" max="1549" width="6.6640625" style="352" customWidth="1"/>
    <col min="1550" max="1550" width="11.44140625" style="352" customWidth="1"/>
    <col min="1551" max="1551" width="12.33203125" style="352" customWidth="1"/>
    <col min="1552" max="1552" width="11.33203125" style="352" customWidth="1"/>
    <col min="1553" max="1553" width="12.44140625" style="352" customWidth="1"/>
    <col min="1554" max="1554" width="13" style="352" customWidth="1"/>
    <col min="1555" max="1555" width="9.5546875" style="352" customWidth="1"/>
    <col min="1556" max="1556" width="11.44140625" style="352" customWidth="1"/>
    <col min="1557" max="1786" width="9.109375" style="352"/>
    <col min="1787" max="1787" width="9.44140625" style="352" customWidth="1"/>
    <col min="1788" max="1788" width="31.44140625" style="352" customWidth="1"/>
    <col min="1789" max="1794" width="0" style="352" hidden="1" customWidth="1"/>
    <col min="1795" max="1795" width="8.6640625" style="352" customWidth="1"/>
    <col min="1796" max="1796" width="8.109375" style="352" customWidth="1"/>
    <col min="1797" max="1797" width="14.44140625" style="352" customWidth="1"/>
    <col min="1798" max="1798" width="13.33203125" style="352" customWidth="1"/>
    <col min="1799" max="1799" width="9.6640625" style="352" customWidth="1"/>
    <col min="1800" max="1800" width="13.5546875" style="352" customWidth="1"/>
    <col min="1801" max="1801" width="10.5546875" style="352" customWidth="1"/>
    <col min="1802" max="1802" width="11.33203125" style="352" customWidth="1"/>
    <col min="1803" max="1803" width="8.6640625" style="352" customWidth="1"/>
    <col min="1804" max="1804" width="9" style="352" customWidth="1"/>
    <col min="1805" max="1805" width="6.6640625" style="352" customWidth="1"/>
    <col min="1806" max="1806" width="11.44140625" style="352" customWidth="1"/>
    <col min="1807" max="1807" width="12.33203125" style="352" customWidth="1"/>
    <col min="1808" max="1808" width="11.33203125" style="352" customWidth="1"/>
    <col min="1809" max="1809" width="12.44140625" style="352" customWidth="1"/>
    <col min="1810" max="1810" width="13" style="352" customWidth="1"/>
    <col min="1811" max="1811" width="9.5546875" style="352" customWidth="1"/>
    <col min="1812" max="1812" width="11.44140625" style="352" customWidth="1"/>
    <col min="1813" max="2042" width="9.109375" style="352"/>
    <col min="2043" max="2043" width="9.44140625" style="352" customWidth="1"/>
    <col min="2044" max="2044" width="31.44140625" style="352" customWidth="1"/>
    <col min="2045" max="2050" width="0" style="352" hidden="1" customWidth="1"/>
    <col min="2051" max="2051" width="8.6640625" style="352" customWidth="1"/>
    <col min="2052" max="2052" width="8.109375" style="352" customWidth="1"/>
    <col min="2053" max="2053" width="14.44140625" style="352" customWidth="1"/>
    <col min="2054" max="2054" width="13.33203125" style="352" customWidth="1"/>
    <col min="2055" max="2055" width="9.6640625" style="352" customWidth="1"/>
    <col min="2056" max="2056" width="13.5546875" style="352" customWidth="1"/>
    <col min="2057" max="2057" width="10.5546875" style="352" customWidth="1"/>
    <col min="2058" max="2058" width="11.33203125" style="352" customWidth="1"/>
    <col min="2059" max="2059" width="8.6640625" style="352" customWidth="1"/>
    <col min="2060" max="2060" width="9" style="352" customWidth="1"/>
    <col min="2061" max="2061" width="6.6640625" style="352" customWidth="1"/>
    <col min="2062" max="2062" width="11.44140625" style="352" customWidth="1"/>
    <col min="2063" max="2063" width="12.33203125" style="352" customWidth="1"/>
    <col min="2064" max="2064" width="11.33203125" style="352" customWidth="1"/>
    <col min="2065" max="2065" width="12.44140625" style="352" customWidth="1"/>
    <col min="2066" max="2066" width="13" style="352" customWidth="1"/>
    <col min="2067" max="2067" width="9.5546875" style="352" customWidth="1"/>
    <col min="2068" max="2068" width="11.44140625" style="352" customWidth="1"/>
    <col min="2069" max="2298" width="9.109375" style="352"/>
    <col min="2299" max="2299" width="9.44140625" style="352" customWidth="1"/>
    <col min="2300" max="2300" width="31.44140625" style="352" customWidth="1"/>
    <col min="2301" max="2306" width="0" style="352" hidden="1" customWidth="1"/>
    <col min="2307" max="2307" width="8.6640625" style="352" customWidth="1"/>
    <col min="2308" max="2308" width="8.109375" style="352" customWidth="1"/>
    <col min="2309" max="2309" width="14.44140625" style="352" customWidth="1"/>
    <col min="2310" max="2310" width="13.33203125" style="352" customWidth="1"/>
    <col min="2311" max="2311" width="9.6640625" style="352" customWidth="1"/>
    <col min="2312" max="2312" width="13.5546875" style="352" customWidth="1"/>
    <col min="2313" max="2313" width="10.5546875" style="352" customWidth="1"/>
    <col min="2314" max="2314" width="11.33203125" style="352" customWidth="1"/>
    <col min="2315" max="2315" width="8.6640625" style="352" customWidth="1"/>
    <col min="2316" max="2316" width="9" style="352" customWidth="1"/>
    <col min="2317" max="2317" width="6.6640625" style="352" customWidth="1"/>
    <col min="2318" max="2318" width="11.44140625" style="352" customWidth="1"/>
    <col min="2319" max="2319" width="12.33203125" style="352" customWidth="1"/>
    <col min="2320" max="2320" width="11.33203125" style="352" customWidth="1"/>
    <col min="2321" max="2321" width="12.44140625" style="352" customWidth="1"/>
    <col min="2322" max="2322" width="13" style="352" customWidth="1"/>
    <col min="2323" max="2323" width="9.5546875" style="352" customWidth="1"/>
    <col min="2324" max="2324" width="11.44140625" style="352" customWidth="1"/>
    <col min="2325" max="2554" width="9.109375" style="352"/>
    <col min="2555" max="2555" width="9.44140625" style="352" customWidth="1"/>
    <col min="2556" max="2556" width="31.44140625" style="352" customWidth="1"/>
    <col min="2557" max="2562" width="0" style="352" hidden="1" customWidth="1"/>
    <col min="2563" max="2563" width="8.6640625" style="352" customWidth="1"/>
    <col min="2564" max="2564" width="8.109375" style="352" customWidth="1"/>
    <col min="2565" max="2565" width="14.44140625" style="352" customWidth="1"/>
    <col min="2566" max="2566" width="13.33203125" style="352" customWidth="1"/>
    <col min="2567" max="2567" width="9.6640625" style="352" customWidth="1"/>
    <col min="2568" max="2568" width="13.5546875" style="352" customWidth="1"/>
    <col min="2569" max="2569" width="10.5546875" style="352" customWidth="1"/>
    <col min="2570" max="2570" width="11.33203125" style="352" customWidth="1"/>
    <col min="2571" max="2571" width="8.6640625" style="352" customWidth="1"/>
    <col min="2572" max="2572" width="9" style="352" customWidth="1"/>
    <col min="2573" max="2573" width="6.6640625" style="352" customWidth="1"/>
    <col min="2574" max="2574" width="11.44140625" style="352" customWidth="1"/>
    <col min="2575" max="2575" width="12.33203125" style="352" customWidth="1"/>
    <col min="2576" max="2576" width="11.33203125" style="352" customWidth="1"/>
    <col min="2577" max="2577" width="12.44140625" style="352" customWidth="1"/>
    <col min="2578" max="2578" width="13" style="352" customWidth="1"/>
    <col min="2579" max="2579" width="9.5546875" style="352" customWidth="1"/>
    <col min="2580" max="2580" width="11.44140625" style="352" customWidth="1"/>
    <col min="2581" max="2810" width="9.109375" style="352"/>
    <col min="2811" max="2811" width="9.44140625" style="352" customWidth="1"/>
    <col min="2812" max="2812" width="31.44140625" style="352" customWidth="1"/>
    <col min="2813" max="2818" width="0" style="352" hidden="1" customWidth="1"/>
    <col min="2819" max="2819" width="8.6640625" style="352" customWidth="1"/>
    <col min="2820" max="2820" width="8.109375" style="352" customWidth="1"/>
    <col min="2821" max="2821" width="14.44140625" style="352" customWidth="1"/>
    <col min="2822" max="2822" width="13.33203125" style="352" customWidth="1"/>
    <col min="2823" max="2823" width="9.6640625" style="352" customWidth="1"/>
    <col min="2824" max="2824" width="13.5546875" style="352" customWidth="1"/>
    <col min="2825" max="2825" width="10.5546875" style="352" customWidth="1"/>
    <col min="2826" max="2826" width="11.33203125" style="352" customWidth="1"/>
    <col min="2827" max="2827" width="8.6640625" style="352" customWidth="1"/>
    <col min="2828" max="2828" width="9" style="352" customWidth="1"/>
    <col min="2829" max="2829" width="6.6640625" style="352" customWidth="1"/>
    <col min="2830" max="2830" width="11.44140625" style="352" customWidth="1"/>
    <col min="2831" max="2831" width="12.33203125" style="352" customWidth="1"/>
    <col min="2832" max="2832" width="11.33203125" style="352" customWidth="1"/>
    <col min="2833" max="2833" width="12.44140625" style="352" customWidth="1"/>
    <col min="2834" max="2834" width="13" style="352" customWidth="1"/>
    <col min="2835" max="2835" width="9.5546875" style="352" customWidth="1"/>
    <col min="2836" max="2836" width="11.44140625" style="352" customWidth="1"/>
    <col min="2837" max="3066" width="9.109375" style="352"/>
    <col min="3067" max="3067" width="9.44140625" style="352" customWidth="1"/>
    <col min="3068" max="3068" width="31.44140625" style="352" customWidth="1"/>
    <col min="3069" max="3074" width="0" style="352" hidden="1" customWidth="1"/>
    <col min="3075" max="3075" width="8.6640625" style="352" customWidth="1"/>
    <col min="3076" max="3076" width="8.109375" style="352" customWidth="1"/>
    <col min="3077" max="3077" width="14.44140625" style="352" customWidth="1"/>
    <col min="3078" max="3078" width="13.33203125" style="352" customWidth="1"/>
    <col min="3079" max="3079" width="9.6640625" style="352" customWidth="1"/>
    <col min="3080" max="3080" width="13.5546875" style="352" customWidth="1"/>
    <col min="3081" max="3081" width="10.5546875" style="352" customWidth="1"/>
    <col min="3082" max="3082" width="11.33203125" style="352" customWidth="1"/>
    <col min="3083" max="3083" width="8.6640625" style="352" customWidth="1"/>
    <col min="3084" max="3084" width="9" style="352" customWidth="1"/>
    <col min="3085" max="3085" width="6.6640625" style="352" customWidth="1"/>
    <col min="3086" max="3086" width="11.44140625" style="352" customWidth="1"/>
    <col min="3087" max="3087" width="12.33203125" style="352" customWidth="1"/>
    <col min="3088" max="3088" width="11.33203125" style="352" customWidth="1"/>
    <col min="3089" max="3089" width="12.44140625" style="352" customWidth="1"/>
    <col min="3090" max="3090" width="13" style="352" customWidth="1"/>
    <col min="3091" max="3091" width="9.5546875" style="352" customWidth="1"/>
    <col min="3092" max="3092" width="11.44140625" style="352" customWidth="1"/>
    <col min="3093" max="3322" width="9.109375" style="352"/>
    <col min="3323" max="3323" width="9.44140625" style="352" customWidth="1"/>
    <col min="3324" max="3324" width="31.44140625" style="352" customWidth="1"/>
    <col min="3325" max="3330" width="0" style="352" hidden="1" customWidth="1"/>
    <col min="3331" max="3331" width="8.6640625" style="352" customWidth="1"/>
    <col min="3332" max="3332" width="8.109375" style="352" customWidth="1"/>
    <col min="3333" max="3333" width="14.44140625" style="352" customWidth="1"/>
    <col min="3334" max="3334" width="13.33203125" style="352" customWidth="1"/>
    <col min="3335" max="3335" width="9.6640625" style="352" customWidth="1"/>
    <col min="3336" max="3336" width="13.5546875" style="352" customWidth="1"/>
    <col min="3337" max="3337" width="10.5546875" style="352" customWidth="1"/>
    <col min="3338" max="3338" width="11.33203125" style="352" customWidth="1"/>
    <col min="3339" max="3339" width="8.6640625" style="352" customWidth="1"/>
    <col min="3340" max="3340" width="9" style="352" customWidth="1"/>
    <col min="3341" max="3341" width="6.6640625" style="352" customWidth="1"/>
    <col min="3342" max="3342" width="11.44140625" style="352" customWidth="1"/>
    <col min="3343" max="3343" width="12.33203125" style="352" customWidth="1"/>
    <col min="3344" max="3344" width="11.33203125" style="352" customWidth="1"/>
    <col min="3345" max="3345" width="12.44140625" style="352" customWidth="1"/>
    <col min="3346" max="3346" width="13" style="352" customWidth="1"/>
    <col min="3347" max="3347" width="9.5546875" style="352" customWidth="1"/>
    <col min="3348" max="3348" width="11.44140625" style="352" customWidth="1"/>
    <col min="3349" max="3578" width="9.109375" style="352"/>
    <col min="3579" max="3579" width="9.44140625" style="352" customWidth="1"/>
    <col min="3580" max="3580" width="31.44140625" style="352" customWidth="1"/>
    <col min="3581" max="3586" width="0" style="352" hidden="1" customWidth="1"/>
    <col min="3587" max="3587" width="8.6640625" style="352" customWidth="1"/>
    <col min="3588" max="3588" width="8.109375" style="352" customWidth="1"/>
    <col min="3589" max="3589" width="14.44140625" style="352" customWidth="1"/>
    <col min="3590" max="3590" width="13.33203125" style="352" customWidth="1"/>
    <col min="3591" max="3591" width="9.6640625" style="352" customWidth="1"/>
    <col min="3592" max="3592" width="13.5546875" style="352" customWidth="1"/>
    <col min="3593" max="3593" width="10.5546875" style="352" customWidth="1"/>
    <col min="3594" max="3594" width="11.33203125" style="352" customWidth="1"/>
    <col min="3595" max="3595" width="8.6640625" style="352" customWidth="1"/>
    <col min="3596" max="3596" width="9" style="352" customWidth="1"/>
    <col min="3597" max="3597" width="6.6640625" style="352" customWidth="1"/>
    <col min="3598" max="3598" width="11.44140625" style="352" customWidth="1"/>
    <col min="3599" max="3599" width="12.33203125" style="352" customWidth="1"/>
    <col min="3600" max="3600" width="11.33203125" style="352" customWidth="1"/>
    <col min="3601" max="3601" width="12.44140625" style="352" customWidth="1"/>
    <col min="3602" max="3602" width="13" style="352" customWidth="1"/>
    <col min="3603" max="3603" width="9.5546875" style="352" customWidth="1"/>
    <col min="3604" max="3604" width="11.44140625" style="352" customWidth="1"/>
    <col min="3605" max="3834" width="9.109375" style="352"/>
    <col min="3835" max="3835" width="9.44140625" style="352" customWidth="1"/>
    <col min="3836" max="3836" width="31.44140625" style="352" customWidth="1"/>
    <col min="3837" max="3842" width="0" style="352" hidden="1" customWidth="1"/>
    <col min="3843" max="3843" width="8.6640625" style="352" customWidth="1"/>
    <col min="3844" max="3844" width="8.109375" style="352" customWidth="1"/>
    <col min="3845" max="3845" width="14.44140625" style="352" customWidth="1"/>
    <col min="3846" max="3846" width="13.33203125" style="352" customWidth="1"/>
    <col min="3847" max="3847" width="9.6640625" style="352" customWidth="1"/>
    <col min="3848" max="3848" width="13.5546875" style="352" customWidth="1"/>
    <col min="3849" max="3849" width="10.5546875" style="352" customWidth="1"/>
    <col min="3850" max="3850" width="11.33203125" style="352" customWidth="1"/>
    <col min="3851" max="3851" width="8.6640625" style="352" customWidth="1"/>
    <col min="3852" max="3852" width="9" style="352" customWidth="1"/>
    <col min="3853" max="3853" width="6.6640625" style="352" customWidth="1"/>
    <col min="3854" max="3854" width="11.44140625" style="352" customWidth="1"/>
    <col min="3855" max="3855" width="12.33203125" style="352" customWidth="1"/>
    <col min="3856" max="3856" width="11.33203125" style="352" customWidth="1"/>
    <col min="3857" max="3857" width="12.44140625" style="352" customWidth="1"/>
    <col min="3858" max="3858" width="13" style="352" customWidth="1"/>
    <col min="3859" max="3859" width="9.5546875" style="352" customWidth="1"/>
    <col min="3860" max="3860" width="11.44140625" style="352" customWidth="1"/>
    <col min="3861" max="4090" width="9.109375" style="352"/>
    <col min="4091" max="4091" width="9.44140625" style="352" customWidth="1"/>
    <col min="4092" max="4092" width="31.44140625" style="352" customWidth="1"/>
    <col min="4093" max="4098" width="0" style="352" hidden="1" customWidth="1"/>
    <col min="4099" max="4099" width="8.6640625" style="352" customWidth="1"/>
    <col min="4100" max="4100" width="8.109375" style="352" customWidth="1"/>
    <col min="4101" max="4101" width="14.44140625" style="352" customWidth="1"/>
    <col min="4102" max="4102" width="13.33203125" style="352" customWidth="1"/>
    <col min="4103" max="4103" width="9.6640625" style="352" customWidth="1"/>
    <col min="4104" max="4104" width="13.5546875" style="352" customWidth="1"/>
    <col min="4105" max="4105" width="10.5546875" style="352" customWidth="1"/>
    <col min="4106" max="4106" width="11.33203125" style="352" customWidth="1"/>
    <col min="4107" max="4107" width="8.6640625" style="352" customWidth="1"/>
    <col min="4108" max="4108" width="9" style="352" customWidth="1"/>
    <col min="4109" max="4109" width="6.6640625" style="352" customWidth="1"/>
    <col min="4110" max="4110" width="11.44140625" style="352" customWidth="1"/>
    <col min="4111" max="4111" width="12.33203125" style="352" customWidth="1"/>
    <col min="4112" max="4112" width="11.33203125" style="352" customWidth="1"/>
    <col min="4113" max="4113" width="12.44140625" style="352" customWidth="1"/>
    <col min="4114" max="4114" width="13" style="352" customWidth="1"/>
    <col min="4115" max="4115" width="9.5546875" style="352" customWidth="1"/>
    <col min="4116" max="4116" width="11.44140625" style="352" customWidth="1"/>
    <col min="4117" max="4346" width="9.109375" style="352"/>
    <col min="4347" max="4347" width="9.44140625" style="352" customWidth="1"/>
    <col min="4348" max="4348" width="31.44140625" style="352" customWidth="1"/>
    <col min="4349" max="4354" width="0" style="352" hidden="1" customWidth="1"/>
    <col min="4355" max="4355" width="8.6640625" style="352" customWidth="1"/>
    <col min="4356" max="4356" width="8.109375" style="352" customWidth="1"/>
    <col min="4357" max="4357" width="14.44140625" style="352" customWidth="1"/>
    <col min="4358" max="4358" width="13.33203125" style="352" customWidth="1"/>
    <col min="4359" max="4359" width="9.6640625" style="352" customWidth="1"/>
    <col min="4360" max="4360" width="13.5546875" style="352" customWidth="1"/>
    <col min="4361" max="4361" width="10.5546875" style="352" customWidth="1"/>
    <col min="4362" max="4362" width="11.33203125" style="352" customWidth="1"/>
    <col min="4363" max="4363" width="8.6640625" style="352" customWidth="1"/>
    <col min="4364" max="4364" width="9" style="352" customWidth="1"/>
    <col min="4365" max="4365" width="6.6640625" style="352" customWidth="1"/>
    <col min="4366" max="4366" width="11.44140625" style="352" customWidth="1"/>
    <col min="4367" max="4367" width="12.33203125" style="352" customWidth="1"/>
    <col min="4368" max="4368" width="11.33203125" style="352" customWidth="1"/>
    <col min="4369" max="4369" width="12.44140625" style="352" customWidth="1"/>
    <col min="4370" max="4370" width="13" style="352" customWidth="1"/>
    <col min="4371" max="4371" width="9.5546875" style="352" customWidth="1"/>
    <col min="4372" max="4372" width="11.44140625" style="352" customWidth="1"/>
    <col min="4373" max="4602" width="9.109375" style="352"/>
    <col min="4603" max="4603" width="9.44140625" style="352" customWidth="1"/>
    <col min="4604" max="4604" width="31.44140625" style="352" customWidth="1"/>
    <col min="4605" max="4610" width="0" style="352" hidden="1" customWidth="1"/>
    <col min="4611" max="4611" width="8.6640625" style="352" customWidth="1"/>
    <col min="4612" max="4612" width="8.109375" style="352" customWidth="1"/>
    <col min="4613" max="4613" width="14.44140625" style="352" customWidth="1"/>
    <col min="4614" max="4614" width="13.33203125" style="352" customWidth="1"/>
    <col min="4615" max="4615" width="9.6640625" style="352" customWidth="1"/>
    <col min="4616" max="4616" width="13.5546875" style="352" customWidth="1"/>
    <col min="4617" max="4617" width="10.5546875" style="352" customWidth="1"/>
    <col min="4618" max="4618" width="11.33203125" style="352" customWidth="1"/>
    <col min="4619" max="4619" width="8.6640625" style="352" customWidth="1"/>
    <col min="4620" max="4620" width="9" style="352" customWidth="1"/>
    <col min="4621" max="4621" width="6.6640625" style="352" customWidth="1"/>
    <col min="4622" max="4622" width="11.44140625" style="352" customWidth="1"/>
    <col min="4623" max="4623" width="12.33203125" style="352" customWidth="1"/>
    <col min="4624" max="4624" width="11.33203125" style="352" customWidth="1"/>
    <col min="4625" max="4625" width="12.44140625" style="352" customWidth="1"/>
    <col min="4626" max="4626" width="13" style="352" customWidth="1"/>
    <col min="4627" max="4627" width="9.5546875" style="352" customWidth="1"/>
    <col min="4628" max="4628" width="11.44140625" style="352" customWidth="1"/>
    <col min="4629" max="4858" width="9.109375" style="352"/>
    <col min="4859" max="4859" width="9.44140625" style="352" customWidth="1"/>
    <col min="4860" max="4860" width="31.44140625" style="352" customWidth="1"/>
    <col min="4861" max="4866" width="0" style="352" hidden="1" customWidth="1"/>
    <col min="4867" max="4867" width="8.6640625" style="352" customWidth="1"/>
    <col min="4868" max="4868" width="8.109375" style="352" customWidth="1"/>
    <col min="4869" max="4869" width="14.44140625" style="352" customWidth="1"/>
    <col min="4870" max="4870" width="13.33203125" style="352" customWidth="1"/>
    <col min="4871" max="4871" width="9.6640625" style="352" customWidth="1"/>
    <col min="4872" max="4872" width="13.5546875" style="352" customWidth="1"/>
    <col min="4873" max="4873" width="10.5546875" style="352" customWidth="1"/>
    <col min="4874" max="4874" width="11.33203125" style="352" customWidth="1"/>
    <col min="4875" max="4875" width="8.6640625" style="352" customWidth="1"/>
    <col min="4876" max="4876" width="9" style="352" customWidth="1"/>
    <col min="4877" max="4877" width="6.6640625" style="352" customWidth="1"/>
    <col min="4878" max="4878" width="11.44140625" style="352" customWidth="1"/>
    <col min="4879" max="4879" width="12.33203125" style="352" customWidth="1"/>
    <col min="4880" max="4880" width="11.33203125" style="352" customWidth="1"/>
    <col min="4881" max="4881" width="12.44140625" style="352" customWidth="1"/>
    <col min="4882" max="4882" width="13" style="352" customWidth="1"/>
    <col min="4883" max="4883" width="9.5546875" style="352" customWidth="1"/>
    <col min="4884" max="4884" width="11.44140625" style="352" customWidth="1"/>
    <col min="4885" max="5114" width="9.109375" style="352"/>
    <col min="5115" max="5115" width="9.44140625" style="352" customWidth="1"/>
    <col min="5116" max="5116" width="31.44140625" style="352" customWidth="1"/>
    <col min="5117" max="5122" width="0" style="352" hidden="1" customWidth="1"/>
    <col min="5123" max="5123" width="8.6640625" style="352" customWidth="1"/>
    <col min="5124" max="5124" width="8.109375" style="352" customWidth="1"/>
    <col min="5125" max="5125" width="14.44140625" style="352" customWidth="1"/>
    <col min="5126" max="5126" width="13.33203125" style="352" customWidth="1"/>
    <col min="5127" max="5127" width="9.6640625" style="352" customWidth="1"/>
    <col min="5128" max="5128" width="13.5546875" style="352" customWidth="1"/>
    <col min="5129" max="5129" width="10.5546875" style="352" customWidth="1"/>
    <col min="5130" max="5130" width="11.33203125" style="352" customWidth="1"/>
    <col min="5131" max="5131" width="8.6640625" style="352" customWidth="1"/>
    <col min="5132" max="5132" width="9" style="352" customWidth="1"/>
    <col min="5133" max="5133" width="6.6640625" style="352" customWidth="1"/>
    <col min="5134" max="5134" width="11.44140625" style="352" customWidth="1"/>
    <col min="5135" max="5135" width="12.33203125" style="352" customWidth="1"/>
    <col min="5136" max="5136" width="11.33203125" style="352" customWidth="1"/>
    <col min="5137" max="5137" width="12.44140625" style="352" customWidth="1"/>
    <col min="5138" max="5138" width="13" style="352" customWidth="1"/>
    <col min="5139" max="5139" width="9.5546875" style="352" customWidth="1"/>
    <col min="5140" max="5140" width="11.44140625" style="352" customWidth="1"/>
    <col min="5141" max="5370" width="9.109375" style="352"/>
    <col min="5371" max="5371" width="9.44140625" style="352" customWidth="1"/>
    <col min="5372" max="5372" width="31.44140625" style="352" customWidth="1"/>
    <col min="5373" max="5378" width="0" style="352" hidden="1" customWidth="1"/>
    <col min="5379" max="5379" width="8.6640625" style="352" customWidth="1"/>
    <col min="5380" max="5380" width="8.109375" style="352" customWidth="1"/>
    <col min="5381" max="5381" width="14.44140625" style="352" customWidth="1"/>
    <col min="5382" max="5382" width="13.33203125" style="352" customWidth="1"/>
    <col min="5383" max="5383" width="9.6640625" style="352" customWidth="1"/>
    <col min="5384" max="5384" width="13.5546875" style="352" customWidth="1"/>
    <col min="5385" max="5385" width="10.5546875" style="352" customWidth="1"/>
    <col min="5386" max="5386" width="11.33203125" style="352" customWidth="1"/>
    <col min="5387" max="5387" width="8.6640625" style="352" customWidth="1"/>
    <col min="5388" max="5388" width="9" style="352" customWidth="1"/>
    <col min="5389" max="5389" width="6.6640625" style="352" customWidth="1"/>
    <col min="5390" max="5390" width="11.44140625" style="352" customWidth="1"/>
    <col min="5391" max="5391" width="12.33203125" style="352" customWidth="1"/>
    <col min="5392" max="5392" width="11.33203125" style="352" customWidth="1"/>
    <col min="5393" max="5393" width="12.44140625" style="352" customWidth="1"/>
    <col min="5394" max="5394" width="13" style="352" customWidth="1"/>
    <col min="5395" max="5395" width="9.5546875" style="352" customWidth="1"/>
    <col min="5396" max="5396" width="11.44140625" style="352" customWidth="1"/>
    <col min="5397" max="5626" width="9.109375" style="352"/>
    <col min="5627" max="5627" width="9.44140625" style="352" customWidth="1"/>
    <col min="5628" max="5628" width="31.44140625" style="352" customWidth="1"/>
    <col min="5629" max="5634" width="0" style="352" hidden="1" customWidth="1"/>
    <col min="5635" max="5635" width="8.6640625" style="352" customWidth="1"/>
    <col min="5636" max="5636" width="8.109375" style="352" customWidth="1"/>
    <col min="5637" max="5637" width="14.44140625" style="352" customWidth="1"/>
    <col min="5638" max="5638" width="13.33203125" style="352" customWidth="1"/>
    <col min="5639" max="5639" width="9.6640625" style="352" customWidth="1"/>
    <col min="5640" max="5640" width="13.5546875" style="352" customWidth="1"/>
    <col min="5641" max="5641" width="10.5546875" style="352" customWidth="1"/>
    <col min="5642" max="5642" width="11.33203125" style="352" customWidth="1"/>
    <col min="5643" max="5643" width="8.6640625" style="352" customWidth="1"/>
    <col min="5644" max="5644" width="9" style="352" customWidth="1"/>
    <col min="5645" max="5645" width="6.6640625" style="352" customWidth="1"/>
    <col min="5646" max="5646" width="11.44140625" style="352" customWidth="1"/>
    <col min="5647" max="5647" width="12.33203125" style="352" customWidth="1"/>
    <col min="5648" max="5648" width="11.33203125" style="352" customWidth="1"/>
    <col min="5649" max="5649" width="12.44140625" style="352" customWidth="1"/>
    <col min="5650" max="5650" width="13" style="352" customWidth="1"/>
    <col min="5651" max="5651" width="9.5546875" style="352" customWidth="1"/>
    <col min="5652" max="5652" width="11.44140625" style="352" customWidth="1"/>
    <col min="5653" max="5882" width="9.109375" style="352"/>
    <col min="5883" max="5883" width="9.44140625" style="352" customWidth="1"/>
    <col min="5884" max="5884" width="31.44140625" style="352" customWidth="1"/>
    <col min="5885" max="5890" width="0" style="352" hidden="1" customWidth="1"/>
    <col min="5891" max="5891" width="8.6640625" style="352" customWidth="1"/>
    <col min="5892" max="5892" width="8.109375" style="352" customWidth="1"/>
    <col min="5893" max="5893" width="14.44140625" style="352" customWidth="1"/>
    <col min="5894" max="5894" width="13.33203125" style="352" customWidth="1"/>
    <col min="5895" max="5895" width="9.6640625" style="352" customWidth="1"/>
    <col min="5896" max="5896" width="13.5546875" style="352" customWidth="1"/>
    <col min="5897" max="5897" width="10.5546875" style="352" customWidth="1"/>
    <col min="5898" max="5898" width="11.33203125" style="352" customWidth="1"/>
    <col min="5899" max="5899" width="8.6640625" style="352" customWidth="1"/>
    <col min="5900" max="5900" width="9" style="352" customWidth="1"/>
    <col min="5901" max="5901" width="6.6640625" style="352" customWidth="1"/>
    <col min="5902" max="5902" width="11.44140625" style="352" customWidth="1"/>
    <col min="5903" max="5903" width="12.33203125" style="352" customWidth="1"/>
    <col min="5904" max="5904" width="11.33203125" style="352" customWidth="1"/>
    <col min="5905" max="5905" width="12.44140625" style="352" customWidth="1"/>
    <col min="5906" max="5906" width="13" style="352" customWidth="1"/>
    <col min="5907" max="5907" width="9.5546875" style="352" customWidth="1"/>
    <col min="5908" max="5908" width="11.44140625" style="352" customWidth="1"/>
    <col min="5909" max="6138" width="9.109375" style="352"/>
    <col min="6139" max="6139" width="9.44140625" style="352" customWidth="1"/>
    <col min="6140" max="6140" width="31.44140625" style="352" customWidth="1"/>
    <col min="6141" max="6146" width="0" style="352" hidden="1" customWidth="1"/>
    <col min="6147" max="6147" width="8.6640625" style="352" customWidth="1"/>
    <col min="6148" max="6148" width="8.109375" style="352" customWidth="1"/>
    <col min="6149" max="6149" width="14.44140625" style="352" customWidth="1"/>
    <col min="6150" max="6150" width="13.33203125" style="352" customWidth="1"/>
    <col min="6151" max="6151" width="9.6640625" style="352" customWidth="1"/>
    <col min="6152" max="6152" width="13.5546875" style="352" customWidth="1"/>
    <col min="6153" max="6153" width="10.5546875" style="352" customWidth="1"/>
    <col min="6154" max="6154" width="11.33203125" style="352" customWidth="1"/>
    <col min="6155" max="6155" width="8.6640625" style="352" customWidth="1"/>
    <col min="6156" max="6156" width="9" style="352" customWidth="1"/>
    <col min="6157" max="6157" width="6.6640625" style="352" customWidth="1"/>
    <col min="6158" max="6158" width="11.44140625" style="352" customWidth="1"/>
    <col min="6159" max="6159" width="12.33203125" style="352" customWidth="1"/>
    <col min="6160" max="6160" width="11.33203125" style="352" customWidth="1"/>
    <col min="6161" max="6161" width="12.44140625" style="352" customWidth="1"/>
    <col min="6162" max="6162" width="13" style="352" customWidth="1"/>
    <col min="6163" max="6163" width="9.5546875" style="352" customWidth="1"/>
    <col min="6164" max="6164" width="11.44140625" style="352" customWidth="1"/>
    <col min="6165" max="6394" width="9.109375" style="352"/>
    <col min="6395" max="6395" width="9.44140625" style="352" customWidth="1"/>
    <col min="6396" max="6396" width="31.44140625" style="352" customWidth="1"/>
    <col min="6397" max="6402" width="0" style="352" hidden="1" customWidth="1"/>
    <col min="6403" max="6403" width="8.6640625" style="352" customWidth="1"/>
    <col min="6404" max="6404" width="8.109375" style="352" customWidth="1"/>
    <col min="6405" max="6405" width="14.44140625" style="352" customWidth="1"/>
    <col min="6406" max="6406" width="13.33203125" style="352" customWidth="1"/>
    <col min="6407" max="6407" width="9.6640625" style="352" customWidth="1"/>
    <col min="6408" max="6408" width="13.5546875" style="352" customWidth="1"/>
    <col min="6409" max="6409" width="10.5546875" style="352" customWidth="1"/>
    <col min="6410" max="6410" width="11.33203125" style="352" customWidth="1"/>
    <col min="6411" max="6411" width="8.6640625" style="352" customWidth="1"/>
    <col min="6412" max="6412" width="9" style="352" customWidth="1"/>
    <col min="6413" max="6413" width="6.6640625" style="352" customWidth="1"/>
    <col min="6414" max="6414" width="11.44140625" style="352" customWidth="1"/>
    <col min="6415" max="6415" width="12.33203125" style="352" customWidth="1"/>
    <col min="6416" max="6416" width="11.33203125" style="352" customWidth="1"/>
    <col min="6417" max="6417" width="12.44140625" style="352" customWidth="1"/>
    <col min="6418" max="6418" width="13" style="352" customWidth="1"/>
    <col min="6419" max="6419" width="9.5546875" style="352" customWidth="1"/>
    <col min="6420" max="6420" width="11.44140625" style="352" customWidth="1"/>
    <col min="6421" max="6650" width="9.109375" style="352"/>
    <col min="6651" max="6651" width="9.44140625" style="352" customWidth="1"/>
    <col min="6652" max="6652" width="31.44140625" style="352" customWidth="1"/>
    <col min="6653" max="6658" width="0" style="352" hidden="1" customWidth="1"/>
    <col min="6659" max="6659" width="8.6640625" style="352" customWidth="1"/>
    <col min="6660" max="6660" width="8.109375" style="352" customWidth="1"/>
    <col min="6661" max="6661" width="14.44140625" style="352" customWidth="1"/>
    <col min="6662" max="6662" width="13.33203125" style="352" customWidth="1"/>
    <col min="6663" max="6663" width="9.6640625" style="352" customWidth="1"/>
    <col min="6664" max="6664" width="13.5546875" style="352" customWidth="1"/>
    <col min="6665" max="6665" width="10.5546875" style="352" customWidth="1"/>
    <col min="6666" max="6666" width="11.33203125" style="352" customWidth="1"/>
    <col min="6667" max="6667" width="8.6640625" style="352" customWidth="1"/>
    <col min="6668" max="6668" width="9" style="352" customWidth="1"/>
    <col min="6669" max="6669" width="6.6640625" style="352" customWidth="1"/>
    <col min="6670" max="6670" width="11.44140625" style="352" customWidth="1"/>
    <col min="6671" max="6671" width="12.33203125" style="352" customWidth="1"/>
    <col min="6672" max="6672" width="11.33203125" style="352" customWidth="1"/>
    <col min="6673" max="6673" width="12.44140625" style="352" customWidth="1"/>
    <col min="6674" max="6674" width="13" style="352" customWidth="1"/>
    <col min="6675" max="6675" width="9.5546875" style="352" customWidth="1"/>
    <col min="6676" max="6676" width="11.44140625" style="352" customWidth="1"/>
    <col min="6677" max="6906" width="9.109375" style="352"/>
    <col min="6907" max="6907" width="9.44140625" style="352" customWidth="1"/>
    <col min="6908" max="6908" width="31.44140625" style="352" customWidth="1"/>
    <col min="6909" max="6914" width="0" style="352" hidden="1" customWidth="1"/>
    <col min="6915" max="6915" width="8.6640625" style="352" customWidth="1"/>
    <col min="6916" max="6916" width="8.109375" style="352" customWidth="1"/>
    <col min="6917" max="6917" width="14.44140625" style="352" customWidth="1"/>
    <col min="6918" max="6918" width="13.33203125" style="352" customWidth="1"/>
    <col min="6919" max="6919" width="9.6640625" style="352" customWidth="1"/>
    <col min="6920" max="6920" width="13.5546875" style="352" customWidth="1"/>
    <col min="6921" max="6921" width="10.5546875" style="352" customWidth="1"/>
    <col min="6922" max="6922" width="11.33203125" style="352" customWidth="1"/>
    <col min="6923" max="6923" width="8.6640625" style="352" customWidth="1"/>
    <col min="6924" max="6924" width="9" style="352" customWidth="1"/>
    <col min="6925" max="6925" width="6.6640625" style="352" customWidth="1"/>
    <col min="6926" max="6926" width="11.44140625" style="352" customWidth="1"/>
    <col min="6927" max="6927" width="12.33203125" style="352" customWidth="1"/>
    <col min="6928" max="6928" width="11.33203125" style="352" customWidth="1"/>
    <col min="6929" max="6929" width="12.44140625" style="352" customWidth="1"/>
    <col min="6930" max="6930" width="13" style="352" customWidth="1"/>
    <col min="6931" max="6931" width="9.5546875" style="352" customWidth="1"/>
    <col min="6932" max="6932" width="11.44140625" style="352" customWidth="1"/>
    <col min="6933" max="7162" width="9.109375" style="352"/>
    <col min="7163" max="7163" width="9.44140625" style="352" customWidth="1"/>
    <col min="7164" max="7164" width="31.44140625" style="352" customWidth="1"/>
    <col min="7165" max="7170" width="0" style="352" hidden="1" customWidth="1"/>
    <col min="7171" max="7171" width="8.6640625" style="352" customWidth="1"/>
    <col min="7172" max="7172" width="8.109375" style="352" customWidth="1"/>
    <col min="7173" max="7173" width="14.44140625" style="352" customWidth="1"/>
    <col min="7174" max="7174" width="13.33203125" style="352" customWidth="1"/>
    <col min="7175" max="7175" width="9.6640625" style="352" customWidth="1"/>
    <col min="7176" max="7176" width="13.5546875" style="352" customWidth="1"/>
    <col min="7177" max="7177" width="10.5546875" style="352" customWidth="1"/>
    <col min="7178" max="7178" width="11.33203125" style="352" customWidth="1"/>
    <col min="7179" max="7179" width="8.6640625" style="352" customWidth="1"/>
    <col min="7180" max="7180" width="9" style="352" customWidth="1"/>
    <col min="7181" max="7181" width="6.6640625" style="352" customWidth="1"/>
    <col min="7182" max="7182" width="11.44140625" style="352" customWidth="1"/>
    <col min="7183" max="7183" width="12.33203125" style="352" customWidth="1"/>
    <col min="7184" max="7184" width="11.33203125" style="352" customWidth="1"/>
    <col min="7185" max="7185" width="12.44140625" style="352" customWidth="1"/>
    <col min="7186" max="7186" width="13" style="352" customWidth="1"/>
    <col min="7187" max="7187" width="9.5546875" style="352" customWidth="1"/>
    <col min="7188" max="7188" width="11.44140625" style="352" customWidth="1"/>
    <col min="7189" max="7418" width="9.109375" style="352"/>
    <col min="7419" max="7419" width="9.44140625" style="352" customWidth="1"/>
    <col min="7420" max="7420" width="31.44140625" style="352" customWidth="1"/>
    <col min="7421" max="7426" width="0" style="352" hidden="1" customWidth="1"/>
    <col min="7427" max="7427" width="8.6640625" style="352" customWidth="1"/>
    <col min="7428" max="7428" width="8.109375" style="352" customWidth="1"/>
    <col min="7429" max="7429" width="14.44140625" style="352" customWidth="1"/>
    <col min="7430" max="7430" width="13.33203125" style="352" customWidth="1"/>
    <col min="7431" max="7431" width="9.6640625" style="352" customWidth="1"/>
    <col min="7432" max="7432" width="13.5546875" style="352" customWidth="1"/>
    <col min="7433" max="7433" width="10.5546875" style="352" customWidth="1"/>
    <col min="7434" max="7434" width="11.33203125" style="352" customWidth="1"/>
    <col min="7435" max="7435" width="8.6640625" style="352" customWidth="1"/>
    <col min="7436" max="7436" width="9" style="352" customWidth="1"/>
    <col min="7437" max="7437" width="6.6640625" style="352" customWidth="1"/>
    <col min="7438" max="7438" width="11.44140625" style="352" customWidth="1"/>
    <col min="7439" max="7439" width="12.33203125" style="352" customWidth="1"/>
    <col min="7440" max="7440" width="11.33203125" style="352" customWidth="1"/>
    <col min="7441" max="7441" width="12.44140625" style="352" customWidth="1"/>
    <col min="7442" max="7442" width="13" style="352" customWidth="1"/>
    <col min="7443" max="7443" width="9.5546875" style="352" customWidth="1"/>
    <col min="7444" max="7444" width="11.44140625" style="352" customWidth="1"/>
    <col min="7445" max="7674" width="9.109375" style="352"/>
    <col min="7675" max="7675" width="9.44140625" style="352" customWidth="1"/>
    <col min="7676" max="7676" width="31.44140625" style="352" customWidth="1"/>
    <col min="7677" max="7682" width="0" style="352" hidden="1" customWidth="1"/>
    <col min="7683" max="7683" width="8.6640625" style="352" customWidth="1"/>
    <col min="7684" max="7684" width="8.109375" style="352" customWidth="1"/>
    <col min="7685" max="7685" width="14.44140625" style="352" customWidth="1"/>
    <col min="7686" max="7686" width="13.33203125" style="352" customWidth="1"/>
    <col min="7687" max="7687" width="9.6640625" style="352" customWidth="1"/>
    <col min="7688" max="7688" width="13.5546875" style="352" customWidth="1"/>
    <col min="7689" max="7689" width="10.5546875" style="352" customWidth="1"/>
    <col min="7690" max="7690" width="11.33203125" style="352" customWidth="1"/>
    <col min="7691" max="7691" width="8.6640625" style="352" customWidth="1"/>
    <col min="7692" max="7692" width="9" style="352" customWidth="1"/>
    <col min="7693" max="7693" width="6.6640625" style="352" customWidth="1"/>
    <col min="7694" max="7694" width="11.44140625" style="352" customWidth="1"/>
    <col min="7695" max="7695" width="12.33203125" style="352" customWidth="1"/>
    <col min="7696" max="7696" width="11.33203125" style="352" customWidth="1"/>
    <col min="7697" max="7697" width="12.44140625" style="352" customWidth="1"/>
    <col min="7698" max="7698" width="13" style="352" customWidth="1"/>
    <col min="7699" max="7699" width="9.5546875" style="352" customWidth="1"/>
    <col min="7700" max="7700" width="11.44140625" style="352" customWidth="1"/>
    <col min="7701" max="7930" width="9.109375" style="352"/>
    <col min="7931" max="7931" width="9.44140625" style="352" customWidth="1"/>
    <col min="7932" max="7932" width="31.44140625" style="352" customWidth="1"/>
    <col min="7933" max="7938" width="0" style="352" hidden="1" customWidth="1"/>
    <col min="7939" max="7939" width="8.6640625" style="352" customWidth="1"/>
    <col min="7940" max="7940" width="8.109375" style="352" customWidth="1"/>
    <col min="7941" max="7941" width="14.44140625" style="352" customWidth="1"/>
    <col min="7942" max="7942" width="13.33203125" style="352" customWidth="1"/>
    <col min="7943" max="7943" width="9.6640625" style="352" customWidth="1"/>
    <col min="7944" max="7944" width="13.5546875" style="352" customWidth="1"/>
    <col min="7945" max="7945" width="10.5546875" style="352" customWidth="1"/>
    <col min="7946" max="7946" width="11.33203125" style="352" customWidth="1"/>
    <col min="7947" max="7947" width="8.6640625" style="352" customWidth="1"/>
    <col min="7948" max="7948" width="9" style="352" customWidth="1"/>
    <col min="7949" max="7949" width="6.6640625" style="352" customWidth="1"/>
    <col min="7950" max="7950" width="11.44140625" style="352" customWidth="1"/>
    <col min="7951" max="7951" width="12.33203125" style="352" customWidth="1"/>
    <col min="7952" max="7952" width="11.33203125" style="352" customWidth="1"/>
    <col min="7953" max="7953" width="12.44140625" style="352" customWidth="1"/>
    <col min="7954" max="7954" width="13" style="352" customWidth="1"/>
    <col min="7955" max="7955" width="9.5546875" style="352" customWidth="1"/>
    <col min="7956" max="7956" width="11.44140625" style="352" customWidth="1"/>
    <col min="7957" max="8186" width="9.109375" style="352"/>
    <col min="8187" max="8187" width="9.44140625" style="352" customWidth="1"/>
    <col min="8188" max="8188" width="31.44140625" style="352" customWidth="1"/>
    <col min="8189" max="8194" width="0" style="352" hidden="1" customWidth="1"/>
    <col min="8195" max="8195" width="8.6640625" style="352" customWidth="1"/>
    <col min="8196" max="8196" width="8.109375" style="352" customWidth="1"/>
    <col min="8197" max="8197" width="14.44140625" style="352" customWidth="1"/>
    <col min="8198" max="8198" width="13.33203125" style="352" customWidth="1"/>
    <col min="8199" max="8199" width="9.6640625" style="352" customWidth="1"/>
    <col min="8200" max="8200" width="13.5546875" style="352" customWidth="1"/>
    <col min="8201" max="8201" width="10.5546875" style="352" customWidth="1"/>
    <col min="8202" max="8202" width="11.33203125" style="352" customWidth="1"/>
    <col min="8203" max="8203" width="8.6640625" style="352" customWidth="1"/>
    <col min="8204" max="8204" width="9" style="352" customWidth="1"/>
    <col min="8205" max="8205" width="6.6640625" style="352" customWidth="1"/>
    <col min="8206" max="8206" width="11.44140625" style="352" customWidth="1"/>
    <col min="8207" max="8207" width="12.33203125" style="352" customWidth="1"/>
    <col min="8208" max="8208" width="11.33203125" style="352" customWidth="1"/>
    <col min="8209" max="8209" width="12.44140625" style="352" customWidth="1"/>
    <col min="8210" max="8210" width="13" style="352" customWidth="1"/>
    <col min="8211" max="8211" width="9.5546875" style="352" customWidth="1"/>
    <col min="8212" max="8212" width="11.44140625" style="352" customWidth="1"/>
    <col min="8213" max="8442" width="9.109375" style="352"/>
    <col min="8443" max="8443" width="9.44140625" style="352" customWidth="1"/>
    <col min="8444" max="8444" width="31.44140625" style="352" customWidth="1"/>
    <col min="8445" max="8450" width="0" style="352" hidden="1" customWidth="1"/>
    <col min="8451" max="8451" width="8.6640625" style="352" customWidth="1"/>
    <col min="8452" max="8452" width="8.109375" style="352" customWidth="1"/>
    <col min="8453" max="8453" width="14.44140625" style="352" customWidth="1"/>
    <col min="8454" max="8454" width="13.33203125" style="352" customWidth="1"/>
    <col min="8455" max="8455" width="9.6640625" style="352" customWidth="1"/>
    <col min="8456" max="8456" width="13.5546875" style="352" customWidth="1"/>
    <col min="8457" max="8457" width="10.5546875" style="352" customWidth="1"/>
    <col min="8458" max="8458" width="11.33203125" style="352" customWidth="1"/>
    <col min="8459" max="8459" width="8.6640625" style="352" customWidth="1"/>
    <col min="8460" max="8460" width="9" style="352" customWidth="1"/>
    <col min="8461" max="8461" width="6.6640625" style="352" customWidth="1"/>
    <col min="8462" max="8462" width="11.44140625" style="352" customWidth="1"/>
    <col min="8463" max="8463" width="12.33203125" style="352" customWidth="1"/>
    <col min="8464" max="8464" width="11.33203125" style="352" customWidth="1"/>
    <col min="8465" max="8465" width="12.44140625" style="352" customWidth="1"/>
    <col min="8466" max="8466" width="13" style="352" customWidth="1"/>
    <col min="8467" max="8467" width="9.5546875" style="352" customWidth="1"/>
    <col min="8468" max="8468" width="11.44140625" style="352" customWidth="1"/>
    <col min="8469" max="8698" width="9.109375" style="352"/>
    <col min="8699" max="8699" width="9.44140625" style="352" customWidth="1"/>
    <col min="8700" max="8700" width="31.44140625" style="352" customWidth="1"/>
    <col min="8701" max="8706" width="0" style="352" hidden="1" customWidth="1"/>
    <col min="8707" max="8707" width="8.6640625" style="352" customWidth="1"/>
    <col min="8708" max="8708" width="8.109375" style="352" customWidth="1"/>
    <col min="8709" max="8709" width="14.44140625" style="352" customWidth="1"/>
    <col min="8710" max="8710" width="13.33203125" style="352" customWidth="1"/>
    <col min="8711" max="8711" width="9.6640625" style="352" customWidth="1"/>
    <col min="8712" max="8712" width="13.5546875" style="352" customWidth="1"/>
    <col min="8713" max="8713" width="10.5546875" style="352" customWidth="1"/>
    <col min="8714" max="8714" width="11.33203125" style="352" customWidth="1"/>
    <col min="8715" max="8715" width="8.6640625" style="352" customWidth="1"/>
    <col min="8716" max="8716" width="9" style="352" customWidth="1"/>
    <col min="8717" max="8717" width="6.6640625" style="352" customWidth="1"/>
    <col min="8718" max="8718" width="11.44140625" style="352" customWidth="1"/>
    <col min="8719" max="8719" width="12.33203125" style="352" customWidth="1"/>
    <col min="8720" max="8720" width="11.33203125" style="352" customWidth="1"/>
    <col min="8721" max="8721" width="12.44140625" style="352" customWidth="1"/>
    <col min="8722" max="8722" width="13" style="352" customWidth="1"/>
    <col min="8723" max="8723" width="9.5546875" style="352" customWidth="1"/>
    <col min="8724" max="8724" width="11.44140625" style="352" customWidth="1"/>
    <col min="8725" max="8954" width="9.109375" style="352"/>
    <col min="8955" max="8955" width="9.44140625" style="352" customWidth="1"/>
    <col min="8956" max="8956" width="31.44140625" style="352" customWidth="1"/>
    <col min="8957" max="8962" width="0" style="352" hidden="1" customWidth="1"/>
    <col min="8963" max="8963" width="8.6640625" style="352" customWidth="1"/>
    <col min="8964" max="8964" width="8.109375" style="352" customWidth="1"/>
    <col min="8965" max="8965" width="14.44140625" style="352" customWidth="1"/>
    <col min="8966" max="8966" width="13.33203125" style="352" customWidth="1"/>
    <col min="8967" max="8967" width="9.6640625" style="352" customWidth="1"/>
    <col min="8968" max="8968" width="13.5546875" style="352" customWidth="1"/>
    <col min="8969" max="8969" width="10.5546875" style="352" customWidth="1"/>
    <col min="8970" max="8970" width="11.33203125" style="352" customWidth="1"/>
    <col min="8971" max="8971" width="8.6640625" style="352" customWidth="1"/>
    <col min="8972" max="8972" width="9" style="352" customWidth="1"/>
    <col min="8973" max="8973" width="6.6640625" style="352" customWidth="1"/>
    <col min="8974" max="8974" width="11.44140625" style="352" customWidth="1"/>
    <col min="8975" max="8975" width="12.33203125" style="352" customWidth="1"/>
    <col min="8976" max="8976" width="11.33203125" style="352" customWidth="1"/>
    <col min="8977" max="8977" width="12.44140625" style="352" customWidth="1"/>
    <col min="8978" max="8978" width="13" style="352" customWidth="1"/>
    <col min="8979" max="8979" width="9.5546875" style="352" customWidth="1"/>
    <col min="8980" max="8980" width="11.44140625" style="352" customWidth="1"/>
    <col min="8981" max="9210" width="9.109375" style="352"/>
    <col min="9211" max="9211" width="9.44140625" style="352" customWidth="1"/>
    <col min="9212" max="9212" width="31.44140625" style="352" customWidth="1"/>
    <col min="9213" max="9218" width="0" style="352" hidden="1" customWidth="1"/>
    <col min="9219" max="9219" width="8.6640625" style="352" customWidth="1"/>
    <col min="9220" max="9220" width="8.109375" style="352" customWidth="1"/>
    <col min="9221" max="9221" width="14.44140625" style="352" customWidth="1"/>
    <col min="9222" max="9222" width="13.33203125" style="352" customWidth="1"/>
    <col min="9223" max="9223" width="9.6640625" style="352" customWidth="1"/>
    <col min="9224" max="9224" width="13.5546875" style="352" customWidth="1"/>
    <col min="9225" max="9225" width="10.5546875" style="352" customWidth="1"/>
    <col min="9226" max="9226" width="11.33203125" style="352" customWidth="1"/>
    <col min="9227" max="9227" width="8.6640625" style="352" customWidth="1"/>
    <col min="9228" max="9228" width="9" style="352" customWidth="1"/>
    <col min="9229" max="9229" width="6.6640625" style="352" customWidth="1"/>
    <col min="9230" max="9230" width="11.44140625" style="352" customWidth="1"/>
    <col min="9231" max="9231" width="12.33203125" style="352" customWidth="1"/>
    <col min="9232" max="9232" width="11.33203125" style="352" customWidth="1"/>
    <col min="9233" max="9233" width="12.44140625" style="352" customWidth="1"/>
    <col min="9234" max="9234" width="13" style="352" customWidth="1"/>
    <col min="9235" max="9235" width="9.5546875" style="352" customWidth="1"/>
    <col min="9236" max="9236" width="11.44140625" style="352" customWidth="1"/>
    <col min="9237" max="9466" width="9.109375" style="352"/>
    <col min="9467" max="9467" width="9.44140625" style="352" customWidth="1"/>
    <col min="9468" max="9468" width="31.44140625" style="352" customWidth="1"/>
    <col min="9469" max="9474" width="0" style="352" hidden="1" customWidth="1"/>
    <col min="9475" max="9475" width="8.6640625" style="352" customWidth="1"/>
    <col min="9476" max="9476" width="8.109375" style="352" customWidth="1"/>
    <col min="9477" max="9477" width="14.44140625" style="352" customWidth="1"/>
    <col min="9478" max="9478" width="13.33203125" style="352" customWidth="1"/>
    <col min="9479" max="9479" width="9.6640625" style="352" customWidth="1"/>
    <col min="9480" max="9480" width="13.5546875" style="352" customWidth="1"/>
    <col min="9481" max="9481" width="10.5546875" style="352" customWidth="1"/>
    <col min="9482" max="9482" width="11.33203125" style="352" customWidth="1"/>
    <col min="9483" max="9483" width="8.6640625" style="352" customWidth="1"/>
    <col min="9484" max="9484" width="9" style="352" customWidth="1"/>
    <col min="9485" max="9485" width="6.6640625" style="352" customWidth="1"/>
    <col min="9486" max="9486" width="11.44140625" style="352" customWidth="1"/>
    <col min="9487" max="9487" width="12.33203125" style="352" customWidth="1"/>
    <col min="9488" max="9488" width="11.33203125" style="352" customWidth="1"/>
    <col min="9489" max="9489" width="12.44140625" style="352" customWidth="1"/>
    <col min="9490" max="9490" width="13" style="352" customWidth="1"/>
    <col min="9491" max="9491" width="9.5546875" style="352" customWidth="1"/>
    <col min="9492" max="9492" width="11.44140625" style="352" customWidth="1"/>
    <col min="9493" max="9722" width="9.109375" style="352"/>
    <col min="9723" max="9723" width="9.44140625" style="352" customWidth="1"/>
    <col min="9724" max="9724" width="31.44140625" style="352" customWidth="1"/>
    <col min="9725" max="9730" width="0" style="352" hidden="1" customWidth="1"/>
    <col min="9731" max="9731" width="8.6640625" style="352" customWidth="1"/>
    <col min="9732" max="9732" width="8.109375" style="352" customWidth="1"/>
    <col min="9733" max="9733" width="14.44140625" style="352" customWidth="1"/>
    <col min="9734" max="9734" width="13.33203125" style="352" customWidth="1"/>
    <col min="9735" max="9735" width="9.6640625" style="352" customWidth="1"/>
    <col min="9736" max="9736" width="13.5546875" style="352" customWidth="1"/>
    <col min="9737" max="9737" width="10.5546875" style="352" customWidth="1"/>
    <col min="9738" max="9738" width="11.33203125" style="352" customWidth="1"/>
    <col min="9739" max="9739" width="8.6640625" style="352" customWidth="1"/>
    <col min="9740" max="9740" width="9" style="352" customWidth="1"/>
    <col min="9741" max="9741" width="6.6640625" style="352" customWidth="1"/>
    <col min="9742" max="9742" width="11.44140625" style="352" customWidth="1"/>
    <col min="9743" max="9743" width="12.33203125" style="352" customWidth="1"/>
    <col min="9744" max="9744" width="11.33203125" style="352" customWidth="1"/>
    <col min="9745" max="9745" width="12.44140625" style="352" customWidth="1"/>
    <col min="9746" max="9746" width="13" style="352" customWidth="1"/>
    <col min="9747" max="9747" width="9.5546875" style="352" customWidth="1"/>
    <col min="9748" max="9748" width="11.44140625" style="352" customWidth="1"/>
    <col min="9749" max="9978" width="9.109375" style="352"/>
    <col min="9979" max="9979" width="9.44140625" style="352" customWidth="1"/>
    <col min="9980" max="9980" width="31.44140625" style="352" customWidth="1"/>
    <col min="9981" max="9986" width="0" style="352" hidden="1" customWidth="1"/>
    <col min="9987" max="9987" width="8.6640625" style="352" customWidth="1"/>
    <col min="9988" max="9988" width="8.109375" style="352" customWidth="1"/>
    <col min="9989" max="9989" width="14.44140625" style="352" customWidth="1"/>
    <col min="9990" max="9990" width="13.33203125" style="352" customWidth="1"/>
    <col min="9991" max="9991" width="9.6640625" style="352" customWidth="1"/>
    <col min="9992" max="9992" width="13.5546875" style="352" customWidth="1"/>
    <col min="9993" max="9993" width="10.5546875" style="352" customWidth="1"/>
    <col min="9994" max="9994" width="11.33203125" style="352" customWidth="1"/>
    <col min="9995" max="9995" width="8.6640625" style="352" customWidth="1"/>
    <col min="9996" max="9996" width="9" style="352" customWidth="1"/>
    <col min="9997" max="9997" width="6.6640625" style="352" customWidth="1"/>
    <col min="9998" max="9998" width="11.44140625" style="352" customWidth="1"/>
    <col min="9999" max="9999" width="12.33203125" style="352" customWidth="1"/>
    <col min="10000" max="10000" width="11.33203125" style="352" customWidth="1"/>
    <col min="10001" max="10001" width="12.44140625" style="352" customWidth="1"/>
    <col min="10002" max="10002" width="13" style="352" customWidth="1"/>
    <col min="10003" max="10003" width="9.5546875" style="352" customWidth="1"/>
    <col min="10004" max="10004" width="11.44140625" style="352" customWidth="1"/>
    <col min="10005" max="10234" width="9.109375" style="352"/>
    <col min="10235" max="10235" width="9.44140625" style="352" customWidth="1"/>
    <col min="10236" max="10236" width="31.44140625" style="352" customWidth="1"/>
    <col min="10237" max="10242" width="0" style="352" hidden="1" customWidth="1"/>
    <col min="10243" max="10243" width="8.6640625" style="352" customWidth="1"/>
    <col min="10244" max="10244" width="8.109375" style="352" customWidth="1"/>
    <col min="10245" max="10245" width="14.44140625" style="352" customWidth="1"/>
    <col min="10246" max="10246" width="13.33203125" style="352" customWidth="1"/>
    <col min="10247" max="10247" width="9.6640625" style="352" customWidth="1"/>
    <col min="10248" max="10248" width="13.5546875" style="352" customWidth="1"/>
    <col min="10249" max="10249" width="10.5546875" style="352" customWidth="1"/>
    <col min="10250" max="10250" width="11.33203125" style="352" customWidth="1"/>
    <col min="10251" max="10251" width="8.6640625" style="352" customWidth="1"/>
    <col min="10252" max="10252" width="9" style="352" customWidth="1"/>
    <col min="10253" max="10253" width="6.6640625" style="352" customWidth="1"/>
    <col min="10254" max="10254" width="11.44140625" style="352" customWidth="1"/>
    <col min="10255" max="10255" width="12.33203125" style="352" customWidth="1"/>
    <col min="10256" max="10256" width="11.33203125" style="352" customWidth="1"/>
    <col min="10257" max="10257" width="12.44140625" style="352" customWidth="1"/>
    <col min="10258" max="10258" width="13" style="352" customWidth="1"/>
    <col min="10259" max="10259" width="9.5546875" style="352" customWidth="1"/>
    <col min="10260" max="10260" width="11.44140625" style="352" customWidth="1"/>
    <col min="10261" max="10490" width="9.109375" style="352"/>
    <col min="10491" max="10491" width="9.44140625" style="352" customWidth="1"/>
    <col min="10492" max="10492" width="31.44140625" style="352" customWidth="1"/>
    <col min="10493" max="10498" width="0" style="352" hidden="1" customWidth="1"/>
    <col min="10499" max="10499" width="8.6640625" style="352" customWidth="1"/>
    <col min="10500" max="10500" width="8.109375" style="352" customWidth="1"/>
    <col min="10501" max="10501" width="14.44140625" style="352" customWidth="1"/>
    <col min="10502" max="10502" width="13.33203125" style="352" customWidth="1"/>
    <col min="10503" max="10503" width="9.6640625" style="352" customWidth="1"/>
    <col min="10504" max="10504" width="13.5546875" style="352" customWidth="1"/>
    <col min="10505" max="10505" width="10.5546875" style="352" customWidth="1"/>
    <col min="10506" max="10506" width="11.33203125" style="352" customWidth="1"/>
    <col min="10507" max="10507" width="8.6640625" style="352" customWidth="1"/>
    <col min="10508" max="10508" width="9" style="352" customWidth="1"/>
    <col min="10509" max="10509" width="6.6640625" style="352" customWidth="1"/>
    <col min="10510" max="10510" width="11.44140625" style="352" customWidth="1"/>
    <col min="10511" max="10511" width="12.33203125" style="352" customWidth="1"/>
    <col min="10512" max="10512" width="11.33203125" style="352" customWidth="1"/>
    <col min="10513" max="10513" width="12.44140625" style="352" customWidth="1"/>
    <col min="10514" max="10514" width="13" style="352" customWidth="1"/>
    <col min="10515" max="10515" width="9.5546875" style="352" customWidth="1"/>
    <col min="10516" max="10516" width="11.44140625" style="352" customWidth="1"/>
    <col min="10517" max="10746" width="9.109375" style="352"/>
    <col min="10747" max="10747" width="9.44140625" style="352" customWidth="1"/>
    <col min="10748" max="10748" width="31.44140625" style="352" customWidth="1"/>
    <col min="10749" max="10754" width="0" style="352" hidden="1" customWidth="1"/>
    <col min="10755" max="10755" width="8.6640625" style="352" customWidth="1"/>
    <col min="10756" max="10756" width="8.109375" style="352" customWidth="1"/>
    <col min="10757" max="10757" width="14.44140625" style="352" customWidth="1"/>
    <col min="10758" max="10758" width="13.33203125" style="352" customWidth="1"/>
    <col min="10759" max="10759" width="9.6640625" style="352" customWidth="1"/>
    <col min="10760" max="10760" width="13.5546875" style="352" customWidth="1"/>
    <col min="10761" max="10761" width="10.5546875" style="352" customWidth="1"/>
    <col min="10762" max="10762" width="11.33203125" style="352" customWidth="1"/>
    <col min="10763" max="10763" width="8.6640625" style="352" customWidth="1"/>
    <col min="10764" max="10764" width="9" style="352" customWidth="1"/>
    <col min="10765" max="10765" width="6.6640625" style="352" customWidth="1"/>
    <col min="10766" max="10766" width="11.44140625" style="352" customWidth="1"/>
    <col min="10767" max="10767" width="12.33203125" style="352" customWidth="1"/>
    <col min="10768" max="10768" width="11.33203125" style="352" customWidth="1"/>
    <col min="10769" max="10769" width="12.44140625" style="352" customWidth="1"/>
    <col min="10770" max="10770" width="13" style="352" customWidth="1"/>
    <col min="10771" max="10771" width="9.5546875" style="352" customWidth="1"/>
    <col min="10772" max="10772" width="11.44140625" style="352" customWidth="1"/>
    <col min="10773" max="11002" width="9.109375" style="352"/>
    <col min="11003" max="11003" width="9.44140625" style="352" customWidth="1"/>
    <col min="11004" max="11004" width="31.44140625" style="352" customWidth="1"/>
    <col min="11005" max="11010" width="0" style="352" hidden="1" customWidth="1"/>
    <col min="11011" max="11011" width="8.6640625" style="352" customWidth="1"/>
    <col min="11012" max="11012" width="8.109375" style="352" customWidth="1"/>
    <col min="11013" max="11013" width="14.44140625" style="352" customWidth="1"/>
    <col min="11014" max="11014" width="13.33203125" style="352" customWidth="1"/>
    <col min="11015" max="11015" width="9.6640625" style="352" customWidth="1"/>
    <col min="11016" max="11016" width="13.5546875" style="352" customWidth="1"/>
    <col min="11017" max="11017" width="10.5546875" style="352" customWidth="1"/>
    <col min="11018" max="11018" width="11.33203125" style="352" customWidth="1"/>
    <col min="11019" max="11019" width="8.6640625" style="352" customWidth="1"/>
    <col min="11020" max="11020" width="9" style="352" customWidth="1"/>
    <col min="11021" max="11021" width="6.6640625" style="352" customWidth="1"/>
    <col min="11022" max="11022" width="11.44140625" style="352" customWidth="1"/>
    <col min="11023" max="11023" width="12.33203125" style="352" customWidth="1"/>
    <col min="11024" max="11024" width="11.33203125" style="352" customWidth="1"/>
    <col min="11025" max="11025" width="12.44140625" style="352" customWidth="1"/>
    <col min="11026" max="11026" width="13" style="352" customWidth="1"/>
    <col min="11027" max="11027" width="9.5546875" style="352" customWidth="1"/>
    <col min="11028" max="11028" width="11.44140625" style="352" customWidth="1"/>
    <col min="11029" max="11258" width="9.109375" style="352"/>
    <col min="11259" max="11259" width="9.44140625" style="352" customWidth="1"/>
    <col min="11260" max="11260" width="31.44140625" style="352" customWidth="1"/>
    <col min="11261" max="11266" width="0" style="352" hidden="1" customWidth="1"/>
    <col min="11267" max="11267" width="8.6640625" style="352" customWidth="1"/>
    <col min="11268" max="11268" width="8.109375" style="352" customWidth="1"/>
    <col min="11269" max="11269" width="14.44140625" style="352" customWidth="1"/>
    <col min="11270" max="11270" width="13.33203125" style="352" customWidth="1"/>
    <col min="11271" max="11271" width="9.6640625" style="352" customWidth="1"/>
    <col min="11272" max="11272" width="13.5546875" style="352" customWidth="1"/>
    <col min="11273" max="11273" width="10.5546875" style="352" customWidth="1"/>
    <col min="11274" max="11274" width="11.33203125" style="352" customWidth="1"/>
    <col min="11275" max="11275" width="8.6640625" style="352" customWidth="1"/>
    <col min="11276" max="11276" width="9" style="352" customWidth="1"/>
    <col min="11277" max="11277" width="6.6640625" style="352" customWidth="1"/>
    <col min="11278" max="11278" width="11.44140625" style="352" customWidth="1"/>
    <col min="11279" max="11279" width="12.33203125" style="352" customWidth="1"/>
    <col min="11280" max="11280" width="11.33203125" style="352" customWidth="1"/>
    <col min="11281" max="11281" width="12.44140625" style="352" customWidth="1"/>
    <col min="11282" max="11282" width="13" style="352" customWidth="1"/>
    <col min="11283" max="11283" width="9.5546875" style="352" customWidth="1"/>
    <col min="11284" max="11284" width="11.44140625" style="352" customWidth="1"/>
    <col min="11285" max="11514" width="9.109375" style="352"/>
    <col min="11515" max="11515" width="9.44140625" style="352" customWidth="1"/>
    <col min="11516" max="11516" width="31.44140625" style="352" customWidth="1"/>
    <col min="11517" max="11522" width="0" style="352" hidden="1" customWidth="1"/>
    <col min="11523" max="11523" width="8.6640625" style="352" customWidth="1"/>
    <col min="11524" max="11524" width="8.109375" style="352" customWidth="1"/>
    <col min="11525" max="11525" width="14.44140625" style="352" customWidth="1"/>
    <col min="11526" max="11526" width="13.33203125" style="352" customWidth="1"/>
    <col min="11527" max="11527" width="9.6640625" style="352" customWidth="1"/>
    <col min="11528" max="11528" width="13.5546875" style="352" customWidth="1"/>
    <col min="11529" max="11529" width="10.5546875" style="352" customWidth="1"/>
    <col min="11530" max="11530" width="11.33203125" style="352" customWidth="1"/>
    <col min="11531" max="11531" width="8.6640625" style="352" customWidth="1"/>
    <col min="11532" max="11532" width="9" style="352" customWidth="1"/>
    <col min="11533" max="11533" width="6.6640625" style="352" customWidth="1"/>
    <col min="11534" max="11534" width="11.44140625" style="352" customWidth="1"/>
    <col min="11535" max="11535" width="12.33203125" style="352" customWidth="1"/>
    <col min="11536" max="11536" width="11.33203125" style="352" customWidth="1"/>
    <col min="11537" max="11537" width="12.44140625" style="352" customWidth="1"/>
    <col min="11538" max="11538" width="13" style="352" customWidth="1"/>
    <col min="11539" max="11539" width="9.5546875" style="352" customWidth="1"/>
    <col min="11540" max="11540" width="11.44140625" style="352" customWidth="1"/>
    <col min="11541" max="11770" width="9.109375" style="352"/>
    <col min="11771" max="11771" width="9.44140625" style="352" customWidth="1"/>
    <col min="11772" max="11772" width="31.44140625" style="352" customWidth="1"/>
    <col min="11773" max="11778" width="0" style="352" hidden="1" customWidth="1"/>
    <col min="11779" max="11779" width="8.6640625" style="352" customWidth="1"/>
    <col min="11780" max="11780" width="8.109375" style="352" customWidth="1"/>
    <col min="11781" max="11781" width="14.44140625" style="352" customWidth="1"/>
    <col min="11782" max="11782" width="13.33203125" style="352" customWidth="1"/>
    <col min="11783" max="11783" width="9.6640625" style="352" customWidth="1"/>
    <col min="11784" max="11784" width="13.5546875" style="352" customWidth="1"/>
    <col min="11785" max="11785" width="10.5546875" style="352" customWidth="1"/>
    <col min="11786" max="11786" width="11.33203125" style="352" customWidth="1"/>
    <col min="11787" max="11787" width="8.6640625" style="352" customWidth="1"/>
    <col min="11788" max="11788" width="9" style="352" customWidth="1"/>
    <col min="11789" max="11789" width="6.6640625" style="352" customWidth="1"/>
    <col min="11790" max="11790" width="11.44140625" style="352" customWidth="1"/>
    <col min="11791" max="11791" width="12.33203125" style="352" customWidth="1"/>
    <col min="11792" max="11792" width="11.33203125" style="352" customWidth="1"/>
    <col min="11793" max="11793" width="12.44140625" style="352" customWidth="1"/>
    <col min="11794" max="11794" width="13" style="352" customWidth="1"/>
    <col min="11795" max="11795" width="9.5546875" style="352" customWidth="1"/>
    <col min="11796" max="11796" width="11.44140625" style="352" customWidth="1"/>
    <col min="11797" max="12026" width="9.109375" style="352"/>
    <col min="12027" max="12027" width="9.44140625" style="352" customWidth="1"/>
    <col min="12028" max="12028" width="31.44140625" style="352" customWidth="1"/>
    <col min="12029" max="12034" width="0" style="352" hidden="1" customWidth="1"/>
    <col min="12035" max="12035" width="8.6640625" style="352" customWidth="1"/>
    <col min="12036" max="12036" width="8.109375" style="352" customWidth="1"/>
    <col min="12037" max="12037" width="14.44140625" style="352" customWidth="1"/>
    <col min="12038" max="12038" width="13.33203125" style="352" customWidth="1"/>
    <col min="12039" max="12039" width="9.6640625" style="352" customWidth="1"/>
    <col min="12040" max="12040" width="13.5546875" style="352" customWidth="1"/>
    <col min="12041" max="12041" width="10.5546875" style="352" customWidth="1"/>
    <col min="12042" max="12042" width="11.33203125" style="352" customWidth="1"/>
    <col min="12043" max="12043" width="8.6640625" style="352" customWidth="1"/>
    <col min="12044" max="12044" width="9" style="352" customWidth="1"/>
    <col min="12045" max="12045" width="6.6640625" style="352" customWidth="1"/>
    <col min="12046" max="12046" width="11.44140625" style="352" customWidth="1"/>
    <col min="12047" max="12047" width="12.33203125" style="352" customWidth="1"/>
    <col min="12048" max="12048" width="11.33203125" style="352" customWidth="1"/>
    <col min="12049" max="12049" width="12.44140625" style="352" customWidth="1"/>
    <col min="12050" max="12050" width="13" style="352" customWidth="1"/>
    <col min="12051" max="12051" width="9.5546875" style="352" customWidth="1"/>
    <col min="12052" max="12052" width="11.44140625" style="352" customWidth="1"/>
    <col min="12053" max="12282" width="9.109375" style="352"/>
    <col min="12283" max="12283" width="9.44140625" style="352" customWidth="1"/>
    <col min="12284" max="12284" width="31.44140625" style="352" customWidth="1"/>
    <col min="12285" max="12290" width="0" style="352" hidden="1" customWidth="1"/>
    <col min="12291" max="12291" width="8.6640625" style="352" customWidth="1"/>
    <col min="12292" max="12292" width="8.109375" style="352" customWidth="1"/>
    <col min="12293" max="12293" width="14.44140625" style="352" customWidth="1"/>
    <col min="12294" max="12294" width="13.33203125" style="352" customWidth="1"/>
    <col min="12295" max="12295" width="9.6640625" style="352" customWidth="1"/>
    <col min="12296" max="12296" width="13.5546875" style="352" customWidth="1"/>
    <col min="12297" max="12297" width="10.5546875" style="352" customWidth="1"/>
    <col min="12298" max="12298" width="11.33203125" style="352" customWidth="1"/>
    <col min="12299" max="12299" width="8.6640625" style="352" customWidth="1"/>
    <col min="12300" max="12300" width="9" style="352" customWidth="1"/>
    <col min="12301" max="12301" width="6.6640625" style="352" customWidth="1"/>
    <col min="12302" max="12302" width="11.44140625" style="352" customWidth="1"/>
    <col min="12303" max="12303" width="12.33203125" style="352" customWidth="1"/>
    <col min="12304" max="12304" width="11.33203125" style="352" customWidth="1"/>
    <col min="12305" max="12305" width="12.44140625" style="352" customWidth="1"/>
    <col min="12306" max="12306" width="13" style="352" customWidth="1"/>
    <col min="12307" max="12307" width="9.5546875" style="352" customWidth="1"/>
    <col min="12308" max="12308" width="11.44140625" style="352" customWidth="1"/>
    <col min="12309" max="12538" width="9.109375" style="352"/>
    <col min="12539" max="12539" width="9.44140625" style="352" customWidth="1"/>
    <col min="12540" max="12540" width="31.44140625" style="352" customWidth="1"/>
    <col min="12541" max="12546" width="0" style="352" hidden="1" customWidth="1"/>
    <col min="12547" max="12547" width="8.6640625" style="352" customWidth="1"/>
    <col min="12548" max="12548" width="8.109375" style="352" customWidth="1"/>
    <col min="12549" max="12549" width="14.44140625" style="352" customWidth="1"/>
    <col min="12550" max="12550" width="13.33203125" style="352" customWidth="1"/>
    <col min="12551" max="12551" width="9.6640625" style="352" customWidth="1"/>
    <col min="12552" max="12552" width="13.5546875" style="352" customWidth="1"/>
    <col min="12553" max="12553" width="10.5546875" style="352" customWidth="1"/>
    <col min="12554" max="12554" width="11.33203125" style="352" customWidth="1"/>
    <col min="12555" max="12555" width="8.6640625" style="352" customWidth="1"/>
    <col min="12556" max="12556" width="9" style="352" customWidth="1"/>
    <col min="12557" max="12557" width="6.6640625" style="352" customWidth="1"/>
    <col min="12558" max="12558" width="11.44140625" style="352" customWidth="1"/>
    <col min="12559" max="12559" width="12.33203125" style="352" customWidth="1"/>
    <col min="12560" max="12560" width="11.33203125" style="352" customWidth="1"/>
    <col min="12561" max="12561" width="12.44140625" style="352" customWidth="1"/>
    <col min="12562" max="12562" width="13" style="352" customWidth="1"/>
    <col min="12563" max="12563" width="9.5546875" style="352" customWidth="1"/>
    <col min="12564" max="12564" width="11.44140625" style="352" customWidth="1"/>
    <col min="12565" max="12794" width="9.109375" style="352"/>
    <col min="12795" max="12795" width="9.44140625" style="352" customWidth="1"/>
    <col min="12796" max="12796" width="31.44140625" style="352" customWidth="1"/>
    <col min="12797" max="12802" width="0" style="352" hidden="1" customWidth="1"/>
    <col min="12803" max="12803" width="8.6640625" style="352" customWidth="1"/>
    <col min="12804" max="12804" width="8.109375" style="352" customWidth="1"/>
    <col min="12805" max="12805" width="14.44140625" style="352" customWidth="1"/>
    <col min="12806" max="12806" width="13.33203125" style="352" customWidth="1"/>
    <col min="12807" max="12807" width="9.6640625" style="352" customWidth="1"/>
    <col min="12808" max="12808" width="13.5546875" style="352" customWidth="1"/>
    <col min="12809" max="12809" width="10.5546875" style="352" customWidth="1"/>
    <col min="12810" max="12810" width="11.33203125" style="352" customWidth="1"/>
    <col min="12811" max="12811" width="8.6640625" style="352" customWidth="1"/>
    <col min="12812" max="12812" width="9" style="352" customWidth="1"/>
    <col min="12813" max="12813" width="6.6640625" style="352" customWidth="1"/>
    <col min="12814" max="12814" width="11.44140625" style="352" customWidth="1"/>
    <col min="12815" max="12815" width="12.33203125" style="352" customWidth="1"/>
    <col min="12816" max="12816" width="11.33203125" style="352" customWidth="1"/>
    <col min="12817" max="12817" width="12.44140625" style="352" customWidth="1"/>
    <col min="12818" max="12818" width="13" style="352" customWidth="1"/>
    <col min="12819" max="12819" width="9.5546875" style="352" customWidth="1"/>
    <col min="12820" max="12820" width="11.44140625" style="352" customWidth="1"/>
    <col min="12821" max="13050" width="9.109375" style="352"/>
    <col min="13051" max="13051" width="9.44140625" style="352" customWidth="1"/>
    <col min="13052" max="13052" width="31.44140625" style="352" customWidth="1"/>
    <col min="13053" max="13058" width="0" style="352" hidden="1" customWidth="1"/>
    <col min="13059" max="13059" width="8.6640625" style="352" customWidth="1"/>
    <col min="13060" max="13060" width="8.109375" style="352" customWidth="1"/>
    <col min="13061" max="13061" width="14.44140625" style="352" customWidth="1"/>
    <col min="13062" max="13062" width="13.33203125" style="352" customWidth="1"/>
    <col min="13063" max="13063" width="9.6640625" style="352" customWidth="1"/>
    <col min="13064" max="13064" width="13.5546875" style="352" customWidth="1"/>
    <col min="13065" max="13065" width="10.5546875" style="352" customWidth="1"/>
    <col min="13066" max="13066" width="11.33203125" style="352" customWidth="1"/>
    <col min="13067" max="13067" width="8.6640625" style="352" customWidth="1"/>
    <col min="13068" max="13068" width="9" style="352" customWidth="1"/>
    <col min="13069" max="13069" width="6.6640625" style="352" customWidth="1"/>
    <col min="13070" max="13070" width="11.44140625" style="352" customWidth="1"/>
    <col min="13071" max="13071" width="12.33203125" style="352" customWidth="1"/>
    <col min="13072" max="13072" width="11.33203125" style="352" customWidth="1"/>
    <col min="13073" max="13073" width="12.44140625" style="352" customWidth="1"/>
    <col min="13074" max="13074" width="13" style="352" customWidth="1"/>
    <col min="13075" max="13075" width="9.5546875" style="352" customWidth="1"/>
    <col min="13076" max="13076" width="11.44140625" style="352" customWidth="1"/>
    <col min="13077" max="13306" width="9.109375" style="352"/>
    <col min="13307" max="13307" width="9.44140625" style="352" customWidth="1"/>
    <col min="13308" max="13308" width="31.44140625" style="352" customWidth="1"/>
    <col min="13309" max="13314" width="0" style="352" hidden="1" customWidth="1"/>
    <col min="13315" max="13315" width="8.6640625" style="352" customWidth="1"/>
    <col min="13316" max="13316" width="8.109375" style="352" customWidth="1"/>
    <col min="13317" max="13317" width="14.44140625" style="352" customWidth="1"/>
    <col min="13318" max="13318" width="13.33203125" style="352" customWidth="1"/>
    <col min="13319" max="13319" width="9.6640625" style="352" customWidth="1"/>
    <col min="13320" max="13320" width="13.5546875" style="352" customWidth="1"/>
    <col min="13321" max="13321" width="10.5546875" style="352" customWidth="1"/>
    <col min="13322" max="13322" width="11.33203125" style="352" customWidth="1"/>
    <col min="13323" max="13323" width="8.6640625" style="352" customWidth="1"/>
    <col min="13324" max="13324" width="9" style="352" customWidth="1"/>
    <col min="13325" max="13325" width="6.6640625" style="352" customWidth="1"/>
    <col min="13326" max="13326" width="11.44140625" style="352" customWidth="1"/>
    <col min="13327" max="13327" width="12.33203125" style="352" customWidth="1"/>
    <col min="13328" max="13328" width="11.33203125" style="352" customWidth="1"/>
    <col min="13329" max="13329" width="12.44140625" style="352" customWidth="1"/>
    <col min="13330" max="13330" width="13" style="352" customWidth="1"/>
    <col min="13331" max="13331" width="9.5546875" style="352" customWidth="1"/>
    <col min="13332" max="13332" width="11.44140625" style="352" customWidth="1"/>
    <col min="13333" max="13562" width="9.109375" style="352"/>
    <col min="13563" max="13563" width="9.44140625" style="352" customWidth="1"/>
    <col min="13564" max="13564" width="31.44140625" style="352" customWidth="1"/>
    <col min="13565" max="13570" width="0" style="352" hidden="1" customWidth="1"/>
    <col min="13571" max="13571" width="8.6640625" style="352" customWidth="1"/>
    <col min="13572" max="13572" width="8.109375" style="352" customWidth="1"/>
    <col min="13573" max="13573" width="14.44140625" style="352" customWidth="1"/>
    <col min="13574" max="13574" width="13.33203125" style="352" customWidth="1"/>
    <col min="13575" max="13575" width="9.6640625" style="352" customWidth="1"/>
    <col min="13576" max="13576" width="13.5546875" style="352" customWidth="1"/>
    <col min="13577" max="13577" width="10.5546875" style="352" customWidth="1"/>
    <col min="13578" max="13578" width="11.33203125" style="352" customWidth="1"/>
    <col min="13579" max="13579" width="8.6640625" style="352" customWidth="1"/>
    <col min="13580" max="13580" width="9" style="352" customWidth="1"/>
    <col min="13581" max="13581" width="6.6640625" style="352" customWidth="1"/>
    <col min="13582" max="13582" width="11.44140625" style="352" customWidth="1"/>
    <col min="13583" max="13583" width="12.33203125" style="352" customWidth="1"/>
    <col min="13584" max="13584" width="11.33203125" style="352" customWidth="1"/>
    <col min="13585" max="13585" width="12.44140625" style="352" customWidth="1"/>
    <col min="13586" max="13586" width="13" style="352" customWidth="1"/>
    <col min="13587" max="13587" width="9.5546875" style="352" customWidth="1"/>
    <col min="13588" max="13588" width="11.44140625" style="352" customWidth="1"/>
    <col min="13589" max="13818" width="9.109375" style="352"/>
    <col min="13819" max="13819" width="9.44140625" style="352" customWidth="1"/>
    <col min="13820" max="13820" width="31.44140625" style="352" customWidth="1"/>
    <col min="13821" max="13826" width="0" style="352" hidden="1" customWidth="1"/>
    <col min="13827" max="13827" width="8.6640625" style="352" customWidth="1"/>
    <col min="13828" max="13828" width="8.109375" style="352" customWidth="1"/>
    <col min="13829" max="13829" width="14.44140625" style="352" customWidth="1"/>
    <col min="13830" max="13830" width="13.33203125" style="352" customWidth="1"/>
    <col min="13831" max="13831" width="9.6640625" style="352" customWidth="1"/>
    <col min="13832" max="13832" width="13.5546875" style="352" customWidth="1"/>
    <col min="13833" max="13833" width="10.5546875" style="352" customWidth="1"/>
    <col min="13834" max="13834" width="11.33203125" style="352" customWidth="1"/>
    <col min="13835" max="13835" width="8.6640625" style="352" customWidth="1"/>
    <col min="13836" max="13836" width="9" style="352" customWidth="1"/>
    <col min="13837" max="13837" width="6.6640625" style="352" customWidth="1"/>
    <col min="13838" max="13838" width="11.44140625" style="352" customWidth="1"/>
    <col min="13839" max="13839" width="12.33203125" style="352" customWidth="1"/>
    <col min="13840" max="13840" width="11.33203125" style="352" customWidth="1"/>
    <col min="13841" max="13841" width="12.44140625" style="352" customWidth="1"/>
    <col min="13842" max="13842" width="13" style="352" customWidth="1"/>
    <col min="13843" max="13843" width="9.5546875" style="352" customWidth="1"/>
    <col min="13844" max="13844" width="11.44140625" style="352" customWidth="1"/>
    <col min="13845" max="14074" width="9.109375" style="352"/>
    <col min="14075" max="14075" width="9.44140625" style="352" customWidth="1"/>
    <col min="14076" max="14076" width="31.44140625" style="352" customWidth="1"/>
    <col min="14077" max="14082" width="0" style="352" hidden="1" customWidth="1"/>
    <col min="14083" max="14083" width="8.6640625" style="352" customWidth="1"/>
    <col min="14084" max="14084" width="8.109375" style="352" customWidth="1"/>
    <col min="14085" max="14085" width="14.44140625" style="352" customWidth="1"/>
    <col min="14086" max="14086" width="13.33203125" style="352" customWidth="1"/>
    <col min="14087" max="14087" width="9.6640625" style="352" customWidth="1"/>
    <col min="14088" max="14088" width="13.5546875" style="352" customWidth="1"/>
    <col min="14089" max="14089" width="10.5546875" style="352" customWidth="1"/>
    <col min="14090" max="14090" width="11.33203125" style="352" customWidth="1"/>
    <col min="14091" max="14091" width="8.6640625" style="352" customWidth="1"/>
    <col min="14092" max="14092" width="9" style="352" customWidth="1"/>
    <col min="14093" max="14093" width="6.6640625" style="352" customWidth="1"/>
    <col min="14094" max="14094" width="11.44140625" style="352" customWidth="1"/>
    <col min="14095" max="14095" width="12.33203125" style="352" customWidth="1"/>
    <col min="14096" max="14096" width="11.33203125" style="352" customWidth="1"/>
    <col min="14097" max="14097" width="12.44140625" style="352" customWidth="1"/>
    <col min="14098" max="14098" width="13" style="352" customWidth="1"/>
    <col min="14099" max="14099" width="9.5546875" style="352" customWidth="1"/>
    <col min="14100" max="14100" width="11.44140625" style="352" customWidth="1"/>
    <col min="14101" max="14330" width="9.109375" style="352"/>
    <col min="14331" max="14331" width="9.44140625" style="352" customWidth="1"/>
    <col min="14332" max="14332" width="31.44140625" style="352" customWidth="1"/>
    <col min="14333" max="14338" width="0" style="352" hidden="1" customWidth="1"/>
    <col min="14339" max="14339" width="8.6640625" style="352" customWidth="1"/>
    <col min="14340" max="14340" width="8.109375" style="352" customWidth="1"/>
    <col min="14341" max="14341" width="14.44140625" style="352" customWidth="1"/>
    <col min="14342" max="14342" width="13.33203125" style="352" customWidth="1"/>
    <col min="14343" max="14343" width="9.6640625" style="352" customWidth="1"/>
    <col min="14344" max="14344" width="13.5546875" style="352" customWidth="1"/>
    <col min="14345" max="14345" width="10.5546875" style="352" customWidth="1"/>
    <col min="14346" max="14346" width="11.33203125" style="352" customWidth="1"/>
    <col min="14347" max="14347" width="8.6640625" style="352" customWidth="1"/>
    <col min="14348" max="14348" width="9" style="352" customWidth="1"/>
    <col min="14349" max="14349" width="6.6640625" style="352" customWidth="1"/>
    <col min="14350" max="14350" width="11.44140625" style="352" customWidth="1"/>
    <col min="14351" max="14351" width="12.33203125" style="352" customWidth="1"/>
    <col min="14352" max="14352" width="11.33203125" style="352" customWidth="1"/>
    <col min="14353" max="14353" width="12.44140625" style="352" customWidth="1"/>
    <col min="14354" max="14354" width="13" style="352" customWidth="1"/>
    <col min="14355" max="14355" width="9.5546875" style="352" customWidth="1"/>
    <col min="14356" max="14356" width="11.44140625" style="352" customWidth="1"/>
    <col min="14357" max="14586" width="9.109375" style="352"/>
    <col min="14587" max="14587" width="9.44140625" style="352" customWidth="1"/>
    <col min="14588" max="14588" width="31.44140625" style="352" customWidth="1"/>
    <col min="14589" max="14594" width="0" style="352" hidden="1" customWidth="1"/>
    <col min="14595" max="14595" width="8.6640625" style="352" customWidth="1"/>
    <col min="14596" max="14596" width="8.109375" style="352" customWidth="1"/>
    <col min="14597" max="14597" width="14.44140625" style="352" customWidth="1"/>
    <col min="14598" max="14598" width="13.33203125" style="352" customWidth="1"/>
    <col min="14599" max="14599" width="9.6640625" style="352" customWidth="1"/>
    <col min="14600" max="14600" width="13.5546875" style="352" customWidth="1"/>
    <col min="14601" max="14601" width="10.5546875" style="352" customWidth="1"/>
    <col min="14602" max="14602" width="11.33203125" style="352" customWidth="1"/>
    <col min="14603" max="14603" width="8.6640625" style="352" customWidth="1"/>
    <col min="14604" max="14604" width="9" style="352" customWidth="1"/>
    <col min="14605" max="14605" width="6.6640625" style="352" customWidth="1"/>
    <col min="14606" max="14606" width="11.44140625" style="352" customWidth="1"/>
    <col min="14607" max="14607" width="12.33203125" style="352" customWidth="1"/>
    <col min="14608" max="14608" width="11.33203125" style="352" customWidth="1"/>
    <col min="14609" max="14609" width="12.44140625" style="352" customWidth="1"/>
    <col min="14610" max="14610" width="13" style="352" customWidth="1"/>
    <col min="14611" max="14611" width="9.5546875" style="352" customWidth="1"/>
    <col min="14612" max="14612" width="11.44140625" style="352" customWidth="1"/>
    <col min="14613" max="14842" width="9.109375" style="352"/>
    <col min="14843" max="14843" width="9.44140625" style="352" customWidth="1"/>
    <col min="14844" max="14844" width="31.44140625" style="352" customWidth="1"/>
    <col min="14845" max="14850" width="0" style="352" hidden="1" customWidth="1"/>
    <col min="14851" max="14851" width="8.6640625" style="352" customWidth="1"/>
    <col min="14852" max="14852" width="8.109375" style="352" customWidth="1"/>
    <col min="14853" max="14853" width="14.44140625" style="352" customWidth="1"/>
    <col min="14854" max="14854" width="13.33203125" style="352" customWidth="1"/>
    <col min="14855" max="14855" width="9.6640625" style="352" customWidth="1"/>
    <col min="14856" max="14856" width="13.5546875" style="352" customWidth="1"/>
    <col min="14857" max="14857" width="10.5546875" style="352" customWidth="1"/>
    <col min="14858" max="14858" width="11.33203125" style="352" customWidth="1"/>
    <col min="14859" max="14859" width="8.6640625" style="352" customWidth="1"/>
    <col min="14860" max="14860" width="9" style="352" customWidth="1"/>
    <col min="14861" max="14861" width="6.6640625" style="352" customWidth="1"/>
    <col min="14862" max="14862" width="11.44140625" style="352" customWidth="1"/>
    <col min="14863" max="14863" width="12.33203125" style="352" customWidth="1"/>
    <col min="14864" max="14864" width="11.33203125" style="352" customWidth="1"/>
    <col min="14865" max="14865" width="12.44140625" style="352" customWidth="1"/>
    <col min="14866" max="14866" width="13" style="352" customWidth="1"/>
    <col min="14867" max="14867" width="9.5546875" style="352" customWidth="1"/>
    <col min="14868" max="14868" width="11.44140625" style="352" customWidth="1"/>
    <col min="14869" max="15098" width="9.109375" style="352"/>
    <col min="15099" max="15099" width="9.44140625" style="352" customWidth="1"/>
    <col min="15100" max="15100" width="31.44140625" style="352" customWidth="1"/>
    <col min="15101" max="15106" width="0" style="352" hidden="1" customWidth="1"/>
    <col min="15107" max="15107" width="8.6640625" style="352" customWidth="1"/>
    <col min="15108" max="15108" width="8.109375" style="352" customWidth="1"/>
    <col min="15109" max="15109" width="14.44140625" style="352" customWidth="1"/>
    <col min="15110" max="15110" width="13.33203125" style="352" customWidth="1"/>
    <col min="15111" max="15111" width="9.6640625" style="352" customWidth="1"/>
    <col min="15112" max="15112" width="13.5546875" style="352" customWidth="1"/>
    <col min="15113" max="15113" width="10.5546875" style="352" customWidth="1"/>
    <col min="15114" max="15114" width="11.33203125" style="352" customWidth="1"/>
    <col min="15115" max="15115" width="8.6640625" style="352" customWidth="1"/>
    <col min="15116" max="15116" width="9" style="352" customWidth="1"/>
    <col min="15117" max="15117" width="6.6640625" style="352" customWidth="1"/>
    <col min="15118" max="15118" width="11.44140625" style="352" customWidth="1"/>
    <col min="15119" max="15119" width="12.33203125" style="352" customWidth="1"/>
    <col min="15120" max="15120" width="11.33203125" style="352" customWidth="1"/>
    <col min="15121" max="15121" width="12.44140625" style="352" customWidth="1"/>
    <col min="15122" max="15122" width="13" style="352" customWidth="1"/>
    <col min="15123" max="15123" width="9.5546875" style="352" customWidth="1"/>
    <col min="15124" max="15124" width="11.44140625" style="352" customWidth="1"/>
    <col min="15125" max="15354" width="9.109375" style="352"/>
    <col min="15355" max="15355" width="9.44140625" style="352" customWidth="1"/>
    <col min="15356" max="15356" width="31.44140625" style="352" customWidth="1"/>
    <col min="15357" max="15362" width="0" style="352" hidden="1" customWidth="1"/>
    <col min="15363" max="15363" width="8.6640625" style="352" customWidth="1"/>
    <col min="15364" max="15364" width="8.109375" style="352" customWidth="1"/>
    <col min="15365" max="15365" width="14.44140625" style="352" customWidth="1"/>
    <col min="15366" max="15366" width="13.33203125" style="352" customWidth="1"/>
    <col min="15367" max="15367" width="9.6640625" style="352" customWidth="1"/>
    <col min="15368" max="15368" width="13.5546875" style="352" customWidth="1"/>
    <col min="15369" max="15369" width="10.5546875" style="352" customWidth="1"/>
    <col min="15370" max="15370" width="11.33203125" style="352" customWidth="1"/>
    <col min="15371" max="15371" width="8.6640625" style="352" customWidth="1"/>
    <col min="15372" max="15372" width="9" style="352" customWidth="1"/>
    <col min="15373" max="15373" width="6.6640625" style="352" customWidth="1"/>
    <col min="15374" max="15374" width="11.44140625" style="352" customWidth="1"/>
    <col min="15375" max="15375" width="12.33203125" style="352" customWidth="1"/>
    <col min="15376" max="15376" width="11.33203125" style="352" customWidth="1"/>
    <col min="15377" max="15377" width="12.44140625" style="352" customWidth="1"/>
    <col min="15378" max="15378" width="13" style="352" customWidth="1"/>
    <col min="15379" max="15379" width="9.5546875" style="352" customWidth="1"/>
    <col min="15380" max="15380" width="11.44140625" style="352" customWidth="1"/>
    <col min="15381" max="15610" width="9.109375" style="352"/>
    <col min="15611" max="15611" width="9.44140625" style="352" customWidth="1"/>
    <col min="15612" max="15612" width="31.44140625" style="352" customWidth="1"/>
    <col min="15613" max="15618" width="0" style="352" hidden="1" customWidth="1"/>
    <col min="15619" max="15619" width="8.6640625" style="352" customWidth="1"/>
    <col min="15620" max="15620" width="8.109375" style="352" customWidth="1"/>
    <col min="15621" max="15621" width="14.44140625" style="352" customWidth="1"/>
    <col min="15622" max="15622" width="13.33203125" style="352" customWidth="1"/>
    <col min="15623" max="15623" width="9.6640625" style="352" customWidth="1"/>
    <col min="15624" max="15624" width="13.5546875" style="352" customWidth="1"/>
    <col min="15625" max="15625" width="10.5546875" style="352" customWidth="1"/>
    <col min="15626" max="15626" width="11.33203125" style="352" customWidth="1"/>
    <col min="15627" max="15627" width="8.6640625" style="352" customWidth="1"/>
    <col min="15628" max="15628" width="9" style="352" customWidth="1"/>
    <col min="15629" max="15629" width="6.6640625" style="352" customWidth="1"/>
    <col min="15630" max="15630" width="11.44140625" style="352" customWidth="1"/>
    <col min="15631" max="15631" width="12.33203125" style="352" customWidth="1"/>
    <col min="15632" max="15632" width="11.33203125" style="352" customWidth="1"/>
    <col min="15633" max="15633" width="12.44140625" style="352" customWidth="1"/>
    <col min="15634" max="15634" width="13" style="352" customWidth="1"/>
    <col min="15635" max="15635" width="9.5546875" style="352" customWidth="1"/>
    <col min="15636" max="15636" width="11.44140625" style="352" customWidth="1"/>
    <col min="15637" max="15866" width="9.109375" style="352"/>
    <col min="15867" max="15867" width="9.44140625" style="352" customWidth="1"/>
    <col min="15868" max="15868" width="31.44140625" style="352" customWidth="1"/>
    <col min="15869" max="15874" width="0" style="352" hidden="1" customWidth="1"/>
    <col min="15875" max="15875" width="8.6640625" style="352" customWidth="1"/>
    <col min="15876" max="15876" width="8.109375" style="352" customWidth="1"/>
    <col min="15877" max="15877" width="14.44140625" style="352" customWidth="1"/>
    <col min="15878" max="15878" width="13.33203125" style="352" customWidth="1"/>
    <col min="15879" max="15879" width="9.6640625" style="352" customWidth="1"/>
    <col min="15880" max="15880" width="13.5546875" style="352" customWidth="1"/>
    <col min="15881" max="15881" width="10.5546875" style="352" customWidth="1"/>
    <col min="15882" max="15882" width="11.33203125" style="352" customWidth="1"/>
    <col min="15883" max="15883" width="8.6640625" style="352" customWidth="1"/>
    <col min="15884" max="15884" width="9" style="352" customWidth="1"/>
    <col min="15885" max="15885" width="6.6640625" style="352" customWidth="1"/>
    <col min="15886" max="15886" width="11.44140625" style="352" customWidth="1"/>
    <col min="15887" max="15887" width="12.33203125" style="352" customWidth="1"/>
    <col min="15888" max="15888" width="11.33203125" style="352" customWidth="1"/>
    <col min="15889" max="15889" width="12.44140625" style="352" customWidth="1"/>
    <col min="15890" max="15890" width="13" style="352" customWidth="1"/>
    <col min="15891" max="15891" width="9.5546875" style="352" customWidth="1"/>
    <col min="15892" max="15892" width="11.44140625" style="352" customWidth="1"/>
    <col min="15893" max="16122" width="9.109375" style="352"/>
    <col min="16123" max="16123" width="9.44140625" style="352" customWidth="1"/>
    <col min="16124" max="16124" width="31.44140625" style="352" customWidth="1"/>
    <col min="16125" max="16130" width="0" style="352" hidden="1" customWidth="1"/>
    <col min="16131" max="16131" width="8.6640625" style="352" customWidth="1"/>
    <col min="16132" max="16132" width="8.109375" style="352" customWidth="1"/>
    <col min="16133" max="16133" width="14.44140625" style="352" customWidth="1"/>
    <col min="16134" max="16134" width="13.33203125" style="352" customWidth="1"/>
    <col min="16135" max="16135" width="9.6640625" style="352" customWidth="1"/>
    <col min="16136" max="16136" width="13.5546875" style="352" customWidth="1"/>
    <col min="16137" max="16137" width="10.5546875" style="352" customWidth="1"/>
    <col min="16138" max="16138" width="11.33203125" style="352" customWidth="1"/>
    <col min="16139" max="16139" width="8.6640625" style="352" customWidth="1"/>
    <col min="16140" max="16140" width="9" style="352" customWidth="1"/>
    <col min="16141" max="16141" width="6.6640625" style="352" customWidth="1"/>
    <col min="16142" max="16142" width="11.44140625" style="352" customWidth="1"/>
    <col min="16143" max="16143" width="12.33203125" style="352" customWidth="1"/>
    <col min="16144" max="16144" width="11.33203125" style="352" customWidth="1"/>
    <col min="16145" max="16145" width="12.44140625" style="352" customWidth="1"/>
    <col min="16146" max="16146" width="13" style="352" customWidth="1"/>
    <col min="16147" max="16147" width="9.5546875" style="352" customWidth="1"/>
    <col min="16148" max="16148" width="11.44140625" style="352" customWidth="1"/>
    <col min="16149" max="16384" width="9.109375" style="352"/>
  </cols>
  <sheetData>
    <row r="1" spans="1:21" s="325" customFormat="1" ht="60" customHeight="1" thickBot="1" x14ac:dyDescent="0.3">
      <c r="A1" s="779" t="s">
        <v>1777</v>
      </c>
      <c r="B1" s="779"/>
      <c r="C1" s="779"/>
      <c r="D1" s="779"/>
      <c r="E1" s="779"/>
      <c r="F1" s="779"/>
      <c r="G1" s="779"/>
      <c r="H1" s="779"/>
      <c r="I1" s="779"/>
      <c r="J1" s="779"/>
      <c r="K1" s="779"/>
      <c r="L1" s="779"/>
      <c r="M1" s="779"/>
      <c r="N1" s="779"/>
      <c r="O1" s="779"/>
      <c r="P1" s="779"/>
      <c r="Q1" s="779"/>
      <c r="R1" s="779"/>
      <c r="S1" s="701"/>
      <c r="T1" s="701"/>
    </row>
    <row r="2" spans="1:21" s="325" customFormat="1" ht="17.25" customHeight="1" thickBot="1" x14ac:dyDescent="0.3">
      <c r="A2" s="781" t="s">
        <v>392</v>
      </c>
      <c r="B2" s="783" t="s">
        <v>1292</v>
      </c>
      <c r="C2" s="783" t="s">
        <v>0</v>
      </c>
      <c r="D2" s="783" t="s">
        <v>507</v>
      </c>
      <c r="E2" s="783" t="s">
        <v>1293</v>
      </c>
      <c r="F2" s="783" t="s">
        <v>1511</v>
      </c>
      <c r="G2" s="785" t="s">
        <v>1294</v>
      </c>
      <c r="H2" s="790" t="s">
        <v>1742</v>
      </c>
      <c r="I2" s="790"/>
      <c r="J2" s="791"/>
      <c r="K2" s="791"/>
      <c r="L2" s="791"/>
      <c r="M2" s="791"/>
      <c r="N2" s="791"/>
      <c r="O2" s="791"/>
      <c r="P2" s="791"/>
      <c r="Q2" s="793"/>
      <c r="R2" s="792"/>
      <c r="S2" s="774" t="s">
        <v>1719</v>
      </c>
      <c r="T2" s="774" t="s">
        <v>1718</v>
      </c>
      <c r="U2" s="326" t="s">
        <v>895</v>
      </c>
    </row>
    <row r="3" spans="1:21" s="325" customFormat="1" ht="17.25" customHeight="1" x14ac:dyDescent="0.25">
      <c r="A3" s="782"/>
      <c r="B3" s="784"/>
      <c r="C3" s="784"/>
      <c r="D3" s="784"/>
      <c r="E3" s="784"/>
      <c r="F3" s="784"/>
      <c r="G3" s="786"/>
      <c r="H3" s="627" t="s">
        <v>1295</v>
      </c>
      <c r="I3" s="702" t="s">
        <v>1741</v>
      </c>
      <c r="J3" s="628" t="s">
        <v>1296</v>
      </c>
      <c r="K3" s="628" t="s">
        <v>1741</v>
      </c>
      <c r="L3" s="628" t="s">
        <v>1297</v>
      </c>
      <c r="M3" s="628" t="s">
        <v>1741</v>
      </c>
      <c r="N3" s="628" t="s">
        <v>1298</v>
      </c>
      <c r="O3" s="628" t="s">
        <v>1741</v>
      </c>
      <c r="P3" s="628" t="s">
        <v>1299</v>
      </c>
      <c r="Q3" s="705" t="s">
        <v>1741</v>
      </c>
      <c r="R3" s="629" t="s">
        <v>1300</v>
      </c>
      <c r="S3" s="775"/>
      <c r="T3" s="775"/>
      <c r="U3" s="469"/>
    </row>
    <row r="4" spans="1:21" s="325" customFormat="1" ht="17.25" customHeight="1" x14ac:dyDescent="0.25">
      <c r="A4" s="782"/>
      <c r="B4" s="784"/>
      <c r="C4" s="784"/>
      <c r="D4" s="784"/>
      <c r="E4" s="784"/>
      <c r="F4" s="784"/>
      <c r="G4" s="786"/>
      <c r="H4" s="633" t="s">
        <v>1301</v>
      </c>
      <c r="I4" s="703"/>
      <c r="J4" s="634" t="s">
        <v>1301</v>
      </c>
      <c r="K4" s="634"/>
      <c r="L4" s="634" t="s">
        <v>1301</v>
      </c>
      <c r="M4" s="634"/>
      <c r="N4" s="634" t="s">
        <v>1301</v>
      </c>
      <c r="O4" s="634"/>
      <c r="P4" s="634" t="s">
        <v>1301</v>
      </c>
      <c r="Q4" s="706"/>
      <c r="R4" s="635" t="s">
        <v>1302</v>
      </c>
      <c r="S4" s="775"/>
      <c r="T4" s="775"/>
      <c r="U4" s="469"/>
    </row>
    <row r="5" spans="1:21" s="325" customFormat="1" ht="11.25" customHeight="1" x14ac:dyDescent="0.25">
      <c r="A5" s="328" t="s">
        <v>378</v>
      </c>
      <c r="B5" s="329" t="s">
        <v>1303</v>
      </c>
      <c r="C5" s="329" t="s">
        <v>5</v>
      </c>
      <c r="D5" s="329" t="s">
        <v>6</v>
      </c>
      <c r="E5" s="329" t="s">
        <v>4</v>
      </c>
      <c r="F5" s="330" t="s">
        <v>464</v>
      </c>
      <c r="G5" s="344"/>
      <c r="H5" s="733"/>
      <c r="I5" s="704"/>
      <c r="J5" s="338"/>
      <c r="K5" s="338"/>
      <c r="L5" s="338"/>
      <c r="M5" s="338"/>
      <c r="N5" s="338"/>
      <c r="O5" s="338"/>
      <c r="P5" s="338"/>
      <c r="Q5" s="707"/>
      <c r="R5" s="642"/>
      <c r="S5" s="346"/>
      <c r="T5" s="346"/>
      <c r="U5" s="469"/>
    </row>
    <row r="6" spans="1:21" s="325" customFormat="1" ht="11.25" customHeight="1" x14ac:dyDescent="0.25">
      <c r="A6" s="328" t="s">
        <v>378</v>
      </c>
      <c r="B6" s="329" t="s">
        <v>424</v>
      </c>
      <c r="C6" s="329" t="s">
        <v>5</v>
      </c>
      <c r="D6" s="329" t="s">
        <v>465</v>
      </c>
      <c r="E6" s="329" t="s">
        <v>375</v>
      </c>
      <c r="F6" s="330" t="s">
        <v>464</v>
      </c>
      <c r="G6" s="465"/>
      <c r="H6" s="639"/>
      <c r="I6" s="704"/>
      <c r="J6" s="338"/>
      <c r="K6" s="338"/>
      <c r="L6" s="338"/>
      <c r="M6" s="338"/>
      <c r="N6" s="338"/>
      <c r="O6" s="338"/>
      <c r="P6" s="338"/>
      <c r="Q6" s="707"/>
      <c r="R6" s="642"/>
      <c r="S6" s="346"/>
      <c r="T6" s="346"/>
      <c r="U6" s="469"/>
    </row>
    <row r="7" spans="1:21" s="325" customFormat="1" ht="11.25" customHeight="1" x14ac:dyDescent="0.25">
      <c r="A7" s="328" t="s">
        <v>378</v>
      </c>
      <c r="B7" s="329" t="s">
        <v>424</v>
      </c>
      <c r="C7" s="329" t="s">
        <v>5</v>
      </c>
      <c r="D7" s="329" t="s">
        <v>14</v>
      </c>
      <c r="E7" s="329" t="s">
        <v>13</v>
      </c>
      <c r="F7" s="330" t="s">
        <v>464</v>
      </c>
      <c r="G7" s="465" t="s">
        <v>1268</v>
      </c>
      <c r="H7" s="639"/>
      <c r="I7" s="704"/>
      <c r="J7" s="338"/>
      <c r="K7" s="338"/>
      <c r="L7" s="338"/>
      <c r="M7" s="338"/>
      <c r="N7" s="338"/>
      <c r="O7" s="338"/>
      <c r="P7" s="338"/>
      <c r="Q7" s="707"/>
      <c r="R7" s="642"/>
      <c r="S7" s="346"/>
      <c r="T7" s="346"/>
      <c r="U7" s="469" t="s">
        <v>1305</v>
      </c>
    </row>
    <row r="8" spans="1:21" s="325" customFormat="1" ht="11.25" customHeight="1" x14ac:dyDescent="0.25">
      <c r="A8" s="328" t="s">
        <v>378</v>
      </c>
      <c r="B8" s="329" t="s">
        <v>462</v>
      </c>
      <c r="C8" s="329" t="s">
        <v>5</v>
      </c>
      <c r="D8" s="339" t="s">
        <v>1306</v>
      </c>
      <c r="E8" s="339" t="s">
        <v>17</v>
      </c>
      <c r="F8" s="330" t="s">
        <v>464</v>
      </c>
      <c r="G8" s="345"/>
      <c r="H8" s="639">
        <v>5</v>
      </c>
      <c r="I8" s="704">
        <v>5</v>
      </c>
      <c r="J8" s="338">
        <v>5</v>
      </c>
      <c r="K8" s="338">
        <v>5</v>
      </c>
      <c r="L8" s="338">
        <v>5</v>
      </c>
      <c r="M8" s="338">
        <v>5</v>
      </c>
      <c r="N8" s="338">
        <v>56</v>
      </c>
      <c r="O8" s="338">
        <v>56</v>
      </c>
      <c r="P8" s="338">
        <v>0</v>
      </c>
      <c r="Q8" s="707"/>
      <c r="R8" s="642" t="s">
        <v>1601</v>
      </c>
      <c r="S8" s="346"/>
      <c r="T8" s="346"/>
      <c r="U8" s="469" t="s">
        <v>1576</v>
      </c>
    </row>
    <row r="9" spans="1:21" s="325" customFormat="1" ht="11.25" customHeight="1" x14ac:dyDescent="0.25">
      <c r="A9" s="328" t="s">
        <v>378</v>
      </c>
      <c r="B9" s="329" t="s">
        <v>462</v>
      </c>
      <c r="C9" s="329" t="s">
        <v>5</v>
      </c>
      <c r="D9" s="329" t="s">
        <v>8</v>
      </c>
      <c r="E9" s="329" t="s">
        <v>7</v>
      </c>
      <c r="F9" s="330" t="s">
        <v>464</v>
      </c>
      <c r="G9" s="465"/>
      <c r="H9" s="639">
        <v>0</v>
      </c>
      <c r="I9" s="704"/>
      <c r="J9" s="338">
        <v>5</v>
      </c>
      <c r="K9" s="338">
        <v>5</v>
      </c>
      <c r="L9" s="338"/>
      <c r="M9" s="338"/>
      <c r="N9" s="338">
        <v>14</v>
      </c>
      <c r="O9" s="338">
        <v>14</v>
      </c>
      <c r="P9" s="338">
        <v>0</v>
      </c>
      <c r="Q9" s="707"/>
      <c r="R9" s="642" t="s">
        <v>1601</v>
      </c>
      <c r="S9" s="346"/>
      <c r="T9" s="346"/>
      <c r="U9" s="469"/>
    </row>
    <row r="10" spans="1:21" s="325" customFormat="1" ht="11.25" customHeight="1" x14ac:dyDescent="0.25">
      <c r="A10" s="328" t="s">
        <v>378</v>
      </c>
      <c r="B10" s="329" t="s">
        <v>1303</v>
      </c>
      <c r="C10" s="329" t="s">
        <v>5</v>
      </c>
      <c r="D10" s="329" t="s">
        <v>20</v>
      </c>
      <c r="E10" s="329" t="s">
        <v>19</v>
      </c>
      <c r="F10" s="330" t="s">
        <v>464</v>
      </c>
      <c r="G10" s="465"/>
      <c r="H10" s="639"/>
      <c r="I10" s="704"/>
      <c r="J10" s="338"/>
      <c r="K10" s="338"/>
      <c r="L10" s="338"/>
      <c r="M10" s="338"/>
      <c r="N10" s="338"/>
      <c r="O10" s="338"/>
      <c r="P10" s="338"/>
      <c r="Q10" s="707"/>
      <c r="R10" s="642"/>
      <c r="S10" s="346"/>
      <c r="T10" s="346"/>
      <c r="U10" s="469"/>
    </row>
    <row r="11" spans="1:21" s="325" customFormat="1" ht="10.95" customHeight="1" x14ac:dyDescent="0.25">
      <c r="A11" s="328" t="s">
        <v>378</v>
      </c>
      <c r="B11" s="329" t="s">
        <v>424</v>
      </c>
      <c r="C11" s="329" t="s">
        <v>5</v>
      </c>
      <c r="D11" s="329" t="s">
        <v>364</v>
      </c>
      <c r="E11" s="329" t="s">
        <v>374</v>
      </c>
      <c r="F11" s="330" t="s">
        <v>464</v>
      </c>
      <c r="G11" s="465" t="s">
        <v>1307</v>
      </c>
      <c r="H11" s="639">
        <v>21</v>
      </c>
      <c r="I11" s="704"/>
      <c r="J11" s="338">
        <v>21</v>
      </c>
      <c r="K11" s="338"/>
      <c r="L11" s="338">
        <v>30</v>
      </c>
      <c r="M11" s="338"/>
      <c r="N11" s="338"/>
      <c r="O11" s="338"/>
      <c r="P11" s="338"/>
      <c r="Q11" s="707"/>
      <c r="R11" s="642" t="s">
        <v>1577</v>
      </c>
      <c r="S11" s="346"/>
      <c r="T11" s="346"/>
      <c r="U11" s="469" t="s">
        <v>1305</v>
      </c>
    </row>
    <row r="12" spans="1:21" s="325" customFormat="1" ht="11.25" customHeight="1" x14ac:dyDescent="0.25">
      <c r="A12" s="328" t="s">
        <v>378</v>
      </c>
      <c r="B12" s="329" t="s">
        <v>424</v>
      </c>
      <c r="C12" s="329" t="s">
        <v>5</v>
      </c>
      <c r="D12" s="329" t="s">
        <v>22</v>
      </c>
      <c r="E12" s="329" t="s">
        <v>21</v>
      </c>
      <c r="F12" s="330" t="s">
        <v>464</v>
      </c>
      <c r="G12" s="465" t="s">
        <v>1268</v>
      </c>
      <c r="H12" s="639">
        <v>85</v>
      </c>
      <c r="I12" s="704">
        <v>80</v>
      </c>
      <c r="J12" s="338">
        <v>85</v>
      </c>
      <c r="K12" s="338">
        <v>80</v>
      </c>
      <c r="L12" s="338">
        <v>18</v>
      </c>
      <c r="M12" s="338"/>
      <c r="N12" s="338"/>
      <c r="O12" s="338"/>
      <c r="P12" s="338"/>
      <c r="Q12" s="707"/>
      <c r="R12" s="642" t="s">
        <v>778</v>
      </c>
      <c r="S12" s="346"/>
      <c r="T12" s="346"/>
      <c r="U12" s="469"/>
    </row>
    <row r="13" spans="1:21" s="325" customFormat="1" ht="11.25" customHeight="1" x14ac:dyDescent="0.25">
      <c r="A13" s="328" t="s">
        <v>378</v>
      </c>
      <c r="B13" s="329" t="s">
        <v>462</v>
      </c>
      <c r="C13" s="329" t="s">
        <v>5</v>
      </c>
      <c r="D13" s="329" t="s">
        <v>26</v>
      </c>
      <c r="E13" s="329" t="s">
        <v>25</v>
      </c>
      <c r="F13" s="330" t="s">
        <v>464</v>
      </c>
      <c r="G13" s="465"/>
      <c r="H13" s="639">
        <v>0</v>
      </c>
      <c r="I13" s="704"/>
      <c r="J13" s="338">
        <v>0</v>
      </c>
      <c r="K13" s="338"/>
      <c r="L13" s="338">
        <v>0</v>
      </c>
      <c r="M13" s="338"/>
      <c r="N13" s="338">
        <v>0</v>
      </c>
      <c r="O13" s="338"/>
      <c r="P13" s="338">
        <v>0</v>
      </c>
      <c r="Q13" s="707"/>
      <c r="R13" s="642"/>
      <c r="S13" s="346"/>
      <c r="T13" s="346"/>
      <c r="U13" s="469"/>
    </row>
    <row r="14" spans="1:21" s="325" customFormat="1" ht="11.25" customHeight="1" x14ac:dyDescent="0.25">
      <c r="A14" s="331" t="s">
        <v>3</v>
      </c>
      <c r="B14" s="332"/>
      <c r="C14" s="332"/>
      <c r="D14" s="333"/>
      <c r="E14" s="334"/>
      <c r="F14" s="335"/>
      <c r="G14" s="472"/>
      <c r="H14" s="336">
        <f>SUM(H5:H13)</f>
        <v>111</v>
      </c>
      <c r="I14" s="336">
        <f t="shared" ref="I14:Q14" si="0">SUM(I5:I13)</f>
        <v>85</v>
      </c>
      <c r="J14" s="336">
        <f t="shared" si="0"/>
        <v>116</v>
      </c>
      <c r="K14" s="336">
        <f t="shared" si="0"/>
        <v>90</v>
      </c>
      <c r="L14" s="336">
        <f t="shared" si="0"/>
        <v>53</v>
      </c>
      <c r="M14" s="336">
        <f t="shared" si="0"/>
        <v>5</v>
      </c>
      <c r="N14" s="336">
        <f t="shared" si="0"/>
        <v>70</v>
      </c>
      <c r="O14" s="336">
        <f t="shared" si="0"/>
        <v>70</v>
      </c>
      <c r="P14" s="336">
        <f t="shared" si="0"/>
        <v>0</v>
      </c>
      <c r="Q14" s="336">
        <f t="shared" si="0"/>
        <v>0</v>
      </c>
      <c r="R14" s="336">
        <f>SUM(R5:R13)</f>
        <v>0</v>
      </c>
      <c r="S14" s="336">
        <f>SUM(S5:S13)</f>
        <v>0</v>
      </c>
      <c r="T14" s="336">
        <f>SUM(T5:T13)</f>
        <v>0</v>
      </c>
      <c r="U14" s="469"/>
    </row>
    <row r="15" spans="1:21" s="325" customFormat="1" ht="11.25" customHeight="1" x14ac:dyDescent="0.25">
      <c r="A15" s="328" t="s">
        <v>378</v>
      </c>
      <c r="B15" s="329" t="s">
        <v>462</v>
      </c>
      <c r="C15" s="329" t="s">
        <v>27</v>
      </c>
      <c r="D15" s="329" t="s">
        <v>28</v>
      </c>
      <c r="E15" s="329" t="s">
        <v>30</v>
      </c>
      <c r="F15" s="330" t="s">
        <v>464</v>
      </c>
      <c r="G15" s="344"/>
      <c r="H15" s="639"/>
      <c r="I15" s="704"/>
      <c r="J15" s="338"/>
      <c r="K15" s="338"/>
      <c r="L15" s="338">
        <v>18</v>
      </c>
      <c r="M15" s="338">
        <v>18</v>
      </c>
      <c r="N15" s="338">
        <v>20</v>
      </c>
      <c r="O15" s="338">
        <v>20</v>
      </c>
      <c r="P15" s="338"/>
      <c r="Q15" s="707"/>
      <c r="R15" s="642" t="s">
        <v>1601</v>
      </c>
      <c r="S15" s="346"/>
      <c r="T15" s="346"/>
      <c r="U15" s="469"/>
    </row>
    <row r="16" spans="1:21" s="325" customFormat="1" ht="11.25" customHeight="1" x14ac:dyDescent="0.25">
      <c r="A16" s="328" t="s">
        <v>378</v>
      </c>
      <c r="B16" s="329" t="s">
        <v>462</v>
      </c>
      <c r="C16" s="329" t="s">
        <v>27</v>
      </c>
      <c r="D16" s="329" t="s">
        <v>363</v>
      </c>
      <c r="E16" s="329" t="s">
        <v>376</v>
      </c>
      <c r="F16" s="330" t="s">
        <v>464</v>
      </c>
      <c r="G16" s="465"/>
      <c r="H16" s="639"/>
      <c r="I16" s="704"/>
      <c r="J16" s="338"/>
      <c r="K16" s="338"/>
      <c r="L16" s="338">
        <v>8</v>
      </c>
      <c r="M16" s="338">
        <v>8</v>
      </c>
      <c r="N16" s="338">
        <v>35</v>
      </c>
      <c r="O16" s="338">
        <v>35</v>
      </c>
      <c r="P16" s="338"/>
      <c r="Q16" s="707"/>
      <c r="R16" s="642" t="s">
        <v>1601</v>
      </c>
      <c r="S16" s="346"/>
      <c r="T16" s="346"/>
      <c r="U16" s="469"/>
    </row>
    <row r="17" spans="1:21" s="325" customFormat="1" ht="11.25" customHeight="1" x14ac:dyDescent="0.25">
      <c r="A17" s="328" t="s">
        <v>378</v>
      </c>
      <c r="B17" s="329" t="s">
        <v>1308</v>
      </c>
      <c r="C17" s="329" t="s">
        <v>27</v>
      </c>
      <c r="D17" s="329" t="s">
        <v>790</v>
      </c>
      <c r="E17" s="329" t="s">
        <v>789</v>
      </c>
      <c r="F17" s="330" t="s">
        <v>464</v>
      </c>
      <c r="G17" s="344"/>
      <c r="H17" s="639"/>
      <c r="I17" s="704"/>
      <c r="J17" s="338"/>
      <c r="K17" s="338"/>
      <c r="L17" s="338"/>
      <c r="M17" s="338"/>
      <c r="N17" s="338"/>
      <c r="O17" s="338"/>
      <c r="P17" s="338"/>
      <c r="Q17" s="707"/>
      <c r="R17" s="642"/>
      <c r="S17" s="346"/>
      <c r="T17" s="346"/>
      <c r="U17" s="469"/>
    </row>
    <row r="18" spans="1:21" s="325" customFormat="1" ht="11.25" customHeight="1" x14ac:dyDescent="0.25">
      <c r="A18" s="328" t="s">
        <v>378</v>
      </c>
      <c r="B18" s="329" t="s">
        <v>424</v>
      </c>
      <c r="C18" s="329" t="s">
        <v>27</v>
      </c>
      <c r="D18" s="329" t="s">
        <v>362</v>
      </c>
      <c r="E18" s="329" t="s">
        <v>29</v>
      </c>
      <c r="F18" s="330" t="s">
        <v>466</v>
      </c>
      <c r="G18" s="344" t="s">
        <v>1268</v>
      </c>
      <c r="H18" s="639"/>
      <c r="I18" s="704"/>
      <c r="J18" s="338"/>
      <c r="K18" s="338"/>
      <c r="L18" s="338"/>
      <c r="M18" s="338"/>
      <c r="N18" s="338"/>
      <c r="O18" s="338"/>
      <c r="P18" s="338"/>
      <c r="Q18" s="707"/>
      <c r="R18" s="642"/>
      <c r="S18" s="346"/>
      <c r="T18" s="346"/>
      <c r="U18" s="469"/>
    </row>
    <row r="19" spans="1:21" s="325" customFormat="1" ht="11.25" customHeight="1" x14ac:dyDescent="0.25">
      <c r="A19" s="328" t="s">
        <v>378</v>
      </c>
      <c r="B19" s="329" t="s">
        <v>1308</v>
      </c>
      <c r="C19" s="329" t="s">
        <v>27</v>
      </c>
      <c r="D19" s="329" t="s">
        <v>875</v>
      </c>
      <c r="E19" s="329" t="s">
        <v>876</v>
      </c>
      <c r="F19" s="330" t="s">
        <v>464</v>
      </c>
      <c r="G19" s="463"/>
      <c r="H19" s="639"/>
      <c r="I19" s="704"/>
      <c r="J19" s="338"/>
      <c r="K19" s="338"/>
      <c r="L19" s="338"/>
      <c r="M19" s="338"/>
      <c r="N19" s="338"/>
      <c r="O19" s="338"/>
      <c r="P19" s="338"/>
      <c r="Q19" s="707"/>
      <c r="R19" s="642"/>
      <c r="S19" s="346"/>
      <c r="T19" s="346"/>
      <c r="U19" s="469"/>
    </row>
    <row r="20" spans="1:21" s="325" customFormat="1" ht="11.25" customHeight="1" x14ac:dyDescent="0.25">
      <c r="A20" s="331" t="s">
        <v>3</v>
      </c>
      <c r="B20" s="332"/>
      <c r="C20" s="332"/>
      <c r="D20" s="333"/>
      <c r="E20" s="334"/>
      <c r="F20" s="335"/>
      <c r="G20" s="472"/>
      <c r="H20" s="336">
        <f>SUM(H15:H19)</f>
        <v>0</v>
      </c>
      <c r="I20" s="336">
        <f t="shared" ref="I20:Q20" si="1">SUM(I15:I19)</f>
        <v>0</v>
      </c>
      <c r="J20" s="336">
        <f t="shared" si="1"/>
        <v>0</v>
      </c>
      <c r="K20" s="336">
        <f t="shared" si="1"/>
        <v>0</v>
      </c>
      <c r="L20" s="336">
        <f t="shared" si="1"/>
        <v>26</v>
      </c>
      <c r="M20" s="336">
        <f t="shared" si="1"/>
        <v>26</v>
      </c>
      <c r="N20" s="336">
        <f t="shared" si="1"/>
        <v>55</v>
      </c>
      <c r="O20" s="336">
        <f t="shared" si="1"/>
        <v>55</v>
      </c>
      <c r="P20" s="336">
        <f t="shared" si="1"/>
        <v>0</v>
      </c>
      <c r="Q20" s="336">
        <f t="shared" si="1"/>
        <v>0</v>
      </c>
      <c r="R20" s="336">
        <f t="shared" ref="R20:T20" si="2">SUM(R15:R19)</f>
        <v>0</v>
      </c>
      <c r="S20" s="336">
        <f t="shared" si="2"/>
        <v>0</v>
      </c>
      <c r="T20" s="336">
        <f t="shared" si="2"/>
        <v>0</v>
      </c>
      <c r="U20" s="469"/>
    </row>
    <row r="21" spans="1:21" s="325" customFormat="1" ht="11.25" customHeight="1" x14ac:dyDescent="0.25">
      <c r="A21" s="328" t="s">
        <v>378</v>
      </c>
      <c r="B21" s="329" t="s">
        <v>424</v>
      </c>
      <c r="C21" s="329" t="s">
        <v>480</v>
      </c>
      <c r="D21" s="338" t="s">
        <v>1279</v>
      </c>
      <c r="E21" s="329" t="s">
        <v>1270</v>
      </c>
      <c r="F21" s="330" t="s">
        <v>464</v>
      </c>
      <c r="G21" s="344" t="s">
        <v>1307</v>
      </c>
      <c r="H21" s="639"/>
      <c r="I21" s="704"/>
      <c r="J21" s="338"/>
      <c r="K21" s="338"/>
      <c r="L21" s="338"/>
      <c r="M21" s="338"/>
      <c r="N21" s="338"/>
      <c r="O21" s="338"/>
      <c r="P21" s="338"/>
      <c r="Q21" s="707"/>
      <c r="R21" s="642"/>
      <c r="S21" s="346"/>
      <c r="T21" s="346"/>
      <c r="U21" s="469"/>
    </row>
    <row r="22" spans="1:21" s="325" customFormat="1" ht="11.25" customHeight="1" x14ac:dyDescent="0.25">
      <c r="A22" s="328" t="s">
        <v>378</v>
      </c>
      <c r="B22" s="329" t="s">
        <v>462</v>
      </c>
      <c r="C22" s="329" t="s">
        <v>480</v>
      </c>
      <c r="D22" s="338" t="s">
        <v>41</v>
      </c>
      <c r="E22" s="329" t="s">
        <v>40</v>
      </c>
      <c r="F22" s="330" t="s">
        <v>464</v>
      </c>
      <c r="G22" s="465"/>
      <c r="H22" s="639"/>
      <c r="I22" s="704"/>
      <c r="J22" s="338"/>
      <c r="K22" s="338"/>
      <c r="L22" s="338">
        <v>10</v>
      </c>
      <c r="M22" s="338">
        <v>10</v>
      </c>
      <c r="N22" s="338">
        <v>15</v>
      </c>
      <c r="O22" s="338">
        <v>10</v>
      </c>
      <c r="P22" s="338"/>
      <c r="Q22" s="707"/>
      <c r="R22" s="642" t="s">
        <v>1601</v>
      </c>
      <c r="S22" s="346"/>
      <c r="T22" s="346"/>
      <c r="U22" s="469"/>
    </row>
    <row r="23" spans="1:21" s="325" customFormat="1" ht="11.25" customHeight="1" x14ac:dyDescent="0.25">
      <c r="A23" s="328" t="s">
        <v>378</v>
      </c>
      <c r="B23" s="329" t="s">
        <v>462</v>
      </c>
      <c r="C23" s="329" t="s">
        <v>480</v>
      </c>
      <c r="D23" s="338" t="s">
        <v>72</v>
      </c>
      <c r="E23" s="329" t="s">
        <v>71</v>
      </c>
      <c r="F23" s="330" t="s">
        <v>464</v>
      </c>
      <c r="G23" s="344"/>
      <c r="H23" s="639"/>
      <c r="I23" s="704"/>
      <c r="J23" s="338"/>
      <c r="K23" s="338"/>
      <c r="L23" s="338"/>
      <c r="M23" s="338"/>
      <c r="N23" s="338">
        <v>2</v>
      </c>
      <c r="O23" s="338">
        <v>2</v>
      </c>
      <c r="P23" s="338"/>
      <c r="Q23" s="707"/>
      <c r="R23" s="642" t="s">
        <v>1601</v>
      </c>
      <c r="S23" s="346"/>
      <c r="T23" s="346"/>
      <c r="U23" s="469"/>
    </row>
    <row r="24" spans="1:21" s="325" customFormat="1" ht="11.25" customHeight="1" x14ac:dyDescent="0.25">
      <c r="A24" s="328" t="s">
        <v>378</v>
      </c>
      <c r="B24" s="329" t="s">
        <v>462</v>
      </c>
      <c r="C24" s="329" t="s">
        <v>480</v>
      </c>
      <c r="D24" s="338" t="s">
        <v>43</v>
      </c>
      <c r="E24" s="329" t="s">
        <v>42</v>
      </c>
      <c r="F24" s="330" t="s">
        <v>464</v>
      </c>
      <c r="G24" s="465"/>
      <c r="H24" s="639"/>
      <c r="I24" s="704"/>
      <c r="J24" s="338"/>
      <c r="K24" s="338"/>
      <c r="L24" s="338"/>
      <c r="M24" s="338"/>
      <c r="N24" s="338">
        <v>5</v>
      </c>
      <c r="O24" s="338">
        <v>5</v>
      </c>
      <c r="P24" s="338"/>
      <c r="Q24" s="707"/>
      <c r="R24" s="642" t="s">
        <v>1601</v>
      </c>
      <c r="S24" s="346"/>
      <c r="T24" s="346"/>
      <c r="U24" s="469"/>
    </row>
    <row r="25" spans="1:21" s="325" customFormat="1" ht="11.25" customHeight="1" x14ac:dyDescent="0.25">
      <c r="A25" s="328" t="s">
        <v>378</v>
      </c>
      <c r="B25" s="329" t="s">
        <v>462</v>
      </c>
      <c r="C25" s="339" t="s">
        <v>480</v>
      </c>
      <c r="D25" s="521" t="s">
        <v>1309</v>
      </c>
      <c r="E25" s="339" t="s">
        <v>75</v>
      </c>
      <c r="F25" s="343" t="s">
        <v>464</v>
      </c>
      <c r="G25" s="345"/>
      <c r="H25" s="639">
        <v>5</v>
      </c>
      <c r="I25" s="704">
        <v>5</v>
      </c>
      <c r="J25" s="338"/>
      <c r="K25" s="338"/>
      <c r="L25" s="338">
        <v>10</v>
      </c>
      <c r="M25" s="338"/>
      <c r="N25" s="338">
        <v>20</v>
      </c>
      <c r="O25" s="338">
        <v>10</v>
      </c>
      <c r="P25" s="338"/>
      <c r="Q25" s="707"/>
      <c r="R25" s="642" t="s">
        <v>1601</v>
      </c>
      <c r="S25" s="346"/>
      <c r="T25" s="346"/>
      <c r="U25" s="469"/>
    </row>
    <row r="26" spans="1:21" s="325" customFormat="1" ht="11.25" customHeight="1" x14ac:dyDescent="0.25">
      <c r="A26" s="328" t="s">
        <v>378</v>
      </c>
      <c r="B26" s="329" t="s">
        <v>462</v>
      </c>
      <c r="C26" s="329" t="s">
        <v>480</v>
      </c>
      <c r="D26" s="338" t="s">
        <v>44</v>
      </c>
      <c r="E26" s="329" t="s">
        <v>45</v>
      </c>
      <c r="F26" s="330" t="s">
        <v>464</v>
      </c>
      <c r="G26" s="465"/>
      <c r="H26" s="639"/>
      <c r="I26" s="704"/>
      <c r="J26" s="338"/>
      <c r="K26" s="338"/>
      <c r="L26" s="338"/>
      <c r="M26" s="338"/>
      <c r="N26" s="338"/>
      <c r="O26" s="338"/>
      <c r="P26" s="338"/>
      <c r="Q26" s="707"/>
      <c r="R26" s="642"/>
      <c r="S26" s="346"/>
      <c r="T26" s="346"/>
      <c r="U26" s="469"/>
    </row>
    <row r="27" spans="1:21" s="325" customFormat="1" ht="11.25" customHeight="1" x14ac:dyDescent="0.25">
      <c r="A27" s="328" t="s">
        <v>378</v>
      </c>
      <c r="B27" s="329" t="s">
        <v>424</v>
      </c>
      <c r="C27" s="329" t="s">
        <v>480</v>
      </c>
      <c r="D27" s="338" t="s">
        <v>52</v>
      </c>
      <c r="E27" s="338" t="s">
        <v>51</v>
      </c>
      <c r="F27" s="330" t="s">
        <v>464</v>
      </c>
      <c r="G27" s="465" t="s">
        <v>1307</v>
      </c>
      <c r="H27" s="639">
        <v>0</v>
      </c>
      <c r="I27" s="704"/>
      <c r="J27" s="338">
        <v>0</v>
      </c>
      <c r="K27" s="338"/>
      <c r="L27" s="338">
        <v>0</v>
      </c>
      <c r="M27" s="338"/>
      <c r="N27" s="338">
        <v>0</v>
      </c>
      <c r="O27" s="338"/>
      <c r="P27" s="338">
        <v>0</v>
      </c>
      <c r="Q27" s="707"/>
      <c r="R27" s="642"/>
      <c r="S27" s="346"/>
      <c r="T27" s="346"/>
      <c r="U27" s="469"/>
    </row>
    <row r="28" spans="1:21" s="325" customFormat="1" ht="11.25" customHeight="1" x14ac:dyDescent="0.25">
      <c r="A28" s="328" t="s">
        <v>378</v>
      </c>
      <c r="B28" s="329" t="s">
        <v>462</v>
      </c>
      <c r="C28" s="329" t="s">
        <v>480</v>
      </c>
      <c r="D28" s="338" t="s">
        <v>1310</v>
      </c>
      <c r="E28" s="329" t="s">
        <v>89</v>
      </c>
      <c r="F28" s="330" t="s">
        <v>464</v>
      </c>
      <c r="G28" s="465"/>
      <c r="H28" s="639"/>
      <c r="I28" s="704"/>
      <c r="J28" s="338"/>
      <c r="K28" s="338"/>
      <c r="L28" s="338">
        <v>5</v>
      </c>
      <c r="M28" s="338">
        <v>5</v>
      </c>
      <c r="N28" s="338">
        <v>5</v>
      </c>
      <c r="O28" s="338">
        <v>5</v>
      </c>
      <c r="P28" s="338"/>
      <c r="Q28" s="707"/>
      <c r="R28" s="642" t="s">
        <v>1601</v>
      </c>
      <c r="S28" s="346"/>
      <c r="T28" s="346"/>
      <c r="U28" s="469"/>
    </row>
    <row r="29" spans="1:21" s="325" customFormat="1" ht="11.25" customHeight="1" x14ac:dyDescent="0.25">
      <c r="A29" s="328" t="s">
        <v>378</v>
      </c>
      <c r="B29" s="329" t="s">
        <v>462</v>
      </c>
      <c r="C29" s="329" t="s">
        <v>480</v>
      </c>
      <c r="D29" s="338" t="s">
        <v>92</v>
      </c>
      <c r="E29" s="329" t="s">
        <v>91</v>
      </c>
      <c r="F29" s="330" t="s">
        <v>464</v>
      </c>
      <c r="G29" s="344"/>
      <c r="H29" s="639"/>
      <c r="I29" s="704"/>
      <c r="J29" s="338"/>
      <c r="K29" s="338"/>
      <c r="L29" s="338"/>
      <c r="M29" s="338"/>
      <c r="N29" s="338"/>
      <c r="O29" s="338"/>
      <c r="P29" s="338"/>
      <c r="Q29" s="707"/>
      <c r="R29" s="642"/>
      <c r="S29" s="346"/>
      <c r="T29" s="346"/>
      <c r="U29" s="469"/>
    </row>
    <row r="30" spans="1:21" s="325" customFormat="1" ht="11.25" customHeight="1" x14ac:dyDescent="0.25">
      <c r="A30" s="328" t="s">
        <v>378</v>
      </c>
      <c r="B30" s="329" t="s">
        <v>462</v>
      </c>
      <c r="C30" s="329" t="s">
        <v>480</v>
      </c>
      <c r="D30" s="338" t="s">
        <v>100</v>
      </c>
      <c r="E30" s="329" t="s">
        <v>99</v>
      </c>
      <c r="F30" s="330" t="s">
        <v>464</v>
      </c>
      <c r="G30" s="465"/>
      <c r="H30" s="639"/>
      <c r="I30" s="704"/>
      <c r="J30" s="338"/>
      <c r="K30" s="338"/>
      <c r="L30" s="338"/>
      <c r="M30" s="338"/>
      <c r="N30" s="338"/>
      <c r="O30" s="338"/>
      <c r="P30" s="338"/>
      <c r="Q30" s="707"/>
      <c r="R30" s="642"/>
      <c r="S30" s="346"/>
      <c r="T30" s="346"/>
      <c r="U30" s="469"/>
    </row>
    <row r="31" spans="1:21" s="325" customFormat="1" ht="11.25" customHeight="1" x14ac:dyDescent="0.25">
      <c r="A31" s="328" t="s">
        <v>378</v>
      </c>
      <c r="B31" s="329" t="s">
        <v>462</v>
      </c>
      <c r="C31" s="329" t="s">
        <v>480</v>
      </c>
      <c r="D31" s="338" t="s">
        <v>551</v>
      </c>
      <c r="E31" s="329" t="s">
        <v>46</v>
      </c>
      <c r="F31" s="330" t="s">
        <v>464</v>
      </c>
      <c r="G31" s="344"/>
      <c r="H31" s="639"/>
      <c r="I31" s="704"/>
      <c r="J31" s="338"/>
      <c r="K31" s="338"/>
      <c r="L31" s="338"/>
      <c r="M31" s="338"/>
      <c r="N31" s="338">
        <v>3</v>
      </c>
      <c r="O31" s="338">
        <v>3</v>
      </c>
      <c r="P31" s="338">
        <v>1</v>
      </c>
      <c r="Q31" s="707">
        <v>1</v>
      </c>
      <c r="R31" s="642" t="s">
        <v>1601</v>
      </c>
      <c r="S31" s="346"/>
      <c r="T31" s="346"/>
      <c r="U31" s="469"/>
    </row>
    <row r="32" spans="1:21" s="325" customFormat="1" ht="11.25" customHeight="1" x14ac:dyDescent="0.25">
      <c r="A32" s="328" t="s">
        <v>378</v>
      </c>
      <c r="B32" s="329" t="s">
        <v>1308</v>
      </c>
      <c r="C32" s="329" t="s">
        <v>480</v>
      </c>
      <c r="D32" s="338" t="s">
        <v>1311</v>
      </c>
      <c r="E32" s="329" t="s">
        <v>107</v>
      </c>
      <c r="F32" s="330" t="s">
        <v>464</v>
      </c>
      <c r="G32" s="345"/>
      <c r="H32" s="639"/>
      <c r="I32" s="704"/>
      <c r="J32" s="338">
        <v>53</v>
      </c>
      <c r="K32" s="338">
        <v>53</v>
      </c>
      <c r="L32" s="338">
        <v>20</v>
      </c>
      <c r="M32" s="338"/>
      <c r="N32" s="338"/>
      <c r="O32" s="338"/>
      <c r="P32" s="338"/>
      <c r="Q32" s="707"/>
      <c r="R32" s="642" t="s">
        <v>1564</v>
      </c>
      <c r="S32" s="346"/>
      <c r="T32" s="346"/>
      <c r="U32" s="469"/>
    </row>
    <row r="33" spans="1:21" s="325" customFormat="1" ht="11.25" customHeight="1" x14ac:dyDescent="0.25">
      <c r="A33" s="328" t="s">
        <v>378</v>
      </c>
      <c r="B33" s="329" t="s">
        <v>462</v>
      </c>
      <c r="C33" s="329" t="s">
        <v>480</v>
      </c>
      <c r="D33" s="338" t="s">
        <v>1312</v>
      </c>
      <c r="E33" s="329" t="s">
        <v>117</v>
      </c>
      <c r="F33" s="330" t="s">
        <v>464</v>
      </c>
      <c r="G33" s="344"/>
      <c r="H33" s="639"/>
      <c r="I33" s="704"/>
      <c r="J33" s="338"/>
      <c r="K33" s="338"/>
      <c r="L33" s="338"/>
      <c r="M33" s="338"/>
      <c r="N33" s="338">
        <v>4</v>
      </c>
      <c r="O33" s="338">
        <v>4</v>
      </c>
      <c r="P33" s="338"/>
      <c r="Q33" s="707"/>
      <c r="R33" s="642" t="s">
        <v>1601</v>
      </c>
      <c r="S33" s="346"/>
      <c r="T33" s="346"/>
      <c r="U33" s="469"/>
    </row>
    <row r="34" spans="1:21" s="341" customFormat="1" ht="11.25" customHeight="1" x14ac:dyDescent="0.25">
      <c r="A34" s="328" t="s">
        <v>378</v>
      </c>
      <c r="B34" s="329" t="s">
        <v>1330</v>
      </c>
      <c r="C34" s="338" t="s">
        <v>480</v>
      </c>
      <c r="D34" s="338" t="s">
        <v>1157</v>
      </c>
      <c r="E34" s="338" t="s">
        <v>1163</v>
      </c>
      <c r="F34" s="340" t="s">
        <v>464</v>
      </c>
      <c r="G34" s="345"/>
      <c r="H34" s="639"/>
      <c r="I34" s="704"/>
      <c r="J34" s="338"/>
      <c r="K34" s="338"/>
      <c r="L34" s="338"/>
      <c r="M34" s="338"/>
      <c r="N34" s="338"/>
      <c r="O34" s="338"/>
      <c r="P34" s="338"/>
      <c r="Q34" s="707"/>
      <c r="R34" s="642"/>
      <c r="S34" s="346"/>
      <c r="T34" s="346"/>
      <c r="U34" s="690"/>
    </row>
    <row r="35" spans="1:21" s="325" customFormat="1" ht="11.25" customHeight="1" x14ac:dyDescent="0.25">
      <c r="A35" s="328" t="s">
        <v>378</v>
      </c>
      <c r="B35" s="329" t="s">
        <v>424</v>
      </c>
      <c r="C35" s="329" t="s">
        <v>480</v>
      </c>
      <c r="D35" s="338" t="s">
        <v>1313</v>
      </c>
      <c r="E35" s="329" t="s">
        <v>125</v>
      </c>
      <c r="F35" s="330" t="s">
        <v>464</v>
      </c>
      <c r="G35" s="466" t="s">
        <v>1307</v>
      </c>
      <c r="H35" s="639"/>
      <c r="I35" s="704"/>
      <c r="J35" s="338"/>
      <c r="K35" s="338"/>
      <c r="L35" s="338"/>
      <c r="M35" s="338"/>
      <c r="N35" s="338"/>
      <c r="O35" s="338"/>
      <c r="P35" s="338"/>
      <c r="Q35" s="707"/>
      <c r="R35" s="642"/>
      <c r="S35" s="346"/>
      <c r="T35" s="346"/>
      <c r="U35" s="469"/>
    </row>
    <row r="36" spans="1:21" s="325" customFormat="1" ht="11.25" customHeight="1" x14ac:dyDescent="0.25">
      <c r="A36" s="328" t="s">
        <v>378</v>
      </c>
      <c r="B36" s="329" t="s">
        <v>424</v>
      </c>
      <c r="C36" s="329" t="s">
        <v>480</v>
      </c>
      <c r="D36" s="338" t="s">
        <v>1314</v>
      </c>
      <c r="E36" s="329" t="s">
        <v>139</v>
      </c>
      <c r="F36" s="330" t="s">
        <v>464</v>
      </c>
      <c r="G36" s="466" t="s">
        <v>1307</v>
      </c>
      <c r="H36" s="639"/>
      <c r="I36" s="704"/>
      <c r="J36" s="338"/>
      <c r="K36" s="338"/>
      <c r="L36" s="338"/>
      <c r="M36" s="338"/>
      <c r="N36" s="338"/>
      <c r="O36" s="338"/>
      <c r="P36" s="338"/>
      <c r="Q36" s="707"/>
      <c r="R36" s="642"/>
      <c r="S36" s="346"/>
      <c r="T36" s="346"/>
      <c r="U36" s="469" t="s">
        <v>1305</v>
      </c>
    </row>
    <row r="37" spans="1:21" s="325" customFormat="1" ht="11.25" customHeight="1" x14ac:dyDescent="0.25">
      <c r="A37" s="328" t="s">
        <v>378</v>
      </c>
      <c r="B37" s="329" t="s">
        <v>424</v>
      </c>
      <c r="C37" s="329" t="s">
        <v>480</v>
      </c>
      <c r="D37" s="338" t="s">
        <v>915</v>
      </c>
      <c r="E37" s="329" t="s">
        <v>916</v>
      </c>
      <c r="F37" s="330" t="s">
        <v>464</v>
      </c>
      <c r="G37" s="344" t="s">
        <v>1307</v>
      </c>
      <c r="H37" s="639"/>
      <c r="I37" s="704"/>
      <c r="J37" s="338"/>
      <c r="K37" s="338"/>
      <c r="L37" s="338"/>
      <c r="M37" s="338"/>
      <c r="N37" s="338"/>
      <c r="O37" s="338"/>
      <c r="P37" s="338"/>
      <c r="Q37" s="707"/>
      <c r="R37" s="642"/>
      <c r="S37" s="346"/>
      <c r="T37" s="346"/>
      <c r="U37" s="469"/>
    </row>
    <row r="38" spans="1:21" s="325" customFormat="1" ht="11.25" customHeight="1" x14ac:dyDescent="0.25">
      <c r="A38" s="328" t="s">
        <v>378</v>
      </c>
      <c r="B38" s="329" t="s">
        <v>1308</v>
      </c>
      <c r="C38" s="329" t="s">
        <v>480</v>
      </c>
      <c r="D38" s="338" t="s">
        <v>1315</v>
      </c>
      <c r="E38" s="329" t="s">
        <v>119</v>
      </c>
      <c r="F38" s="330" t="s">
        <v>464</v>
      </c>
      <c r="G38" s="344" t="s">
        <v>1307</v>
      </c>
      <c r="H38" s="639"/>
      <c r="I38" s="704"/>
      <c r="J38" s="338"/>
      <c r="K38" s="338"/>
      <c r="L38" s="338"/>
      <c r="M38" s="338"/>
      <c r="N38" s="338">
        <v>72</v>
      </c>
      <c r="O38" s="338"/>
      <c r="P38" s="338"/>
      <c r="Q38" s="707"/>
      <c r="R38" s="642" t="s">
        <v>1564</v>
      </c>
      <c r="S38" s="346"/>
      <c r="T38" s="346"/>
      <c r="U38" s="469"/>
    </row>
    <row r="39" spans="1:21" s="325" customFormat="1" ht="11.25" customHeight="1" x14ac:dyDescent="0.25">
      <c r="A39" s="328" t="s">
        <v>378</v>
      </c>
      <c r="B39" s="329" t="s">
        <v>1308</v>
      </c>
      <c r="C39" s="329" t="s">
        <v>480</v>
      </c>
      <c r="D39" s="521" t="s">
        <v>1156</v>
      </c>
      <c r="E39" s="329" t="s">
        <v>1164</v>
      </c>
      <c r="F39" s="330" t="s">
        <v>464</v>
      </c>
      <c r="G39" s="344"/>
      <c r="H39" s="639"/>
      <c r="I39" s="704"/>
      <c r="J39" s="338"/>
      <c r="K39" s="338"/>
      <c r="L39" s="338"/>
      <c r="M39" s="338"/>
      <c r="N39" s="338"/>
      <c r="O39" s="338"/>
      <c r="P39" s="338"/>
      <c r="Q39" s="707"/>
      <c r="R39" s="642"/>
      <c r="S39" s="346"/>
      <c r="T39" s="346"/>
      <c r="U39" s="469"/>
    </row>
    <row r="40" spans="1:21" s="325" customFormat="1" ht="11.25" customHeight="1" x14ac:dyDescent="0.25">
      <c r="A40" s="328" t="s">
        <v>378</v>
      </c>
      <c r="B40" s="329" t="s">
        <v>424</v>
      </c>
      <c r="C40" s="329" t="s">
        <v>480</v>
      </c>
      <c r="D40" s="338" t="s">
        <v>88</v>
      </c>
      <c r="E40" s="329" t="s">
        <v>87</v>
      </c>
      <c r="F40" s="330" t="s">
        <v>464</v>
      </c>
      <c r="G40" s="344" t="s">
        <v>1307</v>
      </c>
      <c r="H40" s="639">
        <v>32</v>
      </c>
      <c r="I40" s="704"/>
      <c r="J40" s="338">
        <v>32</v>
      </c>
      <c r="K40" s="338"/>
      <c r="L40" s="338"/>
      <c r="M40" s="338"/>
      <c r="N40" s="338"/>
      <c r="O40" s="338"/>
      <c r="P40" s="338"/>
      <c r="Q40" s="707"/>
      <c r="R40" s="642"/>
      <c r="S40" s="346"/>
      <c r="T40" s="346"/>
      <c r="U40" s="469" t="s">
        <v>1305</v>
      </c>
    </row>
    <row r="41" spans="1:21" s="325" customFormat="1" ht="11.25" customHeight="1" x14ac:dyDescent="0.25">
      <c r="A41" s="328" t="s">
        <v>378</v>
      </c>
      <c r="B41" s="329" t="s">
        <v>1330</v>
      </c>
      <c r="C41" s="329" t="s">
        <v>480</v>
      </c>
      <c r="D41" s="338" t="s">
        <v>1642</v>
      </c>
      <c r="E41" s="329" t="s">
        <v>1697</v>
      </c>
      <c r="F41" s="330" t="s">
        <v>464</v>
      </c>
      <c r="G41" s="344"/>
      <c r="H41" s="639"/>
      <c r="I41" s="704"/>
      <c r="J41" s="338"/>
      <c r="K41" s="338"/>
      <c r="L41" s="338"/>
      <c r="M41" s="338"/>
      <c r="N41" s="338"/>
      <c r="O41" s="338"/>
      <c r="P41" s="338"/>
      <c r="Q41" s="707"/>
      <c r="R41" s="642"/>
      <c r="S41" s="346">
        <v>40</v>
      </c>
      <c r="T41" s="346">
        <v>40</v>
      </c>
      <c r="U41" s="469"/>
    </row>
    <row r="42" spans="1:21" s="325" customFormat="1" ht="11.25" customHeight="1" x14ac:dyDescent="0.25">
      <c r="A42" s="328" t="s">
        <v>378</v>
      </c>
      <c r="B42" s="329" t="s">
        <v>1330</v>
      </c>
      <c r="C42" s="329" t="s">
        <v>480</v>
      </c>
      <c r="D42" s="338" t="s">
        <v>1707</v>
      </c>
      <c r="E42" s="329" t="s">
        <v>1699</v>
      </c>
      <c r="F42" s="330" t="s">
        <v>464</v>
      </c>
      <c r="G42" s="344"/>
      <c r="H42" s="639">
        <v>12</v>
      </c>
      <c r="I42" s="704"/>
      <c r="J42" s="338">
        <v>12</v>
      </c>
      <c r="K42" s="338"/>
      <c r="L42" s="338"/>
      <c r="M42" s="338"/>
      <c r="N42" s="338"/>
      <c r="O42" s="338"/>
      <c r="P42" s="338"/>
      <c r="Q42" s="707"/>
      <c r="R42" s="642"/>
      <c r="S42" s="346">
        <v>40</v>
      </c>
      <c r="T42" s="346"/>
      <c r="U42" s="469"/>
    </row>
    <row r="43" spans="1:21" s="325" customFormat="1" ht="11.25" customHeight="1" x14ac:dyDescent="0.25">
      <c r="A43" s="328" t="s">
        <v>378</v>
      </c>
      <c r="B43" s="329" t="s">
        <v>424</v>
      </c>
      <c r="C43" s="329" t="s">
        <v>480</v>
      </c>
      <c r="D43" s="338" t="s">
        <v>1158</v>
      </c>
      <c r="E43" s="329" t="s">
        <v>1161</v>
      </c>
      <c r="F43" s="330" t="s">
        <v>464</v>
      </c>
      <c r="G43" s="465" t="s">
        <v>1307</v>
      </c>
      <c r="H43" s="639"/>
      <c r="I43" s="704"/>
      <c r="J43" s="338"/>
      <c r="K43" s="338"/>
      <c r="L43" s="338">
        <v>16</v>
      </c>
      <c r="M43" s="338">
        <v>16</v>
      </c>
      <c r="N43" s="338"/>
      <c r="O43" s="338"/>
      <c r="P43" s="338"/>
      <c r="Q43" s="707"/>
      <c r="R43" s="642" t="s">
        <v>1602</v>
      </c>
      <c r="S43" s="346"/>
      <c r="T43" s="346"/>
      <c r="U43" s="469"/>
    </row>
    <row r="44" spans="1:21" s="325" customFormat="1" ht="11.25" customHeight="1" x14ac:dyDescent="0.25">
      <c r="A44" s="331" t="s">
        <v>3</v>
      </c>
      <c r="B44" s="332"/>
      <c r="C44" s="332"/>
      <c r="D44" s="333"/>
      <c r="E44" s="334"/>
      <c r="F44" s="335"/>
      <c r="G44" s="472"/>
      <c r="H44" s="336">
        <f>SUM(H21:H43)</f>
        <v>49</v>
      </c>
      <c r="I44" s="336">
        <f t="shared" ref="I44:Q44" si="3">SUM(I21:I43)</f>
        <v>5</v>
      </c>
      <c r="J44" s="336">
        <f t="shared" si="3"/>
        <v>97</v>
      </c>
      <c r="K44" s="336">
        <f t="shared" si="3"/>
        <v>53</v>
      </c>
      <c r="L44" s="336">
        <f t="shared" si="3"/>
        <v>61</v>
      </c>
      <c r="M44" s="336">
        <f t="shared" si="3"/>
        <v>31</v>
      </c>
      <c r="N44" s="336">
        <f t="shared" si="3"/>
        <v>126</v>
      </c>
      <c r="O44" s="336">
        <f t="shared" si="3"/>
        <v>39</v>
      </c>
      <c r="P44" s="336">
        <f t="shared" si="3"/>
        <v>1</v>
      </c>
      <c r="Q44" s="336">
        <f t="shared" si="3"/>
        <v>1</v>
      </c>
      <c r="R44" s="336">
        <f t="shared" ref="R44:T44" si="4">SUM(R21:R43)</f>
        <v>0</v>
      </c>
      <c r="S44" s="336">
        <f t="shared" si="4"/>
        <v>80</v>
      </c>
      <c r="T44" s="336">
        <f t="shared" si="4"/>
        <v>40</v>
      </c>
      <c r="U44" s="469"/>
    </row>
    <row r="45" spans="1:21" s="341" customFormat="1" ht="11.25" customHeight="1" x14ac:dyDescent="0.25">
      <c r="A45" s="328" t="s">
        <v>1316</v>
      </c>
      <c r="B45" s="329" t="s">
        <v>424</v>
      </c>
      <c r="C45" s="329" t="s">
        <v>719</v>
      </c>
      <c r="D45" s="329" t="s">
        <v>1374</v>
      </c>
      <c r="E45" s="329" t="s">
        <v>1044</v>
      </c>
      <c r="F45" s="330" t="s">
        <v>464</v>
      </c>
      <c r="G45" s="463" t="s">
        <v>1268</v>
      </c>
      <c r="H45" s="639"/>
      <c r="I45" s="704"/>
      <c r="J45" s="338"/>
      <c r="K45" s="338"/>
      <c r="L45" s="338"/>
      <c r="M45" s="338"/>
      <c r="N45" s="338"/>
      <c r="O45" s="338"/>
      <c r="P45" s="338"/>
      <c r="Q45" s="707"/>
      <c r="R45" s="642"/>
      <c r="S45" s="346"/>
      <c r="T45" s="346"/>
      <c r="U45" s="690"/>
    </row>
    <row r="46" spans="1:21" s="341" customFormat="1" ht="11.25" customHeight="1" x14ac:dyDescent="0.25">
      <c r="A46" s="331" t="s">
        <v>3</v>
      </c>
      <c r="B46" s="332"/>
      <c r="C46" s="332"/>
      <c r="D46" s="333"/>
      <c r="E46" s="334"/>
      <c r="F46" s="335"/>
      <c r="G46" s="472"/>
      <c r="H46" s="336"/>
      <c r="I46" s="336">
        <f t="shared" ref="I46:T46" si="5">SUM(I45)</f>
        <v>0</v>
      </c>
      <c r="J46" s="336">
        <f t="shared" si="5"/>
        <v>0</v>
      </c>
      <c r="K46" s="336">
        <f t="shared" si="5"/>
        <v>0</v>
      </c>
      <c r="L46" s="336">
        <f t="shared" si="5"/>
        <v>0</v>
      </c>
      <c r="M46" s="336">
        <f t="shared" si="5"/>
        <v>0</v>
      </c>
      <c r="N46" s="336">
        <f t="shared" si="5"/>
        <v>0</v>
      </c>
      <c r="O46" s="336">
        <f t="shared" si="5"/>
        <v>0</v>
      </c>
      <c r="P46" s="336">
        <f t="shared" si="5"/>
        <v>0</v>
      </c>
      <c r="Q46" s="336">
        <f t="shared" si="5"/>
        <v>0</v>
      </c>
      <c r="R46" s="336">
        <f t="shared" si="5"/>
        <v>0</v>
      </c>
      <c r="S46" s="336">
        <f t="shared" si="5"/>
        <v>0</v>
      </c>
      <c r="T46" s="336">
        <f t="shared" si="5"/>
        <v>0</v>
      </c>
      <c r="U46" s="690"/>
    </row>
    <row r="47" spans="1:21" s="325" customFormat="1" ht="11.25" customHeight="1" x14ac:dyDescent="0.25">
      <c r="A47" s="328" t="s">
        <v>1316</v>
      </c>
      <c r="B47" s="329" t="s">
        <v>1330</v>
      </c>
      <c r="C47" s="329" t="s">
        <v>1200</v>
      </c>
      <c r="D47" s="329" t="s">
        <v>1197</v>
      </c>
      <c r="E47" s="329"/>
      <c r="F47" s="330"/>
      <c r="G47" s="344"/>
      <c r="H47" s="639"/>
      <c r="I47" s="704"/>
      <c r="J47" s="338"/>
      <c r="K47" s="338"/>
      <c r="L47" s="338"/>
      <c r="M47" s="338"/>
      <c r="N47" s="338"/>
      <c r="O47" s="338"/>
      <c r="P47" s="338"/>
      <c r="Q47" s="707"/>
      <c r="R47" s="642"/>
      <c r="S47" s="346"/>
      <c r="T47" s="346"/>
      <c r="U47" s="469"/>
    </row>
    <row r="48" spans="1:21" s="341" customFormat="1" ht="11.25" customHeight="1" x14ac:dyDescent="0.25">
      <c r="A48" s="331" t="s">
        <v>3</v>
      </c>
      <c r="B48" s="332"/>
      <c r="C48" s="332"/>
      <c r="D48" s="333"/>
      <c r="E48" s="334"/>
      <c r="F48" s="335"/>
      <c r="G48" s="472"/>
      <c r="H48" s="336">
        <f t="shared" ref="H48:R48" si="6">SUM(H47)</f>
        <v>0</v>
      </c>
      <c r="I48" s="336">
        <f t="shared" si="6"/>
        <v>0</v>
      </c>
      <c r="J48" s="336">
        <f t="shared" si="6"/>
        <v>0</v>
      </c>
      <c r="K48" s="336">
        <f t="shared" si="6"/>
        <v>0</v>
      </c>
      <c r="L48" s="336">
        <f t="shared" si="6"/>
        <v>0</v>
      </c>
      <c r="M48" s="336">
        <f t="shared" si="6"/>
        <v>0</v>
      </c>
      <c r="N48" s="336">
        <f t="shared" si="6"/>
        <v>0</v>
      </c>
      <c r="O48" s="336">
        <f t="shared" si="6"/>
        <v>0</v>
      </c>
      <c r="P48" s="336">
        <f t="shared" si="6"/>
        <v>0</v>
      </c>
      <c r="Q48" s="336">
        <f t="shared" si="6"/>
        <v>0</v>
      </c>
      <c r="R48" s="337">
        <f t="shared" si="6"/>
        <v>0</v>
      </c>
      <c r="S48" s="474">
        <f>H48-R48</f>
        <v>0</v>
      </c>
      <c r="T48" s="474" t="e">
        <f>J48-#REF!</f>
        <v>#REF!</v>
      </c>
      <c r="U48" s="690"/>
    </row>
    <row r="49" spans="1:21" s="325" customFormat="1" ht="11.25" customHeight="1" x14ac:dyDescent="0.25">
      <c r="A49" s="328" t="s">
        <v>1316</v>
      </c>
      <c r="B49" s="329" t="s">
        <v>424</v>
      </c>
      <c r="C49" s="338" t="s">
        <v>146</v>
      </c>
      <c r="D49" s="338" t="s">
        <v>367</v>
      </c>
      <c r="E49" s="329" t="s">
        <v>381</v>
      </c>
      <c r="F49" s="330" t="s">
        <v>464</v>
      </c>
      <c r="G49" s="465"/>
      <c r="H49" s="639"/>
      <c r="I49" s="704"/>
      <c r="J49" s="338"/>
      <c r="K49" s="338"/>
      <c r="L49" s="338"/>
      <c r="M49" s="338"/>
      <c r="N49" s="338"/>
      <c r="O49" s="338"/>
      <c r="P49" s="338"/>
      <c r="Q49" s="707"/>
      <c r="R49" s="642" t="s">
        <v>1602</v>
      </c>
      <c r="S49" s="346"/>
      <c r="T49" s="346"/>
      <c r="U49" s="469"/>
    </row>
    <row r="50" spans="1:21" s="325" customFormat="1" ht="11.25" customHeight="1" x14ac:dyDescent="0.25">
      <c r="A50" s="328" t="s">
        <v>1316</v>
      </c>
      <c r="B50" s="329" t="s">
        <v>424</v>
      </c>
      <c r="C50" s="338" t="s">
        <v>146</v>
      </c>
      <c r="D50" s="338" t="s">
        <v>1232</v>
      </c>
      <c r="E50" s="329" t="s">
        <v>1231</v>
      </c>
      <c r="F50" s="330" t="s">
        <v>464</v>
      </c>
      <c r="G50" s="465" t="s">
        <v>1307</v>
      </c>
      <c r="H50" s="639"/>
      <c r="I50" s="704"/>
      <c r="J50" s="338"/>
      <c r="K50" s="338"/>
      <c r="L50" s="338"/>
      <c r="M50" s="338"/>
      <c r="N50" s="338"/>
      <c r="O50" s="338"/>
      <c r="P50" s="338"/>
      <c r="Q50" s="707"/>
      <c r="R50" s="642"/>
      <c r="S50" s="346"/>
      <c r="T50" s="346"/>
      <c r="U50" s="469" t="s">
        <v>1318</v>
      </c>
    </row>
    <row r="51" spans="1:21" s="325" customFormat="1" ht="11.25" customHeight="1" x14ac:dyDescent="0.25">
      <c r="A51" s="328" t="s">
        <v>1316</v>
      </c>
      <c r="B51" s="329" t="s">
        <v>1319</v>
      </c>
      <c r="C51" s="338" t="s">
        <v>146</v>
      </c>
      <c r="D51" s="338" t="s">
        <v>1772</v>
      </c>
      <c r="E51" s="329" t="s">
        <v>382</v>
      </c>
      <c r="F51" s="330" t="s">
        <v>464</v>
      </c>
      <c r="G51" s="345"/>
      <c r="H51" s="639">
        <v>32</v>
      </c>
      <c r="I51" s="704"/>
      <c r="J51" s="338">
        <v>32</v>
      </c>
      <c r="K51" s="338"/>
      <c r="L51" s="338"/>
      <c r="M51" s="338"/>
      <c r="N51" s="338"/>
      <c r="O51" s="338"/>
      <c r="P51" s="338"/>
      <c r="Q51" s="707"/>
      <c r="R51" s="642" t="s">
        <v>1773</v>
      </c>
      <c r="S51" s="346"/>
      <c r="T51" s="346"/>
      <c r="U51" s="469"/>
    </row>
    <row r="52" spans="1:21" s="325" customFormat="1" ht="11.25" customHeight="1" x14ac:dyDescent="0.25">
      <c r="A52" s="328" t="s">
        <v>1316</v>
      </c>
      <c r="B52" s="329" t="s">
        <v>424</v>
      </c>
      <c r="C52" s="338" t="s">
        <v>146</v>
      </c>
      <c r="D52" s="329" t="s">
        <v>1617</v>
      </c>
      <c r="E52" s="329" t="s">
        <v>383</v>
      </c>
      <c r="F52" s="330" t="s">
        <v>464</v>
      </c>
      <c r="G52" s="465" t="s">
        <v>1460</v>
      </c>
      <c r="H52" s="639">
        <v>12</v>
      </c>
      <c r="I52" s="704">
        <v>12</v>
      </c>
      <c r="J52" s="338">
        <v>12</v>
      </c>
      <c r="K52" s="338">
        <v>12</v>
      </c>
      <c r="L52" s="338"/>
      <c r="M52" s="338"/>
      <c r="N52" s="338"/>
      <c r="O52" s="338"/>
      <c r="P52" s="338"/>
      <c r="Q52" s="707"/>
      <c r="R52" s="642" t="s">
        <v>1646</v>
      </c>
      <c r="S52" s="346"/>
      <c r="T52" s="346"/>
      <c r="U52" s="469"/>
    </row>
    <row r="53" spans="1:21" s="325" customFormat="1" ht="11.25" customHeight="1" x14ac:dyDescent="0.25">
      <c r="A53" s="328" t="s">
        <v>1316</v>
      </c>
      <c r="B53" s="329" t="s">
        <v>1317</v>
      </c>
      <c r="C53" s="338" t="s">
        <v>146</v>
      </c>
      <c r="D53" s="338" t="s">
        <v>1320</v>
      </c>
      <c r="E53" s="329" t="s">
        <v>1242</v>
      </c>
      <c r="F53" s="330" t="s">
        <v>464</v>
      </c>
      <c r="G53" s="465" t="s">
        <v>1307</v>
      </c>
      <c r="H53" s="639"/>
      <c r="I53" s="704"/>
      <c r="J53" s="338"/>
      <c r="K53" s="338"/>
      <c r="L53" s="338"/>
      <c r="M53" s="338"/>
      <c r="N53" s="338"/>
      <c r="O53" s="338"/>
      <c r="P53" s="338"/>
      <c r="Q53" s="707"/>
      <c r="R53" s="642"/>
      <c r="S53" s="346"/>
      <c r="T53" s="346"/>
      <c r="U53" s="469" t="s">
        <v>1318</v>
      </c>
    </row>
    <row r="54" spans="1:21" s="325" customFormat="1" ht="11.25" customHeight="1" x14ac:dyDescent="0.25">
      <c r="A54" s="328" t="s">
        <v>1316</v>
      </c>
      <c r="B54" s="329" t="s">
        <v>424</v>
      </c>
      <c r="C54" s="338" t="s">
        <v>146</v>
      </c>
      <c r="D54" s="338" t="s">
        <v>1321</v>
      </c>
      <c r="E54" s="329" t="s">
        <v>147</v>
      </c>
      <c r="F54" s="330" t="s">
        <v>464</v>
      </c>
      <c r="G54" s="465"/>
      <c r="H54" s="639"/>
      <c r="I54" s="704"/>
      <c r="J54" s="338"/>
      <c r="K54" s="338"/>
      <c r="L54" s="338"/>
      <c r="M54" s="338"/>
      <c r="N54" s="338"/>
      <c r="O54" s="338"/>
      <c r="P54" s="338"/>
      <c r="Q54" s="707"/>
      <c r="R54" s="642"/>
      <c r="S54" s="346"/>
      <c r="T54" s="346"/>
      <c r="U54" s="469"/>
    </row>
    <row r="55" spans="1:21" s="325" customFormat="1" ht="11.25" customHeight="1" x14ac:dyDescent="0.25">
      <c r="A55" s="328" t="s">
        <v>1316</v>
      </c>
      <c r="B55" s="329" t="s">
        <v>424</v>
      </c>
      <c r="C55" s="338" t="s">
        <v>146</v>
      </c>
      <c r="D55" s="338" t="s">
        <v>149</v>
      </c>
      <c r="E55" s="329" t="s">
        <v>148</v>
      </c>
      <c r="F55" s="330" t="s">
        <v>464</v>
      </c>
      <c r="G55" s="345"/>
      <c r="H55" s="639"/>
      <c r="I55" s="704"/>
      <c r="J55" s="338"/>
      <c r="K55" s="338"/>
      <c r="L55" s="338"/>
      <c r="M55" s="338"/>
      <c r="N55" s="338"/>
      <c r="O55" s="338"/>
      <c r="P55" s="338"/>
      <c r="Q55" s="707"/>
      <c r="R55" s="642"/>
      <c r="S55" s="346"/>
      <c r="T55" s="346"/>
      <c r="U55" s="469"/>
    </row>
    <row r="56" spans="1:21" s="325" customFormat="1" ht="11.25" customHeight="1" x14ac:dyDescent="0.25">
      <c r="A56" s="328" t="s">
        <v>1316</v>
      </c>
      <c r="B56" s="329" t="s">
        <v>424</v>
      </c>
      <c r="C56" s="338" t="s">
        <v>146</v>
      </c>
      <c r="D56" s="329" t="s">
        <v>1618</v>
      </c>
      <c r="E56" s="329" t="s">
        <v>1121</v>
      </c>
      <c r="F56" s="330" t="s">
        <v>464</v>
      </c>
      <c r="G56" s="345"/>
      <c r="H56" s="639">
        <v>35</v>
      </c>
      <c r="I56" s="704"/>
      <c r="J56" s="338">
        <v>35</v>
      </c>
      <c r="K56" s="338"/>
      <c r="L56" s="338"/>
      <c r="M56" s="338"/>
      <c r="N56" s="338">
        <v>82</v>
      </c>
      <c r="O56" s="338"/>
      <c r="P56" s="338"/>
      <c r="Q56" s="707"/>
      <c r="R56" s="642" t="s">
        <v>1644</v>
      </c>
      <c r="S56" s="346"/>
      <c r="T56" s="346"/>
      <c r="U56" s="469"/>
    </row>
    <row r="57" spans="1:21" s="325" customFormat="1" ht="11.25" customHeight="1" x14ac:dyDescent="0.25">
      <c r="A57" s="328" t="s">
        <v>1316</v>
      </c>
      <c r="B57" s="329" t="s">
        <v>1330</v>
      </c>
      <c r="C57" s="338" t="s">
        <v>146</v>
      </c>
      <c r="D57" s="338" t="s">
        <v>1532</v>
      </c>
      <c r="E57" s="329" t="s">
        <v>1549</v>
      </c>
      <c r="F57" s="330" t="s">
        <v>464</v>
      </c>
      <c r="G57" s="345"/>
      <c r="H57" s="639"/>
      <c r="I57" s="704"/>
      <c r="J57" s="338"/>
      <c r="K57" s="338"/>
      <c r="L57" s="338"/>
      <c r="M57" s="338"/>
      <c r="N57" s="338"/>
      <c r="O57" s="338"/>
      <c r="P57" s="338"/>
      <c r="Q57" s="707"/>
      <c r="R57" s="642"/>
      <c r="S57" s="346"/>
      <c r="T57" s="346"/>
      <c r="U57" s="469"/>
    </row>
    <row r="58" spans="1:21" s="325" customFormat="1" ht="11.25" customHeight="1" x14ac:dyDescent="0.25">
      <c r="A58" s="328" t="s">
        <v>1316</v>
      </c>
      <c r="B58" s="329" t="s">
        <v>1330</v>
      </c>
      <c r="C58" s="338" t="s">
        <v>146</v>
      </c>
      <c r="D58" s="338" t="s">
        <v>1082</v>
      </c>
      <c r="E58" s="329" t="s">
        <v>1083</v>
      </c>
      <c r="F58" s="330" t="s">
        <v>464</v>
      </c>
      <c r="G58" s="345"/>
      <c r="H58" s="639"/>
      <c r="I58" s="704"/>
      <c r="J58" s="338"/>
      <c r="K58" s="338"/>
      <c r="L58" s="338"/>
      <c r="M58" s="338"/>
      <c r="N58" s="338"/>
      <c r="O58" s="338"/>
      <c r="P58" s="338"/>
      <c r="Q58" s="707"/>
      <c r="R58" s="642"/>
      <c r="S58" s="346"/>
      <c r="T58" s="346"/>
      <c r="U58" s="469"/>
    </row>
    <row r="59" spans="1:21" s="325" customFormat="1" ht="11.25" customHeight="1" x14ac:dyDescent="0.25">
      <c r="A59" s="328" t="s">
        <v>1316</v>
      </c>
      <c r="B59" s="329" t="s">
        <v>1319</v>
      </c>
      <c r="C59" s="338" t="s">
        <v>146</v>
      </c>
      <c r="D59" s="338" t="s">
        <v>1573</v>
      </c>
      <c r="E59" s="329" t="s">
        <v>1126</v>
      </c>
      <c r="F59" s="330" t="s">
        <v>464</v>
      </c>
      <c r="G59" s="345"/>
      <c r="H59" s="639">
        <v>17</v>
      </c>
      <c r="I59" s="704">
        <v>17</v>
      </c>
      <c r="J59" s="338">
        <v>17</v>
      </c>
      <c r="K59" s="338">
        <v>17</v>
      </c>
      <c r="L59" s="338"/>
      <c r="M59" s="338"/>
      <c r="N59" s="338"/>
      <c r="O59" s="338"/>
      <c r="P59" s="338"/>
      <c r="Q59" s="707"/>
      <c r="R59" s="642" t="s">
        <v>1736</v>
      </c>
      <c r="S59" s="346"/>
      <c r="T59" s="346"/>
      <c r="U59" s="469"/>
    </row>
    <row r="60" spans="1:21" s="325" customFormat="1" ht="11.25" customHeight="1" x14ac:dyDescent="0.25">
      <c r="A60" s="328" t="s">
        <v>1316</v>
      </c>
      <c r="B60" s="329" t="s">
        <v>424</v>
      </c>
      <c r="C60" s="338" t="s">
        <v>146</v>
      </c>
      <c r="D60" s="338" t="s">
        <v>1322</v>
      </c>
      <c r="E60" s="329" t="s">
        <v>385</v>
      </c>
      <c r="F60" s="330" t="s">
        <v>464</v>
      </c>
      <c r="G60" s="345" t="s">
        <v>1460</v>
      </c>
      <c r="H60" s="639">
        <v>41</v>
      </c>
      <c r="I60" s="704"/>
      <c r="J60" s="338">
        <v>41</v>
      </c>
      <c r="K60" s="338"/>
      <c r="L60" s="338"/>
      <c r="M60" s="338"/>
      <c r="N60" s="338"/>
      <c r="O60" s="338"/>
      <c r="P60" s="338"/>
      <c r="Q60" s="707"/>
      <c r="R60" s="642" t="s">
        <v>1717</v>
      </c>
      <c r="S60" s="346"/>
      <c r="T60" s="346"/>
      <c r="U60" s="469"/>
    </row>
    <row r="61" spans="1:21" s="325" customFormat="1" ht="11.25" customHeight="1" x14ac:dyDescent="0.25">
      <c r="A61" s="328" t="s">
        <v>1316</v>
      </c>
      <c r="B61" s="329" t="s">
        <v>1319</v>
      </c>
      <c r="C61" s="338" t="s">
        <v>146</v>
      </c>
      <c r="D61" s="338" t="s">
        <v>943</v>
      </c>
      <c r="E61" s="329" t="s">
        <v>942</v>
      </c>
      <c r="F61" s="330" t="s">
        <v>464</v>
      </c>
      <c r="G61" s="463"/>
      <c r="H61" s="639"/>
      <c r="I61" s="704"/>
      <c r="J61" s="338"/>
      <c r="K61" s="338"/>
      <c r="L61" s="338"/>
      <c r="M61" s="338"/>
      <c r="N61" s="338">
        <v>10</v>
      </c>
      <c r="O61" s="338"/>
      <c r="P61" s="338"/>
      <c r="Q61" s="707"/>
      <c r="R61" s="642" t="s">
        <v>1593</v>
      </c>
      <c r="S61" s="346"/>
      <c r="T61" s="346"/>
      <c r="U61" s="469"/>
    </row>
    <row r="62" spans="1:21" s="325" customFormat="1" ht="11.25" customHeight="1" x14ac:dyDescent="0.25">
      <c r="A62" s="331" t="s">
        <v>3</v>
      </c>
      <c r="B62" s="332"/>
      <c r="C62" s="332"/>
      <c r="D62" s="333"/>
      <c r="E62" s="334"/>
      <c r="F62" s="335"/>
      <c r="G62" s="472"/>
      <c r="H62" s="336">
        <f>SUM(H49:H61)</f>
        <v>137</v>
      </c>
      <c r="I62" s="336">
        <f t="shared" ref="I62:Q62" si="7">SUM(I49:I61)</f>
        <v>29</v>
      </c>
      <c r="J62" s="336">
        <f t="shared" si="7"/>
        <v>137</v>
      </c>
      <c r="K62" s="336">
        <f t="shared" si="7"/>
        <v>29</v>
      </c>
      <c r="L62" s="336">
        <f t="shared" si="7"/>
        <v>0</v>
      </c>
      <c r="M62" s="336">
        <f t="shared" si="7"/>
        <v>0</v>
      </c>
      <c r="N62" s="336">
        <f t="shared" si="7"/>
        <v>92</v>
      </c>
      <c r="O62" s="336">
        <f t="shared" si="7"/>
        <v>0</v>
      </c>
      <c r="P62" s="336">
        <f t="shared" si="7"/>
        <v>0</v>
      </c>
      <c r="Q62" s="336">
        <f t="shared" si="7"/>
        <v>0</v>
      </c>
      <c r="R62" s="336">
        <f t="shared" ref="R62:T62" si="8">SUM(R49:R61)</f>
        <v>0</v>
      </c>
      <c r="S62" s="336">
        <f t="shared" si="8"/>
        <v>0</v>
      </c>
      <c r="T62" s="336">
        <f t="shared" si="8"/>
        <v>0</v>
      </c>
      <c r="U62" s="469"/>
    </row>
    <row r="63" spans="1:21" s="325" customFormat="1" ht="11.25" customHeight="1" x14ac:dyDescent="0.25">
      <c r="A63" s="328" t="s">
        <v>378</v>
      </c>
      <c r="B63" s="329" t="s">
        <v>1303</v>
      </c>
      <c r="C63" s="329" t="s">
        <v>151</v>
      </c>
      <c r="D63" s="342" t="s">
        <v>1323</v>
      </c>
      <c r="E63" s="339" t="s">
        <v>187</v>
      </c>
      <c r="F63" s="343" t="s">
        <v>466</v>
      </c>
      <c r="G63" s="466"/>
      <c r="H63" s="639"/>
      <c r="I63" s="704"/>
      <c r="J63" s="338"/>
      <c r="K63" s="338"/>
      <c r="L63" s="338"/>
      <c r="M63" s="338"/>
      <c r="N63" s="338"/>
      <c r="O63" s="338"/>
      <c r="P63" s="338"/>
      <c r="Q63" s="707"/>
      <c r="R63" s="642"/>
      <c r="S63" s="346"/>
      <c r="T63" s="346"/>
      <c r="U63" s="469" t="s">
        <v>1729</v>
      </c>
    </row>
    <row r="64" spans="1:21" s="325" customFormat="1" ht="11.25" customHeight="1" x14ac:dyDescent="0.25">
      <c r="A64" s="328" t="s">
        <v>378</v>
      </c>
      <c r="B64" s="329" t="s">
        <v>424</v>
      </c>
      <c r="C64" s="329" t="s">
        <v>151</v>
      </c>
      <c r="D64" s="338" t="s">
        <v>1324</v>
      </c>
      <c r="E64" s="329" t="s">
        <v>812</v>
      </c>
      <c r="F64" s="330" t="s">
        <v>464</v>
      </c>
      <c r="G64" s="463" t="s">
        <v>1460</v>
      </c>
      <c r="H64" s="639">
        <v>30</v>
      </c>
      <c r="I64" s="704">
        <v>30</v>
      </c>
      <c r="J64" s="338">
        <v>30</v>
      </c>
      <c r="K64" s="338">
        <v>30</v>
      </c>
      <c r="L64" s="338"/>
      <c r="M64" s="338"/>
      <c r="N64" s="338"/>
      <c r="O64" s="338"/>
      <c r="P64" s="338"/>
      <c r="Q64" s="707"/>
      <c r="R64" s="642" t="s">
        <v>1602</v>
      </c>
      <c r="S64" s="346"/>
      <c r="T64" s="346"/>
      <c r="U64" s="469"/>
    </row>
    <row r="65" spans="1:21" s="325" customFormat="1" ht="11.25" customHeight="1" x14ac:dyDescent="0.25">
      <c r="A65" s="328" t="s">
        <v>378</v>
      </c>
      <c r="B65" s="329" t="s">
        <v>1303</v>
      </c>
      <c r="C65" s="329" t="s">
        <v>151</v>
      </c>
      <c r="D65" s="338" t="s">
        <v>847</v>
      </c>
      <c r="E65" s="329" t="s">
        <v>846</v>
      </c>
      <c r="F65" s="330" t="s">
        <v>464</v>
      </c>
      <c r="G65" s="463"/>
      <c r="H65" s="639">
        <v>6</v>
      </c>
      <c r="I65" s="704"/>
      <c r="J65" s="338"/>
      <c r="K65" s="338"/>
      <c r="L65" s="338"/>
      <c r="M65" s="338"/>
      <c r="N65" s="338"/>
      <c r="O65" s="338"/>
      <c r="P65" s="338"/>
      <c r="Q65" s="707"/>
      <c r="R65" s="642" t="s">
        <v>778</v>
      </c>
      <c r="S65" s="346"/>
      <c r="T65" s="346"/>
      <c r="U65" s="469" t="s">
        <v>1325</v>
      </c>
    </row>
    <row r="66" spans="1:21" s="325" customFormat="1" ht="11.25" customHeight="1" x14ac:dyDescent="0.25">
      <c r="A66" s="328" t="s">
        <v>378</v>
      </c>
      <c r="B66" s="329" t="s">
        <v>424</v>
      </c>
      <c r="C66" s="329" t="s">
        <v>151</v>
      </c>
      <c r="D66" s="338" t="s">
        <v>160</v>
      </c>
      <c r="E66" s="329" t="s">
        <v>159</v>
      </c>
      <c r="F66" s="330" t="s">
        <v>464</v>
      </c>
      <c r="G66" s="463" t="s">
        <v>1268</v>
      </c>
      <c r="H66" s="639"/>
      <c r="I66" s="704"/>
      <c r="J66" s="338"/>
      <c r="K66" s="338"/>
      <c r="L66" s="338"/>
      <c r="M66" s="338"/>
      <c r="N66" s="338"/>
      <c r="O66" s="338"/>
      <c r="P66" s="338"/>
      <c r="Q66" s="707"/>
      <c r="R66" s="642"/>
      <c r="S66" s="346"/>
      <c r="T66" s="346"/>
      <c r="U66" s="469"/>
    </row>
    <row r="67" spans="1:21" s="325" customFormat="1" ht="11.25" customHeight="1" x14ac:dyDescent="0.25">
      <c r="A67" s="328" t="s">
        <v>378</v>
      </c>
      <c r="B67" s="329" t="s">
        <v>1303</v>
      </c>
      <c r="C67" s="329" t="s">
        <v>151</v>
      </c>
      <c r="D67" s="338" t="s">
        <v>1326</v>
      </c>
      <c r="E67" s="329" t="s">
        <v>153</v>
      </c>
      <c r="F67" s="330" t="s">
        <v>464</v>
      </c>
      <c r="G67" s="463"/>
      <c r="H67" s="639">
        <v>200</v>
      </c>
      <c r="I67" s="704">
        <v>130</v>
      </c>
      <c r="J67" s="338">
        <v>200</v>
      </c>
      <c r="K67" s="338">
        <v>130</v>
      </c>
      <c r="L67" s="338"/>
      <c r="M67" s="338"/>
      <c r="N67" s="338">
        <v>30</v>
      </c>
      <c r="O67" s="338"/>
      <c r="P67" s="338"/>
      <c r="Q67" s="707"/>
      <c r="R67" s="642" t="s">
        <v>1565</v>
      </c>
      <c r="S67" s="346"/>
      <c r="T67" s="346"/>
      <c r="U67" s="469" t="s">
        <v>1575</v>
      </c>
    </row>
    <row r="68" spans="1:21" s="325" customFormat="1" ht="11.25" customHeight="1" x14ac:dyDescent="0.25">
      <c r="A68" s="328" t="s">
        <v>378</v>
      </c>
      <c r="B68" s="329" t="s">
        <v>1303</v>
      </c>
      <c r="C68" s="329" t="s">
        <v>151</v>
      </c>
      <c r="D68" s="338" t="s">
        <v>1327</v>
      </c>
      <c r="E68" s="329" t="s">
        <v>912</v>
      </c>
      <c r="F68" s="330" t="s">
        <v>464</v>
      </c>
      <c r="G68" s="463"/>
      <c r="H68" s="639"/>
      <c r="I68" s="704"/>
      <c r="J68" s="338"/>
      <c r="K68" s="338"/>
      <c r="L68" s="338"/>
      <c r="M68" s="338"/>
      <c r="N68" s="338"/>
      <c r="O68" s="338"/>
      <c r="P68" s="338"/>
      <c r="Q68" s="707"/>
      <c r="R68" s="642"/>
      <c r="S68" s="346"/>
      <c r="T68" s="346"/>
      <c r="U68" s="469"/>
    </row>
    <row r="69" spans="1:21" s="325" customFormat="1" ht="11.25" customHeight="1" x14ac:dyDescent="0.25">
      <c r="A69" s="328" t="s">
        <v>378</v>
      </c>
      <c r="B69" s="329" t="s">
        <v>424</v>
      </c>
      <c r="C69" s="329" t="s">
        <v>151</v>
      </c>
      <c r="D69" s="342" t="s">
        <v>152</v>
      </c>
      <c r="E69" s="339" t="s">
        <v>150</v>
      </c>
      <c r="F69" s="330" t="s">
        <v>464</v>
      </c>
      <c r="G69" s="466"/>
      <c r="H69" s="639"/>
      <c r="I69" s="704"/>
      <c r="J69" s="338"/>
      <c r="K69" s="338"/>
      <c r="L69" s="338">
        <v>72</v>
      </c>
      <c r="M69" s="338">
        <v>72</v>
      </c>
      <c r="N69" s="338"/>
      <c r="O69" s="338"/>
      <c r="P69" s="338"/>
      <c r="Q69" s="707"/>
      <c r="R69" s="642" t="s">
        <v>778</v>
      </c>
      <c r="S69" s="346"/>
      <c r="T69" s="346"/>
      <c r="U69" s="469"/>
    </row>
    <row r="70" spans="1:21" s="325" customFormat="1" ht="11.25" customHeight="1" x14ac:dyDescent="0.25">
      <c r="A70" s="328" t="s">
        <v>378</v>
      </c>
      <c r="B70" s="329" t="s">
        <v>1303</v>
      </c>
      <c r="C70" s="329" t="s">
        <v>151</v>
      </c>
      <c r="D70" s="338" t="s">
        <v>1328</v>
      </c>
      <c r="E70" s="329" t="s">
        <v>197</v>
      </c>
      <c r="F70" s="330" t="s">
        <v>466</v>
      </c>
      <c r="G70" s="463"/>
      <c r="H70" s="639">
        <v>266</v>
      </c>
      <c r="I70" s="704">
        <v>266</v>
      </c>
      <c r="J70" s="338">
        <v>266</v>
      </c>
      <c r="K70" s="338">
        <v>266</v>
      </c>
      <c r="L70" s="338"/>
      <c r="M70" s="338"/>
      <c r="N70" s="338"/>
      <c r="O70" s="338"/>
      <c r="P70" s="338"/>
      <c r="Q70" s="707"/>
      <c r="R70" s="642" t="s">
        <v>1599</v>
      </c>
      <c r="S70" s="346"/>
      <c r="T70" s="346"/>
      <c r="U70" s="469" t="s">
        <v>1721</v>
      </c>
    </row>
    <row r="71" spans="1:21" s="325" customFormat="1" ht="11.25" customHeight="1" x14ac:dyDescent="0.25">
      <c r="A71" s="328" t="s">
        <v>378</v>
      </c>
      <c r="B71" s="329" t="s">
        <v>424</v>
      </c>
      <c r="C71" s="329" t="s">
        <v>151</v>
      </c>
      <c r="D71" s="342" t="s">
        <v>1329</v>
      </c>
      <c r="E71" s="329" t="s">
        <v>939</v>
      </c>
      <c r="F71" s="330" t="s">
        <v>464</v>
      </c>
      <c r="G71" s="466" t="s">
        <v>1268</v>
      </c>
      <c r="H71" s="639">
        <v>21</v>
      </c>
      <c r="I71" s="704">
        <v>21</v>
      </c>
      <c r="J71" s="338">
        <v>21</v>
      </c>
      <c r="K71" s="338">
        <v>21</v>
      </c>
      <c r="L71" s="338"/>
      <c r="M71" s="338"/>
      <c r="N71" s="338"/>
      <c r="O71" s="338"/>
      <c r="P71" s="338"/>
      <c r="Q71" s="707"/>
      <c r="R71" s="642" t="s">
        <v>1736</v>
      </c>
      <c r="S71" s="346"/>
      <c r="T71" s="346"/>
      <c r="U71" s="469"/>
    </row>
    <row r="72" spans="1:21" s="325" customFormat="1" ht="11.25" customHeight="1" x14ac:dyDescent="0.25">
      <c r="A72" s="331" t="s">
        <v>3</v>
      </c>
      <c r="B72" s="332"/>
      <c r="C72" s="332"/>
      <c r="D72" s="333"/>
      <c r="E72" s="334"/>
      <c r="F72" s="335"/>
      <c r="G72" s="472"/>
      <c r="H72" s="336">
        <f>SUM(H63:H71)</f>
        <v>523</v>
      </c>
      <c r="I72" s="336">
        <f t="shared" ref="I72:Q72" si="9">SUM(I63:I71)</f>
        <v>447</v>
      </c>
      <c r="J72" s="336">
        <f t="shared" si="9"/>
        <v>517</v>
      </c>
      <c r="K72" s="336">
        <f t="shared" si="9"/>
        <v>447</v>
      </c>
      <c r="L72" s="336">
        <f t="shared" si="9"/>
        <v>72</v>
      </c>
      <c r="M72" s="336">
        <f t="shared" si="9"/>
        <v>72</v>
      </c>
      <c r="N72" s="336">
        <f t="shared" si="9"/>
        <v>30</v>
      </c>
      <c r="O72" s="336">
        <f t="shared" si="9"/>
        <v>0</v>
      </c>
      <c r="P72" s="336">
        <f t="shared" si="9"/>
        <v>0</v>
      </c>
      <c r="Q72" s="336">
        <f t="shared" si="9"/>
        <v>0</v>
      </c>
      <c r="R72" s="336">
        <f t="shared" ref="R72:T72" si="10">SUM(R63:R71)</f>
        <v>0</v>
      </c>
      <c r="S72" s="336">
        <f t="shared" si="10"/>
        <v>0</v>
      </c>
      <c r="T72" s="336">
        <f t="shared" si="10"/>
        <v>0</v>
      </c>
      <c r="U72" s="469"/>
    </row>
    <row r="73" spans="1:21" s="325" customFormat="1" ht="11.25" customHeight="1" x14ac:dyDescent="0.25">
      <c r="A73" s="328" t="s">
        <v>1316</v>
      </c>
      <c r="B73" s="329" t="s">
        <v>424</v>
      </c>
      <c r="C73" s="329" t="s">
        <v>166</v>
      </c>
      <c r="D73" s="329" t="s">
        <v>167</v>
      </c>
      <c r="E73" s="329" t="s">
        <v>279</v>
      </c>
      <c r="F73" s="330" t="s">
        <v>464</v>
      </c>
      <c r="G73" s="463"/>
      <c r="H73" s="639"/>
      <c r="I73" s="704"/>
      <c r="J73" s="338"/>
      <c r="K73" s="338"/>
      <c r="L73" s="338"/>
      <c r="M73" s="338"/>
      <c r="N73" s="338"/>
      <c r="O73" s="338"/>
      <c r="P73" s="338"/>
      <c r="Q73" s="707"/>
      <c r="R73" s="642"/>
      <c r="S73" s="346"/>
      <c r="T73" s="346"/>
      <c r="U73" s="469"/>
    </row>
    <row r="74" spans="1:21" s="325" customFormat="1" ht="11.25" customHeight="1" x14ac:dyDescent="0.25">
      <c r="A74" s="328" t="s">
        <v>1316</v>
      </c>
      <c r="B74" s="329" t="s">
        <v>1330</v>
      </c>
      <c r="C74" s="329" t="s">
        <v>166</v>
      </c>
      <c r="D74" s="329" t="s">
        <v>1140</v>
      </c>
      <c r="E74" s="329" t="s">
        <v>1123</v>
      </c>
      <c r="F74" s="330" t="s">
        <v>464</v>
      </c>
      <c r="G74" s="463"/>
      <c r="H74" s="639"/>
      <c r="I74" s="704"/>
      <c r="J74" s="338"/>
      <c r="K74" s="338"/>
      <c r="L74" s="338"/>
      <c r="M74" s="338"/>
      <c r="N74" s="338"/>
      <c r="O74" s="338"/>
      <c r="P74" s="338"/>
      <c r="Q74" s="707"/>
      <c r="R74" s="642"/>
      <c r="S74" s="346"/>
      <c r="T74" s="346"/>
      <c r="U74" s="469"/>
    </row>
    <row r="75" spans="1:21" s="325" customFormat="1" ht="11.25" customHeight="1" x14ac:dyDescent="0.25">
      <c r="A75" s="328" t="s">
        <v>1316</v>
      </c>
      <c r="B75" s="329" t="s">
        <v>1319</v>
      </c>
      <c r="C75" s="329" t="s">
        <v>166</v>
      </c>
      <c r="D75" s="329" t="s">
        <v>1331</v>
      </c>
      <c r="E75" s="329" t="s">
        <v>761</v>
      </c>
      <c r="F75" s="330" t="s">
        <v>464</v>
      </c>
      <c r="G75" s="463"/>
      <c r="H75" s="639"/>
      <c r="I75" s="704"/>
      <c r="J75" s="338"/>
      <c r="K75" s="338"/>
      <c r="L75" s="338"/>
      <c r="M75" s="338"/>
      <c r="N75" s="338">
        <v>20</v>
      </c>
      <c r="O75" s="338">
        <v>20</v>
      </c>
      <c r="P75" s="338"/>
      <c r="Q75" s="707"/>
      <c r="R75" s="642" t="s">
        <v>1593</v>
      </c>
      <c r="S75" s="346"/>
      <c r="T75" s="346"/>
      <c r="U75" s="469"/>
    </row>
    <row r="76" spans="1:21" s="325" customFormat="1" ht="11.25" customHeight="1" x14ac:dyDescent="0.25">
      <c r="A76" s="331" t="s">
        <v>3</v>
      </c>
      <c r="B76" s="332"/>
      <c r="C76" s="332"/>
      <c r="D76" s="333"/>
      <c r="E76" s="334"/>
      <c r="F76" s="335"/>
      <c r="G76" s="472"/>
      <c r="H76" s="336">
        <f>SUM(H73:H75)</f>
        <v>0</v>
      </c>
      <c r="I76" s="336">
        <f t="shared" ref="I76:Q76" si="11">SUM(I73:I75)</f>
        <v>0</v>
      </c>
      <c r="J76" s="336">
        <f t="shared" si="11"/>
        <v>0</v>
      </c>
      <c r="K76" s="336">
        <f t="shared" si="11"/>
        <v>0</v>
      </c>
      <c r="L76" s="336">
        <f t="shared" si="11"/>
        <v>0</v>
      </c>
      <c r="M76" s="336">
        <f t="shared" si="11"/>
        <v>0</v>
      </c>
      <c r="N76" s="336">
        <f t="shared" si="11"/>
        <v>20</v>
      </c>
      <c r="O76" s="336">
        <f t="shared" si="11"/>
        <v>20</v>
      </c>
      <c r="P76" s="336">
        <f t="shared" si="11"/>
        <v>0</v>
      </c>
      <c r="Q76" s="336">
        <f t="shared" si="11"/>
        <v>0</v>
      </c>
      <c r="R76" s="336">
        <f t="shared" ref="R76:T76" si="12">SUM(R73:R75)</f>
        <v>0</v>
      </c>
      <c r="S76" s="336">
        <f t="shared" si="12"/>
        <v>0</v>
      </c>
      <c r="T76" s="336">
        <f t="shared" si="12"/>
        <v>0</v>
      </c>
      <c r="U76" s="469"/>
    </row>
    <row r="77" spans="1:21" s="325" customFormat="1" ht="11.25" customHeight="1" x14ac:dyDescent="0.25">
      <c r="A77" s="328" t="s">
        <v>378</v>
      </c>
      <c r="B77" s="329" t="s">
        <v>424</v>
      </c>
      <c r="C77" s="329" t="s">
        <v>173</v>
      </c>
      <c r="D77" s="338" t="s">
        <v>1332</v>
      </c>
      <c r="E77" s="329" t="s">
        <v>172</v>
      </c>
      <c r="F77" s="330" t="s">
        <v>464</v>
      </c>
      <c r="G77" s="463" t="s">
        <v>1307</v>
      </c>
      <c r="H77" s="639"/>
      <c r="I77" s="704"/>
      <c r="J77" s="338"/>
      <c r="K77" s="338"/>
      <c r="L77" s="338"/>
      <c r="M77" s="338"/>
      <c r="N77" s="338"/>
      <c r="O77" s="338"/>
      <c r="P77" s="338"/>
      <c r="Q77" s="707"/>
      <c r="R77" s="642"/>
      <c r="S77" s="346"/>
      <c r="T77" s="346"/>
      <c r="U77" s="469" t="s">
        <v>1333</v>
      </c>
    </row>
    <row r="78" spans="1:21" s="325" customFormat="1" ht="11.25" customHeight="1" x14ac:dyDescent="0.25">
      <c r="A78" s="328" t="s">
        <v>378</v>
      </c>
      <c r="B78" s="329" t="s">
        <v>424</v>
      </c>
      <c r="C78" s="329" t="s">
        <v>173</v>
      </c>
      <c r="D78" s="338" t="s">
        <v>176</v>
      </c>
      <c r="E78" s="338" t="s">
        <v>175</v>
      </c>
      <c r="F78" s="330" t="s">
        <v>464</v>
      </c>
      <c r="G78" s="465" t="s">
        <v>1307</v>
      </c>
      <c r="H78" s="639"/>
      <c r="I78" s="704"/>
      <c r="J78" s="338"/>
      <c r="K78" s="338"/>
      <c r="L78" s="338"/>
      <c r="M78" s="338"/>
      <c r="N78" s="338"/>
      <c r="O78" s="338"/>
      <c r="P78" s="338"/>
      <c r="Q78" s="707"/>
      <c r="R78" s="642"/>
      <c r="S78" s="346"/>
      <c r="T78" s="346"/>
      <c r="U78" s="469" t="s">
        <v>1333</v>
      </c>
    </row>
    <row r="79" spans="1:21" s="325" customFormat="1" ht="11.25" customHeight="1" x14ac:dyDescent="0.25">
      <c r="A79" s="328" t="s">
        <v>378</v>
      </c>
      <c r="B79" s="329" t="s">
        <v>1330</v>
      </c>
      <c r="C79" s="329" t="s">
        <v>173</v>
      </c>
      <c r="D79" s="338" t="s">
        <v>1664</v>
      </c>
      <c r="E79" s="338" t="s">
        <v>1652</v>
      </c>
      <c r="F79" s="330" t="s">
        <v>464</v>
      </c>
      <c r="G79" s="465" t="s">
        <v>1307</v>
      </c>
      <c r="H79" s="639"/>
      <c r="I79" s="704"/>
      <c r="J79" s="338"/>
      <c r="K79" s="338"/>
      <c r="L79" s="338"/>
      <c r="M79" s="338"/>
      <c r="N79" s="338"/>
      <c r="O79" s="338"/>
      <c r="P79" s="338"/>
      <c r="Q79" s="707"/>
      <c r="R79" s="642"/>
      <c r="S79" s="346"/>
      <c r="T79" s="346">
        <v>42</v>
      </c>
      <c r="U79" s="469"/>
    </row>
    <row r="80" spans="1:21" s="325" customFormat="1" ht="11.25" customHeight="1" x14ac:dyDescent="0.25">
      <c r="A80" s="328" t="s">
        <v>378</v>
      </c>
      <c r="B80" s="329" t="s">
        <v>1330</v>
      </c>
      <c r="C80" s="329" t="s">
        <v>173</v>
      </c>
      <c r="D80" s="338" t="s">
        <v>1665</v>
      </c>
      <c r="E80" s="338" t="s">
        <v>1653</v>
      </c>
      <c r="F80" s="330" t="s">
        <v>464</v>
      </c>
      <c r="G80" s="465" t="s">
        <v>1307</v>
      </c>
      <c r="H80" s="639"/>
      <c r="I80" s="704"/>
      <c r="J80" s="338"/>
      <c r="K80" s="338"/>
      <c r="L80" s="338"/>
      <c r="M80" s="338"/>
      <c r="N80" s="338"/>
      <c r="O80" s="338"/>
      <c r="P80" s="338"/>
      <c r="Q80" s="707"/>
      <c r="R80" s="642"/>
      <c r="S80" s="346"/>
      <c r="T80" s="346">
        <v>60</v>
      </c>
      <c r="U80" s="469"/>
    </row>
    <row r="81" spans="1:21" s="325" customFormat="1" ht="11.25" customHeight="1" x14ac:dyDescent="0.25">
      <c r="A81" s="328" t="s">
        <v>378</v>
      </c>
      <c r="B81" s="329" t="s">
        <v>1330</v>
      </c>
      <c r="C81" s="329" t="s">
        <v>173</v>
      </c>
      <c r="D81" s="338" t="s">
        <v>1666</v>
      </c>
      <c r="E81" s="338" t="s">
        <v>1654</v>
      </c>
      <c r="F81" s="330" t="s">
        <v>464</v>
      </c>
      <c r="G81" s="465" t="s">
        <v>1307</v>
      </c>
      <c r="H81" s="639"/>
      <c r="I81" s="704"/>
      <c r="J81" s="338"/>
      <c r="K81" s="338"/>
      <c r="L81" s="338"/>
      <c r="M81" s="338"/>
      <c r="N81" s="338"/>
      <c r="O81" s="338"/>
      <c r="P81" s="338"/>
      <c r="Q81" s="707"/>
      <c r="R81" s="642"/>
      <c r="S81" s="346"/>
      <c r="T81" s="346">
        <v>30</v>
      </c>
      <c r="U81" s="469"/>
    </row>
    <row r="82" spans="1:21" s="325" customFormat="1" ht="11.25" customHeight="1" x14ac:dyDescent="0.25">
      <c r="A82" s="328" t="s">
        <v>378</v>
      </c>
      <c r="B82" s="329" t="s">
        <v>1330</v>
      </c>
      <c r="C82" s="329" t="s">
        <v>173</v>
      </c>
      <c r="D82" s="338" t="s">
        <v>1668</v>
      </c>
      <c r="E82" s="338" t="s">
        <v>1655</v>
      </c>
      <c r="F82" s="330" t="s">
        <v>464</v>
      </c>
      <c r="G82" s="465" t="s">
        <v>1307</v>
      </c>
      <c r="H82" s="639"/>
      <c r="I82" s="704"/>
      <c r="J82" s="338"/>
      <c r="K82" s="338"/>
      <c r="L82" s="338"/>
      <c r="M82" s="338"/>
      <c r="N82" s="338"/>
      <c r="O82" s="338"/>
      <c r="P82" s="338"/>
      <c r="Q82" s="707"/>
      <c r="R82" s="642"/>
      <c r="S82" s="346"/>
      <c r="T82" s="346">
        <v>33</v>
      </c>
      <c r="U82" s="469"/>
    </row>
    <row r="83" spans="1:21" s="325" customFormat="1" ht="11.25" customHeight="1" x14ac:dyDescent="0.25">
      <c r="A83" s="328" t="s">
        <v>378</v>
      </c>
      <c r="B83" s="329" t="s">
        <v>424</v>
      </c>
      <c r="C83" s="329" t="s">
        <v>173</v>
      </c>
      <c r="D83" s="338" t="s">
        <v>1334</v>
      </c>
      <c r="E83" s="329" t="s">
        <v>1056</v>
      </c>
      <c r="F83" s="330" t="s">
        <v>464</v>
      </c>
      <c r="G83" s="465" t="s">
        <v>1307</v>
      </c>
      <c r="H83" s="639"/>
      <c r="I83" s="704"/>
      <c r="J83" s="338"/>
      <c r="K83" s="338"/>
      <c r="L83" s="338"/>
      <c r="M83" s="338"/>
      <c r="N83" s="338"/>
      <c r="O83" s="338"/>
      <c r="P83" s="338"/>
      <c r="Q83" s="707"/>
      <c r="R83" s="642"/>
      <c r="S83" s="346"/>
      <c r="T83" s="346"/>
      <c r="U83" s="469"/>
    </row>
    <row r="84" spans="1:21" s="325" customFormat="1" ht="11.25" customHeight="1" x14ac:dyDescent="0.25">
      <c r="A84" s="639" t="s">
        <v>378</v>
      </c>
      <c r="B84" s="338" t="s">
        <v>424</v>
      </c>
      <c r="C84" s="338" t="s">
        <v>173</v>
      </c>
      <c r="D84" s="338" t="s">
        <v>1335</v>
      </c>
      <c r="E84" s="329" t="s">
        <v>177</v>
      </c>
      <c r="F84" s="330" t="s">
        <v>464</v>
      </c>
      <c r="G84" s="463" t="s">
        <v>1307</v>
      </c>
      <c r="H84" s="639"/>
      <c r="I84" s="704"/>
      <c r="J84" s="338"/>
      <c r="K84" s="338"/>
      <c r="L84" s="338"/>
      <c r="M84" s="338"/>
      <c r="N84" s="338"/>
      <c r="O84" s="338"/>
      <c r="P84" s="338"/>
      <c r="Q84" s="707"/>
      <c r="R84" s="642"/>
      <c r="S84" s="346"/>
      <c r="T84" s="346"/>
      <c r="U84" s="469" t="s">
        <v>1333</v>
      </c>
    </row>
    <row r="85" spans="1:21" s="325" customFormat="1" ht="11.25" customHeight="1" x14ac:dyDescent="0.25">
      <c r="A85" s="331" t="s">
        <v>3</v>
      </c>
      <c r="B85" s="332"/>
      <c r="C85" s="332"/>
      <c r="D85" s="333"/>
      <c r="E85" s="334"/>
      <c r="F85" s="335"/>
      <c r="G85" s="472"/>
      <c r="H85" s="336">
        <f>SUM(H77:H84)</f>
        <v>0</v>
      </c>
      <c r="I85" s="336">
        <f t="shared" ref="I85:Q85" si="13">SUM(I77:I84)</f>
        <v>0</v>
      </c>
      <c r="J85" s="336">
        <f t="shared" si="13"/>
        <v>0</v>
      </c>
      <c r="K85" s="336">
        <f t="shared" si="13"/>
        <v>0</v>
      </c>
      <c r="L85" s="336">
        <f t="shared" si="13"/>
        <v>0</v>
      </c>
      <c r="M85" s="336">
        <f t="shared" si="13"/>
        <v>0</v>
      </c>
      <c r="N85" s="336">
        <f t="shared" si="13"/>
        <v>0</v>
      </c>
      <c r="O85" s="336">
        <f t="shared" si="13"/>
        <v>0</v>
      </c>
      <c r="P85" s="336">
        <f t="shared" si="13"/>
        <v>0</v>
      </c>
      <c r="Q85" s="336">
        <f t="shared" si="13"/>
        <v>0</v>
      </c>
      <c r="R85" s="336">
        <f t="shared" ref="R85:T85" si="14">SUM(R77:R84)</f>
        <v>0</v>
      </c>
      <c r="S85" s="336">
        <f t="shared" si="14"/>
        <v>0</v>
      </c>
      <c r="T85" s="336">
        <f t="shared" si="14"/>
        <v>165</v>
      </c>
      <c r="U85" s="469"/>
    </row>
    <row r="86" spans="1:21" s="325" customFormat="1" ht="11.25" customHeight="1" x14ac:dyDescent="0.25">
      <c r="A86" s="328" t="s">
        <v>378</v>
      </c>
      <c r="B86" s="329" t="s">
        <v>424</v>
      </c>
      <c r="C86" s="329" t="s">
        <v>180</v>
      </c>
      <c r="D86" s="329" t="s">
        <v>1336</v>
      </c>
      <c r="E86" s="329" t="s">
        <v>285</v>
      </c>
      <c r="F86" s="330" t="s">
        <v>464</v>
      </c>
      <c r="G86" s="463"/>
      <c r="H86" s="639"/>
      <c r="I86" s="704"/>
      <c r="J86" s="338"/>
      <c r="K86" s="338"/>
      <c r="L86" s="338"/>
      <c r="M86" s="338"/>
      <c r="N86" s="338"/>
      <c r="O86" s="338"/>
      <c r="P86" s="338"/>
      <c r="Q86" s="707"/>
      <c r="R86" s="642"/>
      <c r="S86" s="346"/>
      <c r="T86" s="346"/>
      <c r="U86" s="469" t="s">
        <v>1333</v>
      </c>
    </row>
    <row r="87" spans="1:21" s="325" customFormat="1" ht="11.25" customHeight="1" x14ac:dyDescent="0.25">
      <c r="A87" s="328" t="s">
        <v>378</v>
      </c>
      <c r="B87" s="329" t="s">
        <v>1308</v>
      </c>
      <c r="C87" s="329" t="s">
        <v>180</v>
      </c>
      <c r="D87" s="329" t="s">
        <v>1337</v>
      </c>
      <c r="E87" s="329" t="s">
        <v>179</v>
      </c>
      <c r="F87" s="330" t="s">
        <v>464</v>
      </c>
      <c r="G87" s="463"/>
      <c r="H87" s="639">
        <v>11</v>
      </c>
      <c r="I87" s="704">
        <v>11</v>
      </c>
      <c r="J87" s="338">
        <v>11</v>
      </c>
      <c r="K87" s="338">
        <v>11</v>
      </c>
      <c r="L87" s="338"/>
      <c r="M87" s="338"/>
      <c r="N87" s="338"/>
      <c r="O87" s="338"/>
      <c r="P87" s="338"/>
      <c r="Q87" s="707"/>
      <c r="R87" s="642" t="s">
        <v>1564</v>
      </c>
      <c r="S87" s="346"/>
      <c r="T87" s="346"/>
      <c r="U87" s="469"/>
    </row>
    <row r="88" spans="1:21" s="325" customFormat="1" ht="11.25" customHeight="1" x14ac:dyDescent="0.25">
      <c r="A88" s="331" t="s">
        <v>3</v>
      </c>
      <c r="B88" s="332"/>
      <c r="C88" s="332"/>
      <c r="D88" s="333"/>
      <c r="E88" s="334"/>
      <c r="F88" s="335"/>
      <c r="G88" s="472"/>
      <c r="H88" s="336">
        <f>SUM(H86:H87)</f>
        <v>11</v>
      </c>
      <c r="I88" s="336">
        <f t="shared" ref="I88:Q88" si="15">SUM(I86:I87)</f>
        <v>11</v>
      </c>
      <c r="J88" s="336">
        <f t="shared" si="15"/>
        <v>11</v>
      </c>
      <c r="K88" s="336">
        <f t="shared" si="15"/>
        <v>11</v>
      </c>
      <c r="L88" s="336">
        <f t="shared" si="15"/>
        <v>0</v>
      </c>
      <c r="M88" s="336">
        <f t="shared" si="15"/>
        <v>0</v>
      </c>
      <c r="N88" s="336">
        <f t="shared" si="15"/>
        <v>0</v>
      </c>
      <c r="O88" s="336">
        <f t="shared" si="15"/>
        <v>0</v>
      </c>
      <c r="P88" s="336">
        <f t="shared" si="15"/>
        <v>0</v>
      </c>
      <c r="Q88" s="336">
        <f t="shared" si="15"/>
        <v>0</v>
      </c>
      <c r="R88" s="336">
        <f t="shared" ref="R88:T88" si="16">SUM(R86:R87)</f>
        <v>0</v>
      </c>
      <c r="S88" s="336">
        <f t="shared" si="16"/>
        <v>0</v>
      </c>
      <c r="T88" s="336">
        <f t="shared" si="16"/>
        <v>0</v>
      </c>
      <c r="U88" s="469"/>
    </row>
    <row r="89" spans="1:21" s="325" customFormat="1" ht="11.25" customHeight="1" x14ac:dyDescent="0.25">
      <c r="A89" s="328" t="s">
        <v>378</v>
      </c>
      <c r="B89" s="329" t="s">
        <v>1308</v>
      </c>
      <c r="C89" s="329" t="s">
        <v>185</v>
      </c>
      <c r="D89" s="329" t="s">
        <v>523</v>
      </c>
      <c r="E89" s="329" t="s">
        <v>191</v>
      </c>
      <c r="F89" s="330" t="s">
        <v>466</v>
      </c>
      <c r="G89" s="463"/>
      <c r="H89" s="639"/>
      <c r="I89" s="704"/>
      <c r="J89" s="338"/>
      <c r="K89" s="338"/>
      <c r="L89" s="338"/>
      <c r="M89" s="338"/>
      <c r="N89" s="338"/>
      <c r="O89" s="338"/>
      <c r="P89" s="338"/>
      <c r="Q89" s="707"/>
      <c r="R89" s="642"/>
      <c r="S89" s="346"/>
      <c r="T89" s="346"/>
      <c r="U89" s="469"/>
    </row>
    <row r="90" spans="1:21" s="325" customFormat="1" ht="11.25" customHeight="1" x14ac:dyDescent="0.25">
      <c r="A90" s="328" t="s">
        <v>378</v>
      </c>
      <c r="B90" s="329" t="s">
        <v>1308</v>
      </c>
      <c r="C90" s="329" t="s">
        <v>185</v>
      </c>
      <c r="D90" s="329" t="s">
        <v>676</v>
      </c>
      <c r="E90" s="329" t="s">
        <v>193</v>
      </c>
      <c r="F90" s="330" t="s">
        <v>466</v>
      </c>
      <c r="G90" s="463" t="s">
        <v>1307</v>
      </c>
      <c r="H90" s="639">
        <v>12</v>
      </c>
      <c r="I90" s="704"/>
      <c r="J90" s="338"/>
      <c r="K90" s="338"/>
      <c r="L90" s="338">
        <v>20</v>
      </c>
      <c r="M90" s="338"/>
      <c r="N90" s="338"/>
      <c r="O90" s="338"/>
      <c r="P90" s="338"/>
      <c r="Q90" s="707"/>
      <c r="R90" s="642" t="s">
        <v>1650</v>
      </c>
      <c r="S90" s="346"/>
      <c r="T90" s="346"/>
      <c r="U90" s="469"/>
    </row>
    <row r="91" spans="1:21" s="325" customFormat="1" ht="11.25" customHeight="1" x14ac:dyDescent="0.25">
      <c r="A91" s="328" t="s">
        <v>378</v>
      </c>
      <c r="B91" s="329" t="s">
        <v>1308</v>
      </c>
      <c r="C91" s="329" t="s">
        <v>185</v>
      </c>
      <c r="D91" s="329" t="s">
        <v>1338</v>
      </c>
      <c r="E91" s="329" t="s">
        <v>195</v>
      </c>
      <c r="F91" s="330" t="s">
        <v>466</v>
      </c>
      <c r="G91" s="463"/>
      <c r="H91" s="639">
        <v>59</v>
      </c>
      <c r="I91" s="704">
        <v>12</v>
      </c>
      <c r="J91" s="338">
        <v>59</v>
      </c>
      <c r="K91" s="338">
        <v>12</v>
      </c>
      <c r="L91" s="338">
        <v>531</v>
      </c>
      <c r="M91" s="338">
        <v>92</v>
      </c>
      <c r="N91" s="338"/>
      <c r="O91" s="338"/>
      <c r="P91" s="338"/>
      <c r="Q91" s="707"/>
      <c r="R91" s="642" t="s">
        <v>1739</v>
      </c>
      <c r="S91" s="346"/>
      <c r="T91" s="346"/>
      <c r="U91" s="469" t="s">
        <v>1595</v>
      </c>
    </row>
    <row r="92" spans="1:21" s="325" customFormat="1" ht="11.25" customHeight="1" x14ac:dyDescent="0.25">
      <c r="A92" s="328" t="s">
        <v>378</v>
      </c>
      <c r="B92" s="329" t="s">
        <v>424</v>
      </c>
      <c r="C92" s="329" t="s">
        <v>185</v>
      </c>
      <c r="D92" s="329" t="s">
        <v>186</v>
      </c>
      <c r="E92" s="339" t="s">
        <v>184</v>
      </c>
      <c r="F92" s="330" t="s">
        <v>464</v>
      </c>
      <c r="G92" s="345" t="s">
        <v>1463</v>
      </c>
      <c r="H92" s="639"/>
      <c r="I92" s="704"/>
      <c r="J92" s="338"/>
      <c r="K92" s="338"/>
      <c r="L92" s="338"/>
      <c r="M92" s="338"/>
      <c r="N92" s="338"/>
      <c r="O92" s="338"/>
      <c r="P92" s="338"/>
      <c r="Q92" s="707"/>
      <c r="R92" s="642"/>
      <c r="S92" s="346"/>
      <c r="T92" s="346"/>
      <c r="U92" s="469"/>
    </row>
    <row r="93" spans="1:21" s="325" customFormat="1" ht="11.25" customHeight="1" x14ac:dyDescent="0.25">
      <c r="A93" s="328" t="s">
        <v>378</v>
      </c>
      <c r="B93" s="329" t="s">
        <v>1303</v>
      </c>
      <c r="C93" s="329" t="s">
        <v>185</v>
      </c>
      <c r="D93" s="329" t="s">
        <v>1339</v>
      </c>
      <c r="E93" s="329" t="s">
        <v>222</v>
      </c>
      <c r="F93" s="330" t="s">
        <v>464</v>
      </c>
      <c r="G93" s="463"/>
      <c r="H93" s="639">
        <v>45</v>
      </c>
      <c r="I93" s="704">
        <v>45</v>
      </c>
      <c r="J93" s="338">
        <v>45</v>
      </c>
      <c r="K93" s="338">
        <v>45</v>
      </c>
      <c r="L93" s="338"/>
      <c r="M93" s="338"/>
      <c r="N93" s="338"/>
      <c r="O93" s="338"/>
      <c r="P93" s="338">
        <v>1</v>
      </c>
      <c r="Q93" s="707">
        <v>1</v>
      </c>
      <c r="R93" s="642" t="s">
        <v>1598</v>
      </c>
      <c r="S93" s="346"/>
      <c r="T93" s="346"/>
      <c r="U93" s="469"/>
    </row>
    <row r="94" spans="1:21" s="325" customFormat="1" ht="11.25" customHeight="1" x14ac:dyDescent="0.25">
      <c r="A94" s="328" t="s">
        <v>378</v>
      </c>
      <c r="B94" s="329" t="s">
        <v>424</v>
      </c>
      <c r="C94" s="329" t="s">
        <v>185</v>
      </c>
      <c r="D94" s="339" t="s">
        <v>190</v>
      </c>
      <c r="E94" s="339" t="s">
        <v>189</v>
      </c>
      <c r="F94" s="330" t="s">
        <v>464</v>
      </c>
      <c r="G94" s="466"/>
      <c r="H94" s="639">
        <v>52</v>
      </c>
      <c r="I94" s="704">
        <v>52</v>
      </c>
      <c r="J94" s="338"/>
      <c r="K94" s="338"/>
      <c r="L94" s="338">
        <v>12</v>
      </c>
      <c r="M94" s="338">
        <v>12</v>
      </c>
      <c r="N94" s="338"/>
      <c r="O94" s="338"/>
      <c r="P94" s="338"/>
      <c r="Q94" s="707"/>
      <c r="R94" s="642" t="s">
        <v>1645</v>
      </c>
      <c r="S94" s="346"/>
      <c r="T94" s="346"/>
      <c r="U94" s="469"/>
    </row>
    <row r="95" spans="1:21" s="325" customFormat="1" ht="11.25" customHeight="1" x14ac:dyDescent="0.25">
      <c r="A95" s="328" t="s">
        <v>378</v>
      </c>
      <c r="B95" s="329" t="s">
        <v>424</v>
      </c>
      <c r="C95" s="329" t="s">
        <v>185</v>
      </c>
      <c r="D95" s="329" t="s">
        <v>1342</v>
      </c>
      <c r="E95" s="329" t="s">
        <v>228</v>
      </c>
      <c r="F95" s="330" t="s">
        <v>464</v>
      </c>
      <c r="G95" s="463" t="s">
        <v>1307</v>
      </c>
      <c r="H95" s="639"/>
      <c r="I95" s="704"/>
      <c r="J95" s="338"/>
      <c r="K95" s="338"/>
      <c r="L95" s="338">
        <v>3</v>
      </c>
      <c r="M95" s="338">
        <v>3</v>
      </c>
      <c r="N95" s="338"/>
      <c r="O95" s="338"/>
      <c r="P95" s="338"/>
      <c r="Q95" s="707"/>
      <c r="R95" s="642" t="s">
        <v>1602</v>
      </c>
      <c r="S95" s="346"/>
      <c r="T95" s="346"/>
      <c r="U95" s="469" t="s">
        <v>1333</v>
      </c>
    </row>
    <row r="96" spans="1:21" s="325" customFormat="1" ht="11.25" customHeight="1" x14ac:dyDescent="0.25">
      <c r="A96" s="328" t="s">
        <v>378</v>
      </c>
      <c r="B96" s="329" t="s">
        <v>1303</v>
      </c>
      <c r="C96" s="329" t="s">
        <v>185</v>
      </c>
      <c r="D96" s="329" t="s">
        <v>202</v>
      </c>
      <c r="E96" s="329" t="s">
        <v>201</v>
      </c>
      <c r="F96" s="330" t="s">
        <v>464</v>
      </c>
      <c r="G96" s="463"/>
      <c r="H96" s="639"/>
      <c r="I96" s="704"/>
      <c r="J96" s="338"/>
      <c r="K96" s="338"/>
      <c r="L96" s="338"/>
      <c r="M96" s="338"/>
      <c r="N96" s="338"/>
      <c r="O96" s="338"/>
      <c r="P96" s="338"/>
      <c r="Q96" s="707"/>
      <c r="R96" s="642"/>
      <c r="S96" s="346"/>
      <c r="T96" s="346"/>
      <c r="U96" s="469"/>
    </row>
    <row r="97" spans="1:21" s="325" customFormat="1" ht="11.25" customHeight="1" x14ac:dyDescent="0.25">
      <c r="A97" s="328" t="s">
        <v>378</v>
      </c>
      <c r="B97" s="329" t="s">
        <v>424</v>
      </c>
      <c r="C97" s="329" t="s">
        <v>185</v>
      </c>
      <c r="D97" s="329" t="s">
        <v>209</v>
      </c>
      <c r="E97" s="329" t="s">
        <v>208</v>
      </c>
      <c r="F97" s="330" t="s">
        <v>464</v>
      </c>
      <c r="G97" s="463" t="s">
        <v>1307</v>
      </c>
      <c r="H97" s="639">
        <v>40</v>
      </c>
      <c r="I97" s="704">
        <v>40</v>
      </c>
      <c r="J97" s="338">
        <v>40</v>
      </c>
      <c r="K97" s="338">
        <v>40</v>
      </c>
      <c r="L97" s="338">
        <v>102</v>
      </c>
      <c r="M97" s="338">
        <v>20</v>
      </c>
      <c r="N97" s="338"/>
      <c r="O97" s="338"/>
      <c r="P97" s="338"/>
      <c r="Q97" s="707"/>
      <c r="R97" s="642" t="s">
        <v>1740</v>
      </c>
      <c r="S97" s="346"/>
      <c r="T97" s="346"/>
      <c r="U97" s="469" t="s">
        <v>1333</v>
      </c>
    </row>
    <row r="98" spans="1:21" s="325" customFormat="1" ht="11.25" customHeight="1" x14ac:dyDescent="0.25">
      <c r="A98" s="328" t="s">
        <v>378</v>
      </c>
      <c r="B98" s="329" t="s">
        <v>1303</v>
      </c>
      <c r="C98" s="329" t="s">
        <v>185</v>
      </c>
      <c r="D98" s="329" t="s">
        <v>1341</v>
      </c>
      <c r="E98" s="329" t="s">
        <v>214</v>
      </c>
      <c r="F98" s="330" t="s">
        <v>466</v>
      </c>
      <c r="G98" s="463"/>
      <c r="H98" s="639">
        <v>30</v>
      </c>
      <c r="I98" s="704"/>
      <c r="J98" s="338">
        <v>30</v>
      </c>
      <c r="K98" s="338"/>
      <c r="L98" s="338"/>
      <c r="M98" s="338"/>
      <c r="N98" s="338"/>
      <c r="O98" s="338"/>
      <c r="P98" s="338"/>
      <c r="Q98" s="707"/>
      <c r="R98" s="642" t="s">
        <v>1648</v>
      </c>
      <c r="S98" s="346"/>
      <c r="T98" s="346"/>
      <c r="U98" s="469" t="s">
        <v>1597</v>
      </c>
    </row>
    <row r="99" spans="1:21" s="325" customFormat="1" ht="11.25" customHeight="1" x14ac:dyDescent="0.25">
      <c r="A99" s="328" t="s">
        <v>378</v>
      </c>
      <c r="B99" s="329" t="s">
        <v>1303</v>
      </c>
      <c r="C99" s="329" t="s">
        <v>185</v>
      </c>
      <c r="D99" s="329" t="s">
        <v>1343</v>
      </c>
      <c r="E99" s="339" t="s">
        <v>218</v>
      </c>
      <c r="F99" s="343" t="s">
        <v>466</v>
      </c>
      <c r="G99" s="345"/>
      <c r="H99" s="639">
        <v>20</v>
      </c>
      <c r="I99" s="704">
        <v>20</v>
      </c>
      <c r="J99" s="338">
        <v>20</v>
      </c>
      <c r="K99" s="338">
        <v>20</v>
      </c>
      <c r="L99" s="338"/>
      <c r="M99" s="338"/>
      <c r="N99" s="338"/>
      <c r="O99" s="338"/>
      <c r="P99" s="338"/>
      <c r="Q99" s="707"/>
      <c r="R99" s="642" t="s">
        <v>1598</v>
      </c>
      <c r="S99" s="346"/>
      <c r="T99" s="346"/>
      <c r="U99" s="469"/>
    </row>
    <row r="100" spans="1:21" s="325" customFormat="1" ht="11.25" customHeight="1" x14ac:dyDescent="0.25">
      <c r="A100" s="328" t="s">
        <v>378</v>
      </c>
      <c r="B100" s="329" t="s">
        <v>424</v>
      </c>
      <c r="C100" s="329" t="s">
        <v>185</v>
      </c>
      <c r="D100" s="329" t="s">
        <v>1344</v>
      </c>
      <c r="E100" s="329" t="s">
        <v>224</v>
      </c>
      <c r="F100" s="330" t="s">
        <v>464</v>
      </c>
      <c r="G100" s="463"/>
      <c r="H100" s="639"/>
      <c r="I100" s="704"/>
      <c r="J100" s="338"/>
      <c r="K100" s="338"/>
      <c r="L100" s="338"/>
      <c r="M100" s="338"/>
      <c r="N100" s="338"/>
      <c r="O100" s="338"/>
      <c r="P100" s="338"/>
      <c r="Q100" s="707"/>
      <c r="R100" s="642"/>
      <c r="S100" s="346"/>
      <c r="T100" s="346"/>
      <c r="U100" s="469"/>
    </row>
    <row r="101" spans="1:21" s="325" customFormat="1" ht="11.25" customHeight="1" x14ac:dyDescent="0.25">
      <c r="A101" s="331" t="s">
        <v>3</v>
      </c>
      <c r="B101" s="332"/>
      <c r="C101" s="332"/>
      <c r="D101" s="333"/>
      <c r="E101" s="334"/>
      <c r="F101" s="335"/>
      <c r="G101" s="472"/>
      <c r="H101" s="336">
        <f>SUM(H89:H100)</f>
        <v>258</v>
      </c>
      <c r="I101" s="336">
        <f t="shared" ref="I101:Q101" si="17">SUM(I89:I100)</f>
        <v>169</v>
      </c>
      <c r="J101" s="336">
        <f t="shared" si="17"/>
        <v>194</v>
      </c>
      <c r="K101" s="336">
        <f t="shared" si="17"/>
        <v>117</v>
      </c>
      <c r="L101" s="336">
        <f t="shared" si="17"/>
        <v>668</v>
      </c>
      <c r="M101" s="336">
        <f t="shared" si="17"/>
        <v>127</v>
      </c>
      <c r="N101" s="336">
        <f t="shared" si="17"/>
        <v>0</v>
      </c>
      <c r="O101" s="336">
        <f t="shared" si="17"/>
        <v>0</v>
      </c>
      <c r="P101" s="336">
        <f t="shared" si="17"/>
        <v>1</v>
      </c>
      <c r="Q101" s="336">
        <f t="shared" si="17"/>
        <v>1</v>
      </c>
      <c r="R101" s="336">
        <f t="shared" ref="R101:T101" si="18">SUM(R89:R100)</f>
        <v>0</v>
      </c>
      <c r="S101" s="689">
        <f t="shared" si="18"/>
        <v>0</v>
      </c>
      <c r="T101" s="689">
        <f t="shared" si="18"/>
        <v>0</v>
      </c>
      <c r="U101" s="469"/>
    </row>
    <row r="102" spans="1:21" s="325" customFormat="1" ht="11.25" customHeight="1" x14ac:dyDescent="0.25">
      <c r="A102" s="328" t="s">
        <v>1316</v>
      </c>
      <c r="B102" s="329" t="s">
        <v>424</v>
      </c>
      <c r="C102" s="329" t="s">
        <v>230</v>
      </c>
      <c r="D102" s="329" t="s">
        <v>903</v>
      </c>
      <c r="E102" s="329" t="s">
        <v>904</v>
      </c>
      <c r="F102" s="330" t="s">
        <v>464</v>
      </c>
      <c r="G102" s="463"/>
      <c r="H102" s="639"/>
      <c r="I102" s="704"/>
      <c r="J102" s="338"/>
      <c r="K102" s="338"/>
      <c r="L102" s="338"/>
      <c r="M102" s="338"/>
      <c r="N102" s="338"/>
      <c r="O102" s="338"/>
      <c r="P102" s="338"/>
      <c r="Q102" s="707"/>
      <c r="R102" s="642"/>
      <c r="S102" s="346"/>
      <c r="T102" s="346"/>
      <c r="U102" s="469"/>
    </row>
    <row r="103" spans="1:21" s="325" customFormat="1" ht="11.25" customHeight="1" x14ac:dyDescent="0.25">
      <c r="A103" s="328" t="s">
        <v>1316</v>
      </c>
      <c r="B103" s="329" t="s">
        <v>1319</v>
      </c>
      <c r="C103" s="329" t="s">
        <v>230</v>
      </c>
      <c r="D103" s="329" t="s">
        <v>913</v>
      </c>
      <c r="E103" s="329" t="s">
        <v>914</v>
      </c>
      <c r="F103" s="330" t="s">
        <v>464</v>
      </c>
      <c r="G103" s="344"/>
      <c r="H103" s="639"/>
      <c r="I103" s="704"/>
      <c r="J103" s="338"/>
      <c r="K103" s="338"/>
      <c r="L103" s="338"/>
      <c r="M103" s="338"/>
      <c r="N103" s="338">
        <v>10</v>
      </c>
      <c r="O103" s="338"/>
      <c r="P103" s="338"/>
      <c r="Q103" s="707"/>
      <c r="R103" s="642" t="s">
        <v>1593</v>
      </c>
      <c r="S103" s="346"/>
      <c r="T103" s="346"/>
      <c r="U103" s="469"/>
    </row>
    <row r="104" spans="1:21" s="325" customFormat="1" ht="11.25" customHeight="1" x14ac:dyDescent="0.25">
      <c r="A104" s="329" t="s">
        <v>1316</v>
      </c>
      <c r="B104" s="329" t="s">
        <v>424</v>
      </c>
      <c r="C104" s="329" t="s">
        <v>230</v>
      </c>
      <c r="D104" s="329" t="s">
        <v>716</v>
      </c>
      <c r="E104" s="329" t="s">
        <v>1245</v>
      </c>
      <c r="F104" s="330" t="s">
        <v>464</v>
      </c>
      <c r="G104" s="344" t="s">
        <v>1460</v>
      </c>
      <c r="H104" s="639">
        <v>64</v>
      </c>
      <c r="I104" s="704"/>
      <c r="J104" s="338">
        <v>64</v>
      </c>
      <c r="K104" s="338"/>
      <c r="L104" s="338"/>
      <c r="M104" s="338"/>
      <c r="N104" s="338"/>
      <c r="O104" s="338"/>
      <c r="P104" s="338"/>
      <c r="Q104" s="707"/>
      <c r="R104" s="642" t="s">
        <v>1731</v>
      </c>
      <c r="S104" s="346"/>
      <c r="T104" s="346"/>
      <c r="U104" s="469"/>
    </row>
    <row r="105" spans="1:21" s="325" customFormat="1" ht="11.25" customHeight="1" x14ac:dyDescent="0.25">
      <c r="A105" s="331" t="s">
        <v>3</v>
      </c>
      <c r="B105" s="332"/>
      <c r="C105" s="332"/>
      <c r="D105" s="333"/>
      <c r="E105" s="334"/>
      <c r="F105" s="335"/>
      <c r="G105" s="472"/>
      <c r="H105" s="336">
        <f>SUM(H102:H104)</f>
        <v>64</v>
      </c>
      <c r="I105" s="336">
        <f t="shared" ref="I105:Q105" si="19">SUM(I102:I104)</f>
        <v>0</v>
      </c>
      <c r="J105" s="336">
        <f t="shared" si="19"/>
        <v>64</v>
      </c>
      <c r="K105" s="336">
        <f t="shared" si="19"/>
        <v>0</v>
      </c>
      <c r="L105" s="336">
        <f t="shared" si="19"/>
        <v>0</v>
      </c>
      <c r="M105" s="336">
        <f t="shared" si="19"/>
        <v>0</v>
      </c>
      <c r="N105" s="336">
        <f t="shared" si="19"/>
        <v>10</v>
      </c>
      <c r="O105" s="336">
        <f t="shared" si="19"/>
        <v>0</v>
      </c>
      <c r="P105" s="336">
        <f t="shared" si="19"/>
        <v>0</v>
      </c>
      <c r="Q105" s="336">
        <f t="shared" si="19"/>
        <v>0</v>
      </c>
      <c r="R105" s="336">
        <f t="shared" ref="R105:T105" si="20">SUM(R102:R104)</f>
        <v>0</v>
      </c>
      <c r="S105" s="689">
        <f t="shared" si="20"/>
        <v>0</v>
      </c>
      <c r="T105" s="689">
        <f t="shared" si="20"/>
        <v>0</v>
      </c>
      <c r="U105" s="469"/>
    </row>
    <row r="106" spans="1:21" s="325" customFormat="1" ht="11.25" customHeight="1" x14ac:dyDescent="0.25">
      <c r="A106" s="328" t="s">
        <v>378</v>
      </c>
      <c r="B106" s="329" t="s">
        <v>424</v>
      </c>
      <c r="C106" s="329" t="s">
        <v>237</v>
      </c>
      <c r="D106" s="329" t="s">
        <v>1345</v>
      </c>
      <c r="E106" s="329" t="s">
        <v>245</v>
      </c>
      <c r="F106" s="330" t="s">
        <v>464</v>
      </c>
      <c r="G106" s="463"/>
      <c r="H106" s="639"/>
      <c r="I106" s="704"/>
      <c r="J106" s="338"/>
      <c r="K106" s="338"/>
      <c r="L106" s="338"/>
      <c r="M106" s="338"/>
      <c r="N106" s="338"/>
      <c r="O106" s="338"/>
      <c r="P106" s="338"/>
      <c r="Q106" s="707"/>
      <c r="R106" s="642"/>
      <c r="S106" s="346"/>
      <c r="T106" s="346"/>
      <c r="U106" s="469"/>
    </row>
    <row r="107" spans="1:21" s="325" customFormat="1" ht="11.25" customHeight="1" x14ac:dyDescent="0.25">
      <c r="A107" s="328" t="s">
        <v>378</v>
      </c>
      <c r="B107" s="329" t="s">
        <v>424</v>
      </c>
      <c r="C107" s="329" t="s">
        <v>237</v>
      </c>
      <c r="D107" s="329" t="s">
        <v>1346</v>
      </c>
      <c r="E107" s="329" t="s">
        <v>251</v>
      </c>
      <c r="F107" s="330" t="s">
        <v>464</v>
      </c>
      <c r="G107" s="344" t="s">
        <v>1307</v>
      </c>
      <c r="H107" s="639">
        <v>23</v>
      </c>
      <c r="I107" s="704"/>
      <c r="J107" s="338">
        <v>23</v>
      </c>
      <c r="K107" s="338"/>
      <c r="L107" s="338"/>
      <c r="M107" s="338"/>
      <c r="N107" s="338">
        <v>30</v>
      </c>
      <c r="O107" s="338"/>
      <c r="P107" s="338"/>
      <c r="Q107" s="707"/>
      <c r="R107" s="642" t="s">
        <v>1725</v>
      </c>
      <c r="S107" s="346"/>
      <c r="T107" s="346"/>
      <c r="U107" s="469"/>
    </row>
    <row r="108" spans="1:21" s="325" customFormat="1" ht="11.25" customHeight="1" x14ac:dyDescent="0.25">
      <c r="A108" s="328" t="s">
        <v>378</v>
      </c>
      <c r="B108" s="329" t="s">
        <v>1308</v>
      </c>
      <c r="C108" s="329" t="s">
        <v>237</v>
      </c>
      <c r="D108" s="329" t="s">
        <v>1347</v>
      </c>
      <c r="E108" s="329" t="s">
        <v>253</v>
      </c>
      <c r="F108" s="330" t="s">
        <v>464</v>
      </c>
      <c r="G108" s="463"/>
      <c r="H108" s="639"/>
      <c r="I108" s="704"/>
      <c r="J108" s="338"/>
      <c r="K108" s="338"/>
      <c r="L108" s="338"/>
      <c r="M108" s="338"/>
      <c r="N108" s="338"/>
      <c r="O108" s="338"/>
      <c r="P108" s="338"/>
      <c r="Q108" s="707"/>
      <c r="R108" s="642"/>
      <c r="S108" s="346"/>
      <c r="T108" s="346"/>
      <c r="U108" s="469"/>
    </row>
    <row r="109" spans="1:21" s="325" customFormat="1" ht="11.25" customHeight="1" x14ac:dyDescent="0.25">
      <c r="A109" s="328" t="s">
        <v>378</v>
      </c>
      <c r="B109" s="329" t="s">
        <v>424</v>
      </c>
      <c r="C109" s="329" t="s">
        <v>237</v>
      </c>
      <c r="D109" s="329" t="s">
        <v>256</v>
      </c>
      <c r="E109" s="329" t="s">
        <v>255</v>
      </c>
      <c r="F109" s="330" t="s">
        <v>464</v>
      </c>
      <c r="G109" s="345"/>
      <c r="H109" s="639"/>
      <c r="I109" s="704"/>
      <c r="J109" s="338"/>
      <c r="K109" s="338"/>
      <c r="L109" s="338"/>
      <c r="M109" s="338"/>
      <c r="N109" s="338"/>
      <c r="O109" s="338"/>
      <c r="P109" s="338"/>
      <c r="Q109" s="707"/>
      <c r="R109" s="642"/>
      <c r="S109" s="346"/>
      <c r="T109" s="346"/>
      <c r="U109" s="469"/>
    </row>
    <row r="110" spans="1:21" s="325" customFormat="1" ht="11.25" customHeight="1" x14ac:dyDescent="0.25">
      <c r="A110" s="328" t="s">
        <v>378</v>
      </c>
      <c r="B110" s="329" t="s">
        <v>424</v>
      </c>
      <c r="C110" s="329" t="s">
        <v>237</v>
      </c>
      <c r="D110" s="329" t="s">
        <v>240</v>
      </c>
      <c r="E110" s="329" t="s">
        <v>239</v>
      </c>
      <c r="F110" s="330" t="s">
        <v>464</v>
      </c>
      <c r="G110" s="463"/>
      <c r="H110" s="639"/>
      <c r="I110" s="704"/>
      <c r="J110" s="338"/>
      <c r="K110" s="338"/>
      <c r="L110" s="338"/>
      <c r="M110" s="338"/>
      <c r="N110" s="338"/>
      <c r="O110" s="338"/>
      <c r="P110" s="338"/>
      <c r="Q110" s="707"/>
      <c r="R110" s="642"/>
      <c r="S110" s="346"/>
      <c r="T110" s="346"/>
      <c r="U110" s="469"/>
    </row>
    <row r="111" spans="1:21" s="325" customFormat="1" ht="11.25" customHeight="1" x14ac:dyDescent="0.25">
      <c r="A111" s="328" t="s">
        <v>378</v>
      </c>
      <c r="B111" s="329" t="s">
        <v>424</v>
      </c>
      <c r="C111" s="329" t="s">
        <v>237</v>
      </c>
      <c r="D111" s="329" t="s">
        <v>1348</v>
      </c>
      <c r="E111" s="329" t="s">
        <v>283</v>
      </c>
      <c r="F111" s="330" t="s">
        <v>464</v>
      </c>
      <c r="G111" s="345" t="s">
        <v>1307</v>
      </c>
      <c r="H111" s="639"/>
      <c r="I111" s="704"/>
      <c r="J111" s="338"/>
      <c r="K111" s="338"/>
      <c r="L111" s="338"/>
      <c r="M111" s="338"/>
      <c r="N111" s="338">
        <v>60</v>
      </c>
      <c r="O111" s="338">
        <v>60</v>
      </c>
      <c r="P111" s="338"/>
      <c r="Q111" s="707"/>
      <c r="R111" s="642" t="s">
        <v>1602</v>
      </c>
      <c r="S111" s="346"/>
      <c r="T111" s="346"/>
      <c r="U111" s="469"/>
    </row>
    <row r="112" spans="1:21" s="325" customFormat="1" ht="11.25" customHeight="1" x14ac:dyDescent="0.25">
      <c r="A112" s="328" t="s">
        <v>378</v>
      </c>
      <c r="B112" s="329" t="s">
        <v>424</v>
      </c>
      <c r="C112" s="329" t="s">
        <v>237</v>
      </c>
      <c r="D112" s="329" t="s">
        <v>258</v>
      </c>
      <c r="E112" s="329" t="s">
        <v>257</v>
      </c>
      <c r="F112" s="330" t="s">
        <v>464</v>
      </c>
      <c r="G112" s="463" t="s">
        <v>1603</v>
      </c>
      <c r="H112" s="639">
        <v>6</v>
      </c>
      <c r="I112" s="704"/>
      <c r="J112" s="338">
        <v>6</v>
      </c>
      <c r="K112" s="338"/>
      <c r="L112" s="338"/>
      <c r="M112" s="338"/>
      <c r="N112" s="338"/>
      <c r="O112" s="338"/>
      <c r="P112" s="338"/>
      <c r="Q112" s="707"/>
      <c r="R112" s="642" t="s">
        <v>1724</v>
      </c>
      <c r="S112" s="346"/>
      <c r="T112" s="346"/>
      <c r="U112" s="469"/>
    </row>
    <row r="113" spans="1:21" s="325" customFormat="1" ht="11.25" customHeight="1" x14ac:dyDescent="0.25">
      <c r="A113" s="328" t="s">
        <v>378</v>
      </c>
      <c r="B113" s="329" t="s">
        <v>424</v>
      </c>
      <c r="C113" s="329" t="s">
        <v>237</v>
      </c>
      <c r="D113" s="329" t="s">
        <v>260</v>
      </c>
      <c r="E113" s="329" t="s">
        <v>259</v>
      </c>
      <c r="F113" s="330" t="s">
        <v>464</v>
      </c>
      <c r="G113" s="344" t="s">
        <v>1307</v>
      </c>
      <c r="H113" s="639"/>
      <c r="I113" s="704"/>
      <c r="J113" s="338"/>
      <c r="K113" s="338"/>
      <c r="L113" s="338"/>
      <c r="M113" s="338"/>
      <c r="N113" s="338">
        <v>46</v>
      </c>
      <c r="O113" s="338">
        <v>46</v>
      </c>
      <c r="P113" s="338"/>
      <c r="Q113" s="707"/>
      <c r="R113" s="642" t="s">
        <v>1602</v>
      </c>
      <c r="S113" s="346"/>
      <c r="T113" s="346"/>
      <c r="U113" s="469"/>
    </row>
    <row r="114" spans="1:21" s="325" customFormat="1" ht="11.25" customHeight="1" x14ac:dyDescent="0.25">
      <c r="A114" s="328" t="s">
        <v>378</v>
      </c>
      <c r="B114" s="329" t="s">
        <v>462</v>
      </c>
      <c r="C114" s="329" t="s">
        <v>237</v>
      </c>
      <c r="D114" s="329" t="s">
        <v>262</v>
      </c>
      <c r="E114" s="329" t="s">
        <v>261</v>
      </c>
      <c r="F114" s="330" t="s">
        <v>464</v>
      </c>
      <c r="G114" s="463"/>
      <c r="H114" s="639"/>
      <c r="I114" s="704"/>
      <c r="J114" s="338"/>
      <c r="K114" s="338"/>
      <c r="L114" s="338"/>
      <c r="M114" s="338"/>
      <c r="N114" s="338">
        <v>20</v>
      </c>
      <c r="O114" s="338">
        <v>20</v>
      </c>
      <c r="P114" s="338"/>
      <c r="Q114" s="707"/>
      <c r="R114" s="642" t="s">
        <v>1601</v>
      </c>
      <c r="S114" s="346"/>
      <c r="T114" s="346"/>
      <c r="U114" s="469"/>
    </row>
    <row r="115" spans="1:21" s="325" customFormat="1" ht="11.25" customHeight="1" x14ac:dyDescent="0.25">
      <c r="A115" s="328" t="s">
        <v>378</v>
      </c>
      <c r="B115" s="329" t="s">
        <v>462</v>
      </c>
      <c r="C115" s="329" t="s">
        <v>237</v>
      </c>
      <c r="D115" s="329" t="s">
        <v>264</v>
      </c>
      <c r="E115" s="329" t="s">
        <v>263</v>
      </c>
      <c r="F115" s="330" t="s">
        <v>464</v>
      </c>
      <c r="G115" s="344"/>
      <c r="H115" s="639"/>
      <c r="I115" s="704"/>
      <c r="J115" s="338"/>
      <c r="K115" s="338"/>
      <c r="L115" s="338"/>
      <c r="M115" s="338"/>
      <c r="N115" s="338"/>
      <c r="O115" s="338"/>
      <c r="P115" s="338"/>
      <c r="Q115" s="707"/>
      <c r="R115" s="642"/>
      <c r="S115" s="346"/>
      <c r="T115" s="346"/>
      <c r="U115" s="469"/>
    </row>
    <row r="116" spans="1:21" s="325" customFormat="1" ht="11.25" customHeight="1" x14ac:dyDescent="0.25">
      <c r="A116" s="328" t="s">
        <v>378</v>
      </c>
      <c r="B116" s="329" t="s">
        <v>1308</v>
      </c>
      <c r="C116" s="329" t="s">
        <v>237</v>
      </c>
      <c r="D116" s="329" t="s">
        <v>1349</v>
      </c>
      <c r="E116" s="329" t="s">
        <v>269</v>
      </c>
      <c r="F116" s="330" t="s">
        <v>464</v>
      </c>
      <c r="G116" s="463" t="s">
        <v>1307</v>
      </c>
      <c r="H116" s="639"/>
      <c r="I116" s="704"/>
      <c r="J116" s="338"/>
      <c r="K116" s="338"/>
      <c r="L116" s="338"/>
      <c r="M116" s="338"/>
      <c r="N116" s="338">
        <v>58</v>
      </c>
      <c r="O116" s="338">
        <v>58</v>
      </c>
      <c r="P116" s="338"/>
      <c r="Q116" s="707"/>
      <c r="R116" s="642" t="s">
        <v>1564</v>
      </c>
      <c r="S116" s="346"/>
      <c r="T116" s="346"/>
      <c r="U116" s="469"/>
    </row>
    <row r="117" spans="1:21" s="325" customFormat="1" ht="11.25" customHeight="1" x14ac:dyDescent="0.25">
      <c r="A117" s="328" t="s">
        <v>378</v>
      </c>
      <c r="B117" s="329" t="s">
        <v>424</v>
      </c>
      <c r="C117" s="329" t="s">
        <v>237</v>
      </c>
      <c r="D117" s="329" t="s">
        <v>1350</v>
      </c>
      <c r="E117" s="329" t="s">
        <v>267</v>
      </c>
      <c r="F117" s="330" t="s">
        <v>464</v>
      </c>
      <c r="G117" s="344"/>
      <c r="H117" s="639"/>
      <c r="I117" s="704"/>
      <c r="J117" s="338"/>
      <c r="K117" s="338"/>
      <c r="L117" s="338"/>
      <c r="M117" s="338"/>
      <c r="N117" s="338"/>
      <c r="O117" s="338"/>
      <c r="P117" s="338"/>
      <c r="Q117" s="707"/>
      <c r="R117" s="642"/>
      <c r="S117" s="346"/>
      <c r="T117" s="346"/>
      <c r="U117" s="469"/>
    </row>
    <row r="118" spans="1:21" s="325" customFormat="1" ht="11.25" customHeight="1" x14ac:dyDescent="0.25">
      <c r="A118" s="328" t="s">
        <v>378</v>
      </c>
      <c r="B118" s="329" t="s">
        <v>1308</v>
      </c>
      <c r="C118" s="329" t="s">
        <v>237</v>
      </c>
      <c r="D118" s="329" t="s">
        <v>1351</v>
      </c>
      <c r="E118" s="329" t="s">
        <v>271</v>
      </c>
      <c r="F118" s="330" t="s">
        <v>464</v>
      </c>
      <c r="G118" s="463" t="s">
        <v>1307</v>
      </c>
      <c r="H118" s="639">
        <v>15</v>
      </c>
      <c r="I118" s="704">
        <v>15</v>
      </c>
      <c r="J118" s="338">
        <v>15</v>
      </c>
      <c r="K118" s="338">
        <v>15</v>
      </c>
      <c r="L118" s="338"/>
      <c r="M118" s="338"/>
      <c r="N118" s="338">
        <v>40</v>
      </c>
      <c r="O118" s="338">
        <v>40</v>
      </c>
      <c r="P118" s="338"/>
      <c r="Q118" s="707"/>
      <c r="R118" s="642" t="s">
        <v>1738</v>
      </c>
      <c r="S118" s="346"/>
      <c r="T118" s="346"/>
      <c r="U118" s="469"/>
    </row>
    <row r="119" spans="1:21" s="325" customFormat="1" ht="11.25" customHeight="1" x14ac:dyDescent="0.25">
      <c r="A119" s="328" t="s">
        <v>378</v>
      </c>
      <c r="B119" s="329" t="s">
        <v>424</v>
      </c>
      <c r="C119" s="329" t="s">
        <v>237</v>
      </c>
      <c r="D119" s="329" t="s">
        <v>276</v>
      </c>
      <c r="E119" s="329" t="s">
        <v>275</v>
      </c>
      <c r="F119" s="330" t="s">
        <v>464</v>
      </c>
      <c r="G119" s="345"/>
      <c r="H119" s="639"/>
      <c r="I119" s="704"/>
      <c r="J119" s="338"/>
      <c r="K119" s="338"/>
      <c r="L119" s="338"/>
      <c r="M119" s="338"/>
      <c r="N119" s="338"/>
      <c r="O119" s="338"/>
      <c r="P119" s="338"/>
      <c r="Q119" s="707"/>
      <c r="R119" s="642"/>
      <c r="S119" s="346"/>
      <c r="T119" s="346"/>
      <c r="U119" s="469"/>
    </row>
    <row r="120" spans="1:21" s="325" customFormat="1" ht="11.25" customHeight="1" x14ac:dyDescent="0.25">
      <c r="A120" s="328" t="s">
        <v>378</v>
      </c>
      <c r="B120" s="329" t="s">
        <v>424</v>
      </c>
      <c r="C120" s="329" t="s">
        <v>237</v>
      </c>
      <c r="D120" s="329" t="s">
        <v>280</v>
      </c>
      <c r="E120" s="329" t="s">
        <v>279</v>
      </c>
      <c r="F120" s="330" t="s">
        <v>464</v>
      </c>
      <c r="G120" s="463"/>
      <c r="H120" s="639"/>
      <c r="I120" s="704"/>
      <c r="J120" s="338"/>
      <c r="K120" s="338"/>
      <c r="L120" s="338"/>
      <c r="M120" s="338"/>
      <c r="N120" s="338">
        <v>14</v>
      </c>
      <c r="O120" s="338">
        <v>14</v>
      </c>
      <c r="P120" s="338"/>
      <c r="Q120" s="707"/>
      <c r="R120" s="642" t="s">
        <v>1602</v>
      </c>
      <c r="S120" s="346"/>
      <c r="T120" s="346"/>
      <c r="U120" s="469"/>
    </row>
    <row r="121" spans="1:21" s="325" customFormat="1" ht="11.25" customHeight="1" x14ac:dyDescent="0.25">
      <c r="A121" s="328" t="s">
        <v>378</v>
      </c>
      <c r="B121" s="329" t="s">
        <v>1330</v>
      </c>
      <c r="C121" s="329" t="s">
        <v>237</v>
      </c>
      <c r="D121" s="329" t="s">
        <v>1515</v>
      </c>
      <c r="E121" s="329" t="s">
        <v>1546</v>
      </c>
      <c r="F121" s="330" t="s">
        <v>464</v>
      </c>
      <c r="G121" s="463" t="s">
        <v>1460</v>
      </c>
      <c r="H121" s="639"/>
      <c r="I121" s="704"/>
      <c r="J121" s="338"/>
      <c r="K121" s="338"/>
      <c r="L121" s="338"/>
      <c r="M121" s="338"/>
      <c r="N121" s="338"/>
      <c r="O121" s="338"/>
      <c r="P121" s="338"/>
      <c r="Q121" s="707"/>
      <c r="R121" s="642"/>
      <c r="S121" s="346"/>
      <c r="T121" s="346"/>
      <c r="U121" s="469"/>
    </row>
    <row r="122" spans="1:21" s="325" customFormat="1" ht="11.25" customHeight="1" x14ac:dyDescent="0.25">
      <c r="A122" s="328" t="s">
        <v>378</v>
      </c>
      <c r="B122" s="329" t="s">
        <v>424</v>
      </c>
      <c r="C122" s="329" t="s">
        <v>237</v>
      </c>
      <c r="D122" s="329" t="s">
        <v>238</v>
      </c>
      <c r="E122" s="329" t="s">
        <v>236</v>
      </c>
      <c r="F122" s="330" t="s">
        <v>464</v>
      </c>
      <c r="G122" s="345"/>
      <c r="H122" s="639"/>
      <c r="I122" s="704"/>
      <c r="J122" s="338"/>
      <c r="K122" s="338"/>
      <c r="L122" s="338">
        <v>22</v>
      </c>
      <c r="M122" s="338"/>
      <c r="N122" s="338"/>
      <c r="O122" s="338"/>
      <c r="P122" s="338"/>
      <c r="Q122" s="707"/>
      <c r="R122" s="642" t="s">
        <v>1602</v>
      </c>
      <c r="S122" s="346"/>
      <c r="T122" s="346"/>
      <c r="U122" s="469"/>
    </row>
    <row r="123" spans="1:21" s="325" customFormat="1" ht="11.25" customHeight="1" x14ac:dyDescent="0.25">
      <c r="A123" s="328" t="s">
        <v>378</v>
      </c>
      <c r="B123" s="329" t="s">
        <v>462</v>
      </c>
      <c r="C123" s="329" t="s">
        <v>237</v>
      </c>
      <c r="D123" s="329" t="s">
        <v>1031</v>
      </c>
      <c r="E123" s="329" t="s">
        <v>241</v>
      </c>
      <c r="F123" s="330" t="s">
        <v>464</v>
      </c>
      <c r="G123" s="463"/>
      <c r="H123" s="639"/>
      <c r="I123" s="704"/>
      <c r="J123" s="338"/>
      <c r="K123" s="338"/>
      <c r="L123" s="338"/>
      <c r="M123" s="338"/>
      <c r="N123" s="338">
        <v>22</v>
      </c>
      <c r="O123" s="338">
        <v>22</v>
      </c>
      <c r="P123" s="338"/>
      <c r="Q123" s="707"/>
      <c r="R123" s="642" t="s">
        <v>1601</v>
      </c>
      <c r="S123" s="346"/>
      <c r="T123" s="346"/>
      <c r="U123" s="469"/>
    </row>
    <row r="124" spans="1:21" s="325" customFormat="1" ht="11.25" customHeight="1" x14ac:dyDescent="0.25">
      <c r="A124" s="328" t="s">
        <v>378</v>
      </c>
      <c r="B124" s="329" t="s">
        <v>1330</v>
      </c>
      <c r="C124" s="329" t="s">
        <v>237</v>
      </c>
      <c r="D124" s="329" t="s">
        <v>1669</v>
      </c>
      <c r="E124" s="329" t="s">
        <v>1656</v>
      </c>
      <c r="F124" s="330" t="s">
        <v>464</v>
      </c>
      <c r="G124" s="463"/>
      <c r="H124" s="639"/>
      <c r="I124" s="704"/>
      <c r="J124" s="338"/>
      <c r="K124" s="338"/>
      <c r="L124" s="338"/>
      <c r="M124" s="338"/>
      <c r="N124" s="338"/>
      <c r="O124" s="338"/>
      <c r="P124" s="338"/>
      <c r="Q124" s="707"/>
      <c r="R124" s="642"/>
      <c r="S124" s="346">
        <v>70</v>
      </c>
      <c r="T124" s="346">
        <v>120</v>
      </c>
      <c r="U124" s="469" t="s">
        <v>1720</v>
      </c>
    </row>
    <row r="125" spans="1:21" s="325" customFormat="1" ht="11.25" customHeight="1" x14ac:dyDescent="0.25">
      <c r="A125" s="328" t="s">
        <v>378</v>
      </c>
      <c r="B125" s="329" t="s">
        <v>1330</v>
      </c>
      <c r="C125" s="329" t="s">
        <v>237</v>
      </c>
      <c r="D125" s="329" t="s">
        <v>1674</v>
      </c>
      <c r="E125" s="329" t="s">
        <v>1657</v>
      </c>
      <c r="F125" s="330" t="s">
        <v>464</v>
      </c>
      <c r="G125" s="463"/>
      <c r="H125" s="639"/>
      <c r="I125" s="704"/>
      <c r="J125" s="338"/>
      <c r="K125" s="338"/>
      <c r="L125" s="338"/>
      <c r="M125" s="338"/>
      <c r="N125" s="338"/>
      <c r="O125" s="338"/>
      <c r="P125" s="338"/>
      <c r="Q125" s="707"/>
      <c r="R125" s="642"/>
      <c r="S125" s="346">
        <v>260</v>
      </c>
      <c r="T125" s="346">
        <v>100</v>
      </c>
      <c r="U125" s="469"/>
    </row>
    <row r="126" spans="1:21" s="325" customFormat="1" ht="11.25" customHeight="1" x14ac:dyDescent="0.25">
      <c r="A126" s="328" t="s">
        <v>378</v>
      </c>
      <c r="B126" s="329" t="s">
        <v>462</v>
      </c>
      <c r="C126" s="329" t="s">
        <v>237</v>
      </c>
      <c r="D126" s="329" t="s">
        <v>248</v>
      </c>
      <c r="E126" s="329" t="s">
        <v>247</v>
      </c>
      <c r="F126" s="330" t="s">
        <v>464</v>
      </c>
      <c r="G126" s="345"/>
      <c r="H126" s="639"/>
      <c r="I126" s="704"/>
      <c r="J126" s="338"/>
      <c r="K126" s="338"/>
      <c r="L126" s="338">
        <v>5</v>
      </c>
      <c r="M126" s="338">
        <v>5</v>
      </c>
      <c r="N126" s="338"/>
      <c r="O126" s="338"/>
      <c r="P126" s="338"/>
      <c r="Q126" s="707"/>
      <c r="R126" s="642" t="s">
        <v>1601</v>
      </c>
      <c r="S126" s="346"/>
      <c r="T126" s="346"/>
      <c r="U126" s="469"/>
    </row>
    <row r="127" spans="1:21" s="325" customFormat="1" ht="11.25" customHeight="1" x14ac:dyDescent="0.25">
      <c r="A127" s="328" t="s">
        <v>378</v>
      </c>
      <c r="B127" s="329" t="s">
        <v>424</v>
      </c>
      <c r="C127" s="329" t="s">
        <v>237</v>
      </c>
      <c r="D127" s="329" t="s">
        <v>250</v>
      </c>
      <c r="E127" s="329" t="s">
        <v>249</v>
      </c>
      <c r="F127" s="330" t="s">
        <v>464</v>
      </c>
      <c r="G127" s="463"/>
      <c r="H127" s="639"/>
      <c r="I127" s="704"/>
      <c r="J127" s="338"/>
      <c r="K127" s="338"/>
      <c r="L127" s="338"/>
      <c r="M127" s="338"/>
      <c r="N127" s="338">
        <v>26</v>
      </c>
      <c r="O127" s="338">
        <v>26</v>
      </c>
      <c r="P127" s="338"/>
      <c r="Q127" s="707"/>
      <c r="R127" s="642" t="s">
        <v>1602</v>
      </c>
      <c r="S127" s="346"/>
      <c r="T127" s="346"/>
      <c r="U127" s="469" t="s">
        <v>1333</v>
      </c>
    </row>
    <row r="128" spans="1:21" s="325" customFormat="1" ht="11.25" customHeight="1" x14ac:dyDescent="0.25">
      <c r="A128" s="328" t="s">
        <v>378</v>
      </c>
      <c r="B128" s="329" t="s">
        <v>424</v>
      </c>
      <c r="C128" s="329" t="s">
        <v>237</v>
      </c>
      <c r="D128" s="329" t="s">
        <v>274</v>
      </c>
      <c r="E128" s="329" t="s">
        <v>273</v>
      </c>
      <c r="F128" s="330" t="s">
        <v>464</v>
      </c>
      <c r="G128" s="345" t="s">
        <v>1463</v>
      </c>
      <c r="H128" s="639"/>
      <c r="I128" s="704"/>
      <c r="J128" s="338"/>
      <c r="K128" s="338"/>
      <c r="L128" s="338"/>
      <c r="M128" s="338"/>
      <c r="N128" s="338"/>
      <c r="O128" s="338"/>
      <c r="P128" s="338"/>
      <c r="Q128" s="707"/>
      <c r="R128" s="642"/>
      <c r="S128" s="346"/>
      <c r="T128" s="346"/>
      <c r="U128" s="469"/>
    </row>
    <row r="129" spans="1:21" s="325" customFormat="1" ht="11.25" customHeight="1" x14ac:dyDescent="0.25">
      <c r="A129" s="328" t="s">
        <v>378</v>
      </c>
      <c r="B129" s="329" t="s">
        <v>1330</v>
      </c>
      <c r="C129" s="329" t="s">
        <v>237</v>
      </c>
      <c r="D129" s="329" t="s">
        <v>1693</v>
      </c>
      <c r="E129" s="329" t="s">
        <v>1694</v>
      </c>
      <c r="F129" s="330" t="s">
        <v>464</v>
      </c>
      <c r="G129" s="345"/>
      <c r="H129" s="639"/>
      <c r="I129" s="704"/>
      <c r="J129" s="338"/>
      <c r="K129" s="338"/>
      <c r="L129" s="338"/>
      <c r="M129" s="338"/>
      <c r="N129" s="338"/>
      <c r="O129" s="338"/>
      <c r="P129" s="338"/>
      <c r="Q129" s="707"/>
      <c r="R129" s="642"/>
      <c r="S129" s="346">
        <v>90</v>
      </c>
      <c r="T129" s="346">
        <v>115</v>
      </c>
      <c r="U129" s="469"/>
    </row>
    <row r="130" spans="1:21" s="325" customFormat="1" ht="11.25" customHeight="1" x14ac:dyDescent="0.25">
      <c r="A130" s="328" t="s">
        <v>378</v>
      </c>
      <c r="B130" s="329" t="s">
        <v>1330</v>
      </c>
      <c r="C130" s="325" t="s">
        <v>237</v>
      </c>
      <c r="D130" s="329" t="s">
        <v>1701</v>
      </c>
      <c r="E130" s="329" t="s">
        <v>1696</v>
      </c>
      <c r="F130" s="330" t="s">
        <v>464</v>
      </c>
      <c r="G130" s="345"/>
      <c r="H130" s="639"/>
      <c r="I130" s="704"/>
      <c r="J130" s="338"/>
      <c r="K130" s="338"/>
      <c r="L130" s="338"/>
      <c r="M130" s="338"/>
      <c r="N130" s="338"/>
      <c r="O130" s="338"/>
      <c r="P130" s="338"/>
      <c r="Q130" s="707"/>
      <c r="R130" s="642"/>
      <c r="S130" s="346">
        <v>20</v>
      </c>
      <c r="T130" s="346"/>
      <c r="U130" s="469"/>
    </row>
    <row r="131" spans="1:21" s="325" customFormat="1" ht="11.25" customHeight="1" x14ac:dyDescent="0.25">
      <c r="A131" s="328" t="s">
        <v>378</v>
      </c>
      <c r="B131" s="329" t="s">
        <v>462</v>
      </c>
      <c r="C131" s="329" t="s">
        <v>237</v>
      </c>
      <c r="D131" s="329" t="s">
        <v>278</v>
      </c>
      <c r="E131" s="329" t="s">
        <v>277</v>
      </c>
      <c r="F131" s="330" t="s">
        <v>464</v>
      </c>
      <c r="G131" s="463"/>
      <c r="H131" s="639"/>
      <c r="I131" s="704"/>
      <c r="J131" s="338"/>
      <c r="K131" s="338"/>
      <c r="L131" s="338"/>
      <c r="M131" s="338"/>
      <c r="N131" s="338"/>
      <c r="O131" s="338"/>
      <c r="P131" s="338"/>
      <c r="Q131" s="707"/>
      <c r="R131" s="642"/>
      <c r="S131" s="346"/>
      <c r="T131" s="346"/>
      <c r="U131" s="469"/>
    </row>
    <row r="132" spans="1:21" s="325" customFormat="1" ht="11.25" customHeight="1" x14ac:dyDescent="0.25">
      <c r="A132" s="331" t="s">
        <v>3</v>
      </c>
      <c r="B132" s="332"/>
      <c r="C132" s="332"/>
      <c r="D132" s="333"/>
      <c r="E132" s="334"/>
      <c r="F132" s="335"/>
      <c r="G132" s="472"/>
      <c r="H132" s="336">
        <f>SUM(H106:H131)</f>
        <v>44</v>
      </c>
      <c r="I132" s="336">
        <f t="shared" ref="I132:Q132" si="21">SUM(I106:I131)</f>
        <v>15</v>
      </c>
      <c r="J132" s="336">
        <f t="shared" si="21"/>
        <v>44</v>
      </c>
      <c r="K132" s="336">
        <f t="shared" si="21"/>
        <v>15</v>
      </c>
      <c r="L132" s="336">
        <f t="shared" si="21"/>
        <v>27</v>
      </c>
      <c r="M132" s="336">
        <f t="shared" si="21"/>
        <v>5</v>
      </c>
      <c r="N132" s="336">
        <f t="shared" si="21"/>
        <v>316</v>
      </c>
      <c r="O132" s="336">
        <f t="shared" si="21"/>
        <v>286</v>
      </c>
      <c r="P132" s="336">
        <f t="shared" si="21"/>
        <v>0</v>
      </c>
      <c r="Q132" s="336">
        <f t="shared" si="21"/>
        <v>0</v>
      </c>
      <c r="R132" s="336">
        <f t="shared" ref="R132:T132" si="22">SUM(R106:R131)</f>
        <v>0</v>
      </c>
      <c r="S132" s="689">
        <f t="shared" si="22"/>
        <v>440</v>
      </c>
      <c r="T132" s="689">
        <f t="shared" si="22"/>
        <v>335</v>
      </c>
      <c r="U132" s="469"/>
    </row>
    <row r="133" spans="1:21" s="325" customFormat="1" ht="11.25" customHeight="1" x14ac:dyDescent="0.25">
      <c r="A133" s="328" t="s">
        <v>1316</v>
      </c>
      <c r="B133" s="329" t="s">
        <v>424</v>
      </c>
      <c r="C133" s="329" t="s">
        <v>1352</v>
      </c>
      <c r="D133" s="329" t="s">
        <v>291</v>
      </c>
      <c r="E133" s="329" t="s">
        <v>290</v>
      </c>
      <c r="F133" s="330" t="s">
        <v>464</v>
      </c>
      <c r="G133" s="463"/>
      <c r="H133" s="639"/>
      <c r="I133" s="704"/>
      <c r="J133" s="338"/>
      <c r="K133" s="338"/>
      <c r="L133" s="338">
        <v>20</v>
      </c>
      <c r="M133" s="338"/>
      <c r="N133" s="338"/>
      <c r="O133" s="338"/>
      <c r="P133" s="338"/>
      <c r="Q133" s="707"/>
      <c r="R133" s="642" t="s">
        <v>1647</v>
      </c>
      <c r="S133" s="346"/>
      <c r="T133" s="346"/>
      <c r="U133" s="469" t="s">
        <v>1619</v>
      </c>
    </row>
    <row r="134" spans="1:21" s="325" customFormat="1" ht="11.25" customHeight="1" x14ac:dyDescent="0.25">
      <c r="A134" s="328" t="s">
        <v>1316</v>
      </c>
      <c r="B134" s="329" t="s">
        <v>424</v>
      </c>
      <c r="C134" s="329" t="s">
        <v>1352</v>
      </c>
      <c r="D134" s="329" t="s">
        <v>289</v>
      </c>
      <c r="E134" s="329" t="s">
        <v>287</v>
      </c>
      <c r="F134" s="330" t="s">
        <v>464</v>
      </c>
      <c r="G134" s="345" t="s">
        <v>1463</v>
      </c>
      <c r="H134" s="639"/>
      <c r="I134" s="704"/>
      <c r="J134" s="338"/>
      <c r="K134" s="338"/>
      <c r="L134" s="338"/>
      <c r="M134" s="338"/>
      <c r="N134" s="338"/>
      <c r="O134" s="338"/>
      <c r="P134" s="338"/>
      <c r="Q134" s="707"/>
      <c r="R134" s="642"/>
      <c r="S134" s="346"/>
      <c r="T134" s="346"/>
      <c r="U134" s="469"/>
    </row>
    <row r="135" spans="1:21" s="325" customFormat="1" ht="11.25" customHeight="1" x14ac:dyDescent="0.25">
      <c r="A135" s="328" t="s">
        <v>1316</v>
      </c>
      <c r="B135" s="329" t="s">
        <v>424</v>
      </c>
      <c r="C135" s="329" t="s">
        <v>1352</v>
      </c>
      <c r="D135" s="329" t="s">
        <v>1353</v>
      </c>
      <c r="E135" s="329" t="s">
        <v>906</v>
      </c>
      <c r="F135" s="330" t="s">
        <v>464</v>
      </c>
      <c r="G135" s="463"/>
      <c r="H135" s="639"/>
      <c r="I135" s="704"/>
      <c r="J135" s="338"/>
      <c r="K135" s="338"/>
      <c r="L135" s="338"/>
      <c r="M135" s="338"/>
      <c r="N135" s="338"/>
      <c r="O135" s="338"/>
      <c r="P135" s="338"/>
      <c r="Q135" s="707"/>
      <c r="R135" s="642"/>
      <c r="S135" s="346"/>
      <c r="T135" s="346"/>
      <c r="U135" s="469"/>
    </row>
    <row r="136" spans="1:21" s="325" customFormat="1" ht="11.25" customHeight="1" x14ac:dyDescent="0.25">
      <c r="A136" s="328" t="s">
        <v>1316</v>
      </c>
      <c r="B136" s="329" t="s">
        <v>424</v>
      </c>
      <c r="C136" s="329" t="s">
        <v>1352</v>
      </c>
      <c r="D136" s="329" t="s">
        <v>1354</v>
      </c>
      <c r="E136" s="329" t="s">
        <v>910</v>
      </c>
      <c r="F136" s="330" t="s">
        <v>464</v>
      </c>
      <c r="G136" s="465" t="s">
        <v>1460</v>
      </c>
      <c r="H136" s="639"/>
      <c r="I136" s="704"/>
      <c r="J136" s="338"/>
      <c r="K136" s="338"/>
      <c r="L136" s="338"/>
      <c r="M136" s="338"/>
      <c r="N136" s="338"/>
      <c r="O136" s="338"/>
      <c r="P136" s="338"/>
      <c r="Q136" s="707"/>
      <c r="R136" s="642"/>
      <c r="S136" s="346"/>
      <c r="T136" s="346"/>
      <c r="U136" s="469"/>
    </row>
    <row r="137" spans="1:21" s="325" customFormat="1" ht="11.25" customHeight="1" x14ac:dyDescent="0.25">
      <c r="A137" s="328" t="s">
        <v>1316</v>
      </c>
      <c r="B137" s="329" t="s">
        <v>1330</v>
      </c>
      <c r="C137" s="329" t="s">
        <v>1352</v>
      </c>
      <c r="D137" s="329" t="s">
        <v>1141</v>
      </c>
      <c r="E137" s="329" t="s">
        <v>1125</v>
      </c>
      <c r="F137" s="330" t="s">
        <v>464</v>
      </c>
      <c r="G137" s="463"/>
      <c r="H137" s="639"/>
      <c r="I137" s="704"/>
      <c r="J137" s="338"/>
      <c r="K137" s="338"/>
      <c r="L137" s="338"/>
      <c r="M137" s="338"/>
      <c r="N137" s="338"/>
      <c r="O137" s="338"/>
      <c r="P137" s="338"/>
      <c r="Q137" s="707"/>
      <c r="R137" s="642"/>
      <c r="S137" s="346"/>
      <c r="T137" s="346"/>
      <c r="U137" s="469"/>
    </row>
    <row r="138" spans="1:21" s="325" customFormat="1" ht="11.25" customHeight="1" x14ac:dyDescent="0.25">
      <c r="A138" s="328" t="s">
        <v>1316</v>
      </c>
      <c r="B138" s="329" t="s">
        <v>1319</v>
      </c>
      <c r="C138" s="329" t="s">
        <v>1352</v>
      </c>
      <c r="D138" s="329" t="s">
        <v>1355</v>
      </c>
      <c r="E138" s="329" t="s">
        <v>294</v>
      </c>
      <c r="F138" s="330" t="s">
        <v>464</v>
      </c>
      <c r="G138" s="463"/>
      <c r="H138" s="639"/>
      <c r="I138" s="704"/>
      <c r="J138" s="338"/>
      <c r="K138" s="338"/>
      <c r="L138" s="338"/>
      <c r="M138" s="338"/>
      <c r="N138" s="338">
        <v>20</v>
      </c>
      <c r="O138" s="338">
        <v>20</v>
      </c>
      <c r="P138" s="338"/>
      <c r="Q138" s="707"/>
      <c r="R138" s="642" t="s">
        <v>1593</v>
      </c>
      <c r="S138" s="346"/>
      <c r="T138" s="346"/>
      <c r="U138" s="469" t="s">
        <v>1356</v>
      </c>
    </row>
    <row r="139" spans="1:21" s="325" customFormat="1" ht="10.95" customHeight="1" x14ac:dyDescent="0.25">
      <c r="A139" s="331" t="s">
        <v>3</v>
      </c>
      <c r="B139" s="332"/>
      <c r="C139" s="332"/>
      <c r="D139" s="333"/>
      <c r="E139" s="334"/>
      <c r="F139" s="335"/>
      <c r="G139" s="472"/>
      <c r="H139" s="334">
        <f>SUM(H133:H138)</f>
        <v>0</v>
      </c>
      <c r="I139" s="334">
        <f t="shared" ref="I139:Q139" si="23">SUM(I133:I138)</f>
        <v>0</v>
      </c>
      <c r="J139" s="334">
        <f t="shared" si="23"/>
        <v>0</v>
      </c>
      <c r="K139" s="334">
        <f t="shared" si="23"/>
        <v>0</v>
      </c>
      <c r="L139" s="334">
        <f t="shared" si="23"/>
        <v>20</v>
      </c>
      <c r="M139" s="334">
        <f t="shared" si="23"/>
        <v>0</v>
      </c>
      <c r="N139" s="334">
        <f t="shared" si="23"/>
        <v>20</v>
      </c>
      <c r="O139" s="334">
        <f t="shared" si="23"/>
        <v>20</v>
      </c>
      <c r="P139" s="334">
        <f t="shared" si="23"/>
        <v>0</v>
      </c>
      <c r="Q139" s="334">
        <f t="shared" si="23"/>
        <v>0</v>
      </c>
      <c r="R139" s="334">
        <f t="shared" ref="R139:T139" si="24">SUM(R133:R138)</f>
        <v>0</v>
      </c>
      <c r="S139" s="334">
        <f t="shared" si="24"/>
        <v>0</v>
      </c>
      <c r="T139" s="334">
        <f t="shared" si="24"/>
        <v>0</v>
      </c>
      <c r="U139" s="469"/>
    </row>
    <row r="140" spans="1:21" s="325" customFormat="1" ht="11.25" customHeight="1" x14ac:dyDescent="0.25">
      <c r="A140" s="328" t="s">
        <v>1316</v>
      </c>
      <c r="B140" s="329" t="s">
        <v>1330</v>
      </c>
      <c r="C140" s="329" t="s">
        <v>297</v>
      </c>
      <c r="D140" s="329" t="s">
        <v>1137</v>
      </c>
      <c r="E140" s="329" t="s">
        <v>1122</v>
      </c>
      <c r="F140" s="330" t="s">
        <v>464</v>
      </c>
      <c r="G140" s="463" t="s">
        <v>1307</v>
      </c>
      <c r="H140" s="639">
        <v>25</v>
      </c>
      <c r="I140" s="704"/>
      <c r="J140" s="338">
        <v>25</v>
      </c>
      <c r="K140" s="338"/>
      <c r="L140" s="338"/>
      <c r="M140" s="338"/>
      <c r="N140" s="338"/>
      <c r="O140" s="338"/>
      <c r="P140" s="338"/>
      <c r="Q140" s="707"/>
      <c r="R140" s="642" t="s">
        <v>778</v>
      </c>
      <c r="S140" s="346"/>
      <c r="T140" s="346"/>
      <c r="U140" s="469" t="s">
        <v>1318</v>
      </c>
    </row>
    <row r="141" spans="1:21" s="325" customFormat="1" ht="11.25" customHeight="1" x14ac:dyDescent="0.25">
      <c r="A141" s="328" t="s">
        <v>1316</v>
      </c>
      <c r="B141" s="329" t="s">
        <v>1319</v>
      </c>
      <c r="C141" s="329" t="s">
        <v>297</v>
      </c>
      <c r="D141" s="329" t="s">
        <v>1191</v>
      </c>
      <c r="E141" s="329" t="s">
        <v>1173</v>
      </c>
      <c r="F141" s="330" t="s">
        <v>464</v>
      </c>
      <c r="G141" s="463" t="s">
        <v>1307</v>
      </c>
      <c r="H141" s="639">
        <v>20</v>
      </c>
      <c r="I141" s="736">
        <v>0</v>
      </c>
      <c r="J141" s="338">
        <v>20</v>
      </c>
      <c r="K141" s="737">
        <v>0</v>
      </c>
      <c r="L141" s="338"/>
      <c r="M141" s="338"/>
      <c r="N141" s="338">
        <v>20</v>
      </c>
      <c r="O141" s="338">
        <v>20</v>
      </c>
      <c r="P141" s="338"/>
      <c r="Q141" s="707"/>
      <c r="R141" s="642" t="s">
        <v>1775</v>
      </c>
      <c r="S141" s="346"/>
      <c r="T141" s="346"/>
      <c r="U141" s="469"/>
    </row>
    <row r="142" spans="1:21" s="325" customFormat="1" ht="11.25" customHeight="1" x14ac:dyDescent="0.25">
      <c r="A142" s="328" t="s">
        <v>1316</v>
      </c>
      <c r="B142" s="329" t="s">
        <v>424</v>
      </c>
      <c r="C142" s="329" t="s">
        <v>297</v>
      </c>
      <c r="D142" s="329" t="s">
        <v>759</v>
      </c>
      <c r="E142" s="329" t="s">
        <v>296</v>
      </c>
      <c r="F142" s="330" t="s">
        <v>464</v>
      </c>
      <c r="G142" s="463" t="s">
        <v>1463</v>
      </c>
      <c r="H142" s="639">
        <v>21</v>
      </c>
      <c r="I142" s="704"/>
      <c r="J142" s="338">
        <v>21</v>
      </c>
      <c r="K142" s="338"/>
      <c r="L142" s="338"/>
      <c r="M142" s="338"/>
      <c r="N142" s="338"/>
      <c r="O142" s="338"/>
      <c r="P142" s="338"/>
      <c r="Q142" s="707"/>
      <c r="R142" s="642" t="s">
        <v>1631</v>
      </c>
      <c r="S142" s="346"/>
      <c r="T142" s="346"/>
      <c r="U142" s="469" t="s">
        <v>1632</v>
      </c>
    </row>
    <row r="143" spans="1:21" s="325" customFormat="1" ht="11.25" customHeight="1" x14ac:dyDescent="0.25">
      <c r="A143" s="328" t="s">
        <v>1316</v>
      </c>
      <c r="B143" s="329" t="s">
        <v>1319</v>
      </c>
      <c r="C143" s="329" t="s">
        <v>297</v>
      </c>
      <c r="D143" s="329" t="s">
        <v>1510</v>
      </c>
      <c r="E143" s="329" t="s">
        <v>1277</v>
      </c>
      <c r="F143" s="330" t="s">
        <v>464</v>
      </c>
      <c r="G143" s="463" t="s">
        <v>1307</v>
      </c>
      <c r="H143" s="639"/>
      <c r="I143" s="704"/>
      <c r="J143" s="338"/>
      <c r="K143" s="338"/>
      <c r="L143" s="338">
        <v>52</v>
      </c>
      <c r="M143" s="338">
        <v>40</v>
      </c>
      <c r="N143" s="338"/>
      <c r="O143" s="338"/>
      <c r="P143" s="338"/>
      <c r="Q143" s="707"/>
      <c r="R143" s="642" t="s">
        <v>1593</v>
      </c>
      <c r="S143" s="346"/>
      <c r="T143" s="346"/>
      <c r="U143" s="469"/>
    </row>
    <row r="144" spans="1:21" s="325" customFormat="1" ht="11.25" customHeight="1" x14ac:dyDescent="0.25">
      <c r="A144" s="331" t="s">
        <v>3</v>
      </c>
      <c r="B144" s="332"/>
      <c r="C144" s="332"/>
      <c r="D144" s="333"/>
      <c r="E144" s="334"/>
      <c r="F144" s="335"/>
      <c r="G144" s="472"/>
      <c r="H144" s="334">
        <f>SUM(H140:H143)</f>
        <v>66</v>
      </c>
      <c r="I144" s="334">
        <f t="shared" ref="I144:Q144" si="25">SUM(I140:I143)</f>
        <v>0</v>
      </c>
      <c r="J144" s="334">
        <f t="shared" si="25"/>
        <v>66</v>
      </c>
      <c r="K144" s="334">
        <f t="shared" si="25"/>
        <v>0</v>
      </c>
      <c r="L144" s="334">
        <f t="shared" si="25"/>
        <v>52</v>
      </c>
      <c r="M144" s="334">
        <f t="shared" si="25"/>
        <v>40</v>
      </c>
      <c r="N144" s="334">
        <f t="shared" si="25"/>
        <v>20</v>
      </c>
      <c r="O144" s="334">
        <f t="shared" si="25"/>
        <v>20</v>
      </c>
      <c r="P144" s="334">
        <f t="shared" si="25"/>
        <v>0</v>
      </c>
      <c r="Q144" s="334">
        <f t="shared" si="25"/>
        <v>0</v>
      </c>
      <c r="R144" s="334">
        <f t="shared" ref="R144" si="26">SUM(R140:R143)</f>
        <v>0</v>
      </c>
      <c r="S144" s="334"/>
      <c r="T144" s="334"/>
      <c r="U144" s="469"/>
    </row>
    <row r="145" spans="1:21" s="325" customFormat="1" ht="11.25" customHeight="1" x14ac:dyDescent="0.25">
      <c r="A145" s="328" t="s">
        <v>378</v>
      </c>
      <c r="B145" s="352" t="s">
        <v>1330</v>
      </c>
      <c r="C145" s="329" t="s">
        <v>299</v>
      </c>
      <c r="D145" s="651" t="s">
        <v>300</v>
      </c>
      <c r="E145" s="329" t="s">
        <v>298</v>
      </c>
      <c r="F145" s="330" t="s">
        <v>464</v>
      </c>
      <c r="G145" s="463"/>
      <c r="H145" s="639"/>
      <c r="I145" s="704"/>
      <c r="J145" s="338"/>
      <c r="K145" s="338"/>
      <c r="L145" s="338"/>
      <c r="M145" s="338"/>
      <c r="N145" s="338"/>
      <c r="O145" s="338"/>
      <c r="P145" s="338"/>
      <c r="Q145" s="707"/>
      <c r="R145" s="642"/>
      <c r="S145" s="346"/>
      <c r="T145" s="346"/>
      <c r="U145" s="469"/>
    </row>
    <row r="146" spans="1:21" s="325" customFormat="1" ht="11.25" customHeight="1" x14ac:dyDescent="0.25">
      <c r="A146" s="328" t="s">
        <v>378</v>
      </c>
      <c r="B146" s="329" t="s">
        <v>424</v>
      </c>
      <c r="C146" s="329" t="s">
        <v>299</v>
      </c>
      <c r="D146" s="651" t="s">
        <v>1046</v>
      </c>
      <c r="E146" s="329" t="s">
        <v>1045</v>
      </c>
      <c r="F146" s="330" t="s">
        <v>464</v>
      </c>
      <c r="G146" s="463"/>
      <c r="H146" s="639"/>
      <c r="I146" s="704"/>
      <c r="J146" s="338"/>
      <c r="K146" s="338"/>
      <c r="L146" s="338"/>
      <c r="M146" s="338"/>
      <c r="N146" s="338"/>
      <c r="O146" s="338"/>
      <c r="P146" s="338"/>
      <c r="Q146" s="707"/>
      <c r="R146" s="642"/>
      <c r="S146" s="346"/>
      <c r="T146" s="346"/>
      <c r="U146" s="469"/>
    </row>
    <row r="147" spans="1:21" s="325" customFormat="1" ht="11.25" customHeight="1" x14ac:dyDescent="0.25">
      <c r="A147" s="331" t="s">
        <v>3</v>
      </c>
      <c r="B147" s="332"/>
      <c r="C147" s="332"/>
      <c r="D147" s="333"/>
      <c r="E147" s="334"/>
      <c r="F147" s="335"/>
      <c r="G147" s="472"/>
      <c r="H147" s="334">
        <f t="shared" ref="H147:R147" si="27">SUM(H145:H146)</f>
        <v>0</v>
      </c>
      <c r="I147" s="334">
        <f t="shared" si="27"/>
        <v>0</v>
      </c>
      <c r="J147" s="334">
        <f t="shared" si="27"/>
        <v>0</v>
      </c>
      <c r="K147" s="334">
        <f t="shared" si="27"/>
        <v>0</v>
      </c>
      <c r="L147" s="334">
        <f t="shared" si="27"/>
        <v>0</v>
      </c>
      <c r="M147" s="334">
        <f t="shared" si="27"/>
        <v>0</v>
      </c>
      <c r="N147" s="334">
        <f t="shared" si="27"/>
        <v>0</v>
      </c>
      <c r="O147" s="334">
        <f t="shared" si="27"/>
        <v>0</v>
      </c>
      <c r="P147" s="334">
        <f t="shared" si="27"/>
        <v>0</v>
      </c>
      <c r="Q147" s="334">
        <f t="shared" si="27"/>
        <v>0</v>
      </c>
      <c r="R147" s="334">
        <f t="shared" si="27"/>
        <v>0</v>
      </c>
      <c r="S147" s="334"/>
      <c r="T147" s="334"/>
      <c r="U147" s="469"/>
    </row>
    <row r="148" spans="1:21" s="325" customFormat="1" ht="11.25" customHeight="1" x14ac:dyDescent="0.25">
      <c r="A148" s="328" t="s">
        <v>378</v>
      </c>
      <c r="B148" s="329" t="s">
        <v>424</v>
      </c>
      <c r="C148" s="329" t="s">
        <v>1357</v>
      </c>
      <c r="D148" s="329" t="s">
        <v>305</v>
      </c>
      <c r="E148" s="329" t="s">
        <v>304</v>
      </c>
      <c r="F148" s="330" t="s">
        <v>464</v>
      </c>
      <c r="G148" s="463"/>
      <c r="H148" s="639"/>
      <c r="I148" s="704"/>
      <c r="J148" s="338"/>
      <c r="K148" s="338"/>
      <c r="L148" s="338"/>
      <c r="M148" s="338"/>
      <c r="N148" s="338"/>
      <c r="O148" s="338"/>
      <c r="P148" s="338"/>
      <c r="Q148" s="707"/>
      <c r="R148" s="642"/>
      <c r="S148" s="346"/>
      <c r="T148" s="346"/>
      <c r="U148" s="469"/>
    </row>
    <row r="149" spans="1:21" s="325" customFormat="1" ht="11.25" customHeight="1" x14ac:dyDescent="0.25">
      <c r="A149" s="328" t="s">
        <v>378</v>
      </c>
      <c r="B149" s="329" t="s">
        <v>1303</v>
      </c>
      <c r="C149" s="329" t="s">
        <v>1357</v>
      </c>
      <c r="D149" s="329" t="s">
        <v>307</v>
      </c>
      <c r="E149" s="329" t="s">
        <v>306</v>
      </c>
      <c r="F149" s="330" t="s">
        <v>464</v>
      </c>
      <c r="G149" s="467"/>
      <c r="H149" s="639"/>
      <c r="I149" s="704"/>
      <c r="J149" s="338"/>
      <c r="K149" s="338"/>
      <c r="L149" s="338"/>
      <c r="M149" s="338"/>
      <c r="N149" s="338"/>
      <c r="O149" s="338"/>
      <c r="P149" s="338"/>
      <c r="Q149" s="707"/>
      <c r="R149" s="642"/>
      <c r="S149" s="346"/>
      <c r="T149" s="346"/>
      <c r="U149" s="469"/>
    </row>
    <row r="150" spans="1:21" s="325" customFormat="1" ht="11.25" customHeight="1" x14ac:dyDescent="0.25">
      <c r="A150" s="331" t="s">
        <v>3</v>
      </c>
      <c r="B150" s="332"/>
      <c r="C150" s="332"/>
      <c r="D150" s="333"/>
      <c r="E150" s="334"/>
      <c r="F150" s="335"/>
      <c r="G150" s="472"/>
      <c r="H150" s="334">
        <f t="shared" ref="H150:R150" si="28">SUM(H148:H149)</f>
        <v>0</v>
      </c>
      <c r="I150" s="334">
        <f t="shared" si="28"/>
        <v>0</v>
      </c>
      <c r="J150" s="334">
        <f t="shared" si="28"/>
        <v>0</v>
      </c>
      <c r="K150" s="334">
        <f t="shared" si="28"/>
        <v>0</v>
      </c>
      <c r="L150" s="334">
        <f t="shared" si="28"/>
        <v>0</v>
      </c>
      <c r="M150" s="334">
        <f t="shared" si="28"/>
        <v>0</v>
      </c>
      <c r="N150" s="334">
        <f t="shared" si="28"/>
        <v>0</v>
      </c>
      <c r="O150" s="334">
        <f t="shared" si="28"/>
        <v>0</v>
      </c>
      <c r="P150" s="334">
        <f t="shared" si="28"/>
        <v>0</v>
      </c>
      <c r="Q150" s="334">
        <f t="shared" si="28"/>
        <v>0</v>
      </c>
      <c r="R150" s="334">
        <f t="shared" si="28"/>
        <v>0</v>
      </c>
      <c r="S150" s="334"/>
      <c r="T150" s="334"/>
      <c r="U150" s="469"/>
    </row>
    <row r="151" spans="1:21" s="325" customFormat="1" ht="11.25" customHeight="1" x14ac:dyDescent="0.25">
      <c r="A151" s="328" t="s">
        <v>378</v>
      </c>
      <c r="B151" s="329" t="s">
        <v>424</v>
      </c>
      <c r="C151" s="329" t="s">
        <v>1358</v>
      </c>
      <c r="D151" s="329" t="s">
        <v>1068</v>
      </c>
      <c r="E151" s="329" t="s">
        <v>1069</v>
      </c>
      <c r="F151" s="330" t="s">
        <v>466</v>
      </c>
      <c r="G151" s="463" t="s">
        <v>1307</v>
      </c>
      <c r="H151" s="639"/>
      <c r="I151" s="704"/>
      <c r="J151" s="338"/>
      <c r="K151" s="338"/>
      <c r="L151" s="338"/>
      <c r="M151" s="338"/>
      <c r="N151" s="338"/>
      <c r="O151" s="338"/>
      <c r="P151" s="338"/>
      <c r="Q151" s="707"/>
      <c r="R151" s="642"/>
      <c r="S151" s="346"/>
      <c r="T151" s="346"/>
      <c r="U151" s="469"/>
    </row>
    <row r="152" spans="1:21" s="325" customFormat="1" ht="11.25" customHeight="1" x14ac:dyDescent="0.25">
      <c r="A152" s="328" t="s">
        <v>378</v>
      </c>
      <c r="B152" s="329" t="s">
        <v>424</v>
      </c>
      <c r="C152" s="346" t="s">
        <v>1358</v>
      </c>
      <c r="D152" s="346" t="s">
        <v>1066</v>
      </c>
      <c r="E152" s="346" t="s">
        <v>1067</v>
      </c>
      <c r="F152" s="347" t="s">
        <v>466</v>
      </c>
      <c r="G152" s="468" t="s">
        <v>1307</v>
      </c>
      <c r="H152" s="639"/>
      <c r="I152" s="704"/>
      <c r="J152" s="338"/>
      <c r="K152" s="338"/>
      <c r="L152" s="338"/>
      <c r="M152" s="338"/>
      <c r="N152" s="338"/>
      <c r="O152" s="338"/>
      <c r="P152" s="338"/>
      <c r="Q152" s="707"/>
      <c r="R152" s="642"/>
      <c r="S152" s="346"/>
      <c r="T152" s="346"/>
      <c r="U152" s="469"/>
    </row>
    <row r="153" spans="1:21" s="325" customFormat="1" ht="11.25" customHeight="1" x14ac:dyDescent="0.25">
      <c r="A153" s="331" t="s">
        <v>3</v>
      </c>
      <c r="B153" s="332"/>
      <c r="C153" s="332"/>
      <c r="D153" s="333"/>
      <c r="E153" s="334"/>
      <c r="F153" s="335"/>
      <c r="G153" s="472"/>
      <c r="H153" s="334">
        <f t="shared" ref="H153:T153" si="29">SUM(H151:H152)</f>
        <v>0</v>
      </c>
      <c r="I153" s="334">
        <f t="shared" si="29"/>
        <v>0</v>
      </c>
      <c r="J153" s="334">
        <f t="shared" si="29"/>
        <v>0</v>
      </c>
      <c r="K153" s="334">
        <f t="shared" si="29"/>
        <v>0</v>
      </c>
      <c r="L153" s="334">
        <f t="shared" si="29"/>
        <v>0</v>
      </c>
      <c r="M153" s="334">
        <f t="shared" si="29"/>
        <v>0</v>
      </c>
      <c r="N153" s="334">
        <f t="shared" si="29"/>
        <v>0</v>
      </c>
      <c r="O153" s="334">
        <f t="shared" si="29"/>
        <v>0</v>
      </c>
      <c r="P153" s="334">
        <f t="shared" si="29"/>
        <v>0</v>
      </c>
      <c r="Q153" s="334">
        <f t="shared" si="29"/>
        <v>0</v>
      </c>
      <c r="R153" s="334">
        <f t="shared" si="29"/>
        <v>0</v>
      </c>
      <c r="S153" s="334">
        <f t="shared" si="29"/>
        <v>0</v>
      </c>
      <c r="T153" s="334">
        <f t="shared" si="29"/>
        <v>0</v>
      </c>
      <c r="U153" s="469"/>
    </row>
    <row r="154" spans="1:21" s="325" customFormat="1" ht="11.25" customHeight="1" x14ac:dyDescent="0.25">
      <c r="A154" s="328" t="s">
        <v>378</v>
      </c>
      <c r="B154" s="329" t="s">
        <v>1308</v>
      </c>
      <c r="C154" s="329" t="s">
        <v>309</v>
      </c>
      <c r="D154" s="329" t="s">
        <v>1359</v>
      </c>
      <c r="E154" s="329" t="s">
        <v>332</v>
      </c>
      <c r="F154" s="330" t="s">
        <v>466</v>
      </c>
      <c r="G154" s="463" t="s">
        <v>1307</v>
      </c>
      <c r="H154" s="639"/>
      <c r="I154" s="704"/>
      <c r="J154" s="338"/>
      <c r="K154" s="338"/>
      <c r="L154" s="338"/>
      <c r="M154" s="338"/>
      <c r="N154" s="338"/>
      <c r="O154" s="338"/>
      <c r="P154" s="338"/>
      <c r="Q154" s="707"/>
      <c r="R154" s="642"/>
      <c r="S154" s="346"/>
      <c r="T154" s="346"/>
      <c r="U154" s="469"/>
    </row>
    <row r="155" spans="1:21" s="325" customFormat="1" ht="11.25" customHeight="1" x14ac:dyDescent="0.25">
      <c r="A155" s="328" t="s">
        <v>378</v>
      </c>
      <c r="B155" s="329" t="s">
        <v>462</v>
      </c>
      <c r="C155" s="329" t="s">
        <v>309</v>
      </c>
      <c r="D155" s="329" t="s">
        <v>1360</v>
      </c>
      <c r="E155" s="329" t="s">
        <v>311</v>
      </c>
      <c r="F155" s="330" t="s">
        <v>464</v>
      </c>
      <c r="G155" s="465"/>
      <c r="H155" s="639">
        <v>0</v>
      </c>
      <c r="I155" s="704"/>
      <c r="J155" s="338">
        <v>0</v>
      </c>
      <c r="K155" s="338"/>
      <c r="L155" s="338">
        <v>5</v>
      </c>
      <c r="M155" s="338"/>
      <c r="N155" s="338">
        <v>0</v>
      </c>
      <c r="O155" s="338"/>
      <c r="P155" s="338">
        <v>0</v>
      </c>
      <c r="Q155" s="707"/>
      <c r="R155" s="642" t="s">
        <v>1601</v>
      </c>
      <c r="S155" s="346"/>
      <c r="T155" s="346"/>
      <c r="U155" s="469"/>
    </row>
    <row r="156" spans="1:21" s="325" customFormat="1" ht="11.25" customHeight="1" x14ac:dyDescent="0.25">
      <c r="A156" s="328" t="s">
        <v>378</v>
      </c>
      <c r="B156" s="329" t="s">
        <v>424</v>
      </c>
      <c r="C156" s="329" t="s">
        <v>309</v>
      </c>
      <c r="D156" s="329" t="s">
        <v>335</v>
      </c>
      <c r="E156" s="329" t="s">
        <v>334</v>
      </c>
      <c r="F156" s="330" t="s">
        <v>466</v>
      </c>
      <c r="G156" s="463" t="s">
        <v>1307</v>
      </c>
      <c r="H156" s="639"/>
      <c r="I156" s="704"/>
      <c r="J156" s="338"/>
      <c r="K156" s="338"/>
      <c r="L156" s="338"/>
      <c r="M156" s="338"/>
      <c r="N156" s="338"/>
      <c r="O156" s="338"/>
      <c r="P156" s="338"/>
      <c r="Q156" s="707"/>
      <c r="R156" s="642"/>
      <c r="S156" s="346"/>
      <c r="T156" s="346"/>
      <c r="U156" s="469" t="s">
        <v>1333</v>
      </c>
    </row>
    <row r="157" spans="1:21" s="325" customFormat="1" ht="11.25" customHeight="1" x14ac:dyDescent="0.25">
      <c r="A157" s="328" t="s">
        <v>378</v>
      </c>
      <c r="B157" s="329" t="s">
        <v>424</v>
      </c>
      <c r="C157" s="329" t="s">
        <v>309</v>
      </c>
      <c r="D157" s="329" t="s">
        <v>319</v>
      </c>
      <c r="E157" s="329" t="s">
        <v>318</v>
      </c>
      <c r="F157" s="330" t="s">
        <v>464</v>
      </c>
      <c r="G157" s="467"/>
      <c r="H157" s="639"/>
      <c r="I157" s="704"/>
      <c r="J157" s="338"/>
      <c r="K157" s="338"/>
      <c r="L157" s="338"/>
      <c r="M157" s="338"/>
      <c r="N157" s="338">
        <v>20</v>
      </c>
      <c r="O157" s="338"/>
      <c r="P157" s="338"/>
      <c r="Q157" s="707"/>
      <c r="R157" s="642"/>
      <c r="S157" s="346"/>
      <c r="T157" s="346"/>
      <c r="U157" s="469"/>
    </row>
    <row r="158" spans="1:21" s="325" customFormat="1" ht="11.25" customHeight="1" x14ac:dyDescent="0.25">
      <c r="A158" s="328" t="s">
        <v>378</v>
      </c>
      <c r="B158" s="329" t="s">
        <v>1308</v>
      </c>
      <c r="C158" s="329" t="s">
        <v>309</v>
      </c>
      <c r="D158" s="329" t="s">
        <v>1361</v>
      </c>
      <c r="E158" s="329" t="s">
        <v>320</v>
      </c>
      <c r="F158" s="330" t="s">
        <v>466</v>
      </c>
      <c r="G158" s="463" t="s">
        <v>1307</v>
      </c>
      <c r="H158" s="639">
        <v>30</v>
      </c>
      <c r="I158" s="704"/>
      <c r="J158" s="338">
        <v>30</v>
      </c>
      <c r="K158" s="338"/>
      <c r="L158" s="338"/>
      <c r="M158" s="338"/>
      <c r="N158" s="338"/>
      <c r="O158" s="338"/>
      <c r="P158" s="338"/>
      <c r="Q158" s="707"/>
      <c r="R158" s="642" t="s">
        <v>1643</v>
      </c>
      <c r="S158" s="346"/>
      <c r="T158" s="346"/>
      <c r="U158" s="469"/>
    </row>
    <row r="159" spans="1:21" s="325" customFormat="1" ht="11.25" customHeight="1" x14ac:dyDescent="0.25">
      <c r="A159" s="328" t="s">
        <v>378</v>
      </c>
      <c r="B159" s="329" t="s">
        <v>462</v>
      </c>
      <c r="C159" s="329" t="s">
        <v>309</v>
      </c>
      <c r="D159" s="329" t="s">
        <v>327</v>
      </c>
      <c r="E159" s="329" t="s">
        <v>326</v>
      </c>
      <c r="F159" s="330" t="s">
        <v>464</v>
      </c>
      <c r="G159" s="467"/>
      <c r="H159" s="639">
        <v>0</v>
      </c>
      <c r="I159" s="704"/>
      <c r="J159" s="338">
        <v>0</v>
      </c>
      <c r="K159" s="338"/>
      <c r="L159" s="338">
        <v>0</v>
      </c>
      <c r="M159" s="338"/>
      <c r="N159" s="338">
        <v>20</v>
      </c>
      <c r="O159" s="338"/>
      <c r="P159" s="338">
        <v>0</v>
      </c>
      <c r="Q159" s="707"/>
      <c r="R159" s="642" t="s">
        <v>1601</v>
      </c>
      <c r="S159" s="346"/>
      <c r="T159" s="346"/>
      <c r="U159" s="469"/>
    </row>
    <row r="160" spans="1:21" s="325" customFormat="1" ht="11.25" customHeight="1" x14ac:dyDescent="0.25">
      <c r="A160" s="328" t="s">
        <v>378</v>
      </c>
      <c r="B160" s="329" t="s">
        <v>1308</v>
      </c>
      <c r="C160" s="329" t="s">
        <v>309</v>
      </c>
      <c r="D160" s="329" t="s">
        <v>1362</v>
      </c>
      <c r="E160" s="329" t="s">
        <v>328</v>
      </c>
      <c r="F160" s="330" t="s">
        <v>464</v>
      </c>
      <c r="G160" s="463" t="s">
        <v>1307</v>
      </c>
      <c r="H160" s="639">
        <v>50</v>
      </c>
      <c r="I160" s="736"/>
      <c r="J160" s="338">
        <v>50</v>
      </c>
      <c r="K160" s="737"/>
      <c r="L160" s="338"/>
      <c r="M160" s="338"/>
      <c r="N160" s="338"/>
      <c r="O160" s="338"/>
      <c r="P160" s="338"/>
      <c r="Q160" s="707"/>
      <c r="R160" s="642" t="s">
        <v>1261</v>
      </c>
      <c r="S160" s="346"/>
      <c r="T160" s="346"/>
      <c r="U160" s="469" t="s">
        <v>1730</v>
      </c>
    </row>
    <row r="161" spans="1:21" s="325" customFormat="1" ht="11.25" customHeight="1" x14ac:dyDescent="0.25">
      <c r="A161" s="328" t="s">
        <v>378</v>
      </c>
      <c r="B161" s="329" t="s">
        <v>424</v>
      </c>
      <c r="C161" s="329" t="s">
        <v>309</v>
      </c>
      <c r="D161" s="329" t="s">
        <v>323</v>
      </c>
      <c r="E161" s="329" t="s">
        <v>322</v>
      </c>
      <c r="F161" s="330" t="s">
        <v>464</v>
      </c>
      <c r="G161" s="467" t="s">
        <v>1307</v>
      </c>
      <c r="H161" s="639">
        <v>30</v>
      </c>
      <c r="I161" s="704"/>
      <c r="J161" s="338">
        <v>90</v>
      </c>
      <c r="K161" s="338"/>
      <c r="L161" s="338"/>
      <c r="M161" s="338"/>
      <c r="N161" s="338"/>
      <c r="O161" s="338"/>
      <c r="P161" s="338"/>
      <c r="Q161" s="707"/>
      <c r="R161" s="642" t="s">
        <v>1724</v>
      </c>
      <c r="S161" s="346"/>
      <c r="T161" s="346"/>
      <c r="U161" s="469"/>
    </row>
    <row r="162" spans="1:21" s="325" customFormat="1" ht="11.25" customHeight="1" x14ac:dyDescent="0.25">
      <c r="A162" s="328" t="s">
        <v>378</v>
      </c>
      <c r="B162" s="329" t="s">
        <v>424</v>
      </c>
      <c r="C162" s="329" t="s">
        <v>309</v>
      </c>
      <c r="D162" s="329" t="s">
        <v>325</v>
      </c>
      <c r="E162" s="329" t="s">
        <v>324</v>
      </c>
      <c r="F162" s="330" t="s">
        <v>464</v>
      </c>
      <c r="G162" s="463" t="s">
        <v>1307</v>
      </c>
      <c r="H162" s="639"/>
      <c r="I162" s="704"/>
      <c r="J162" s="338"/>
      <c r="K162" s="338"/>
      <c r="L162" s="338"/>
      <c r="M162" s="338"/>
      <c r="N162" s="338"/>
      <c r="O162" s="338"/>
      <c r="P162" s="338"/>
      <c r="Q162" s="707"/>
      <c r="R162" s="642"/>
      <c r="S162" s="346"/>
      <c r="T162" s="346"/>
      <c r="U162" s="469" t="s">
        <v>1333</v>
      </c>
    </row>
    <row r="163" spans="1:21" s="325" customFormat="1" ht="11.25" customHeight="1" x14ac:dyDescent="0.25">
      <c r="A163" s="328" t="s">
        <v>378</v>
      </c>
      <c r="B163" s="329" t="s">
        <v>462</v>
      </c>
      <c r="C163" s="329" t="s">
        <v>309</v>
      </c>
      <c r="D163" s="329" t="s">
        <v>342</v>
      </c>
      <c r="E163" s="329" t="s">
        <v>341</v>
      </c>
      <c r="F163" s="330" t="s">
        <v>464</v>
      </c>
      <c r="G163" s="467"/>
      <c r="H163" s="639">
        <v>0</v>
      </c>
      <c r="I163" s="704"/>
      <c r="J163" s="338">
        <v>0</v>
      </c>
      <c r="K163" s="338"/>
      <c r="L163" s="338">
        <v>0</v>
      </c>
      <c r="M163" s="338"/>
      <c r="N163" s="338">
        <v>6</v>
      </c>
      <c r="O163" s="338">
        <v>6</v>
      </c>
      <c r="P163" s="338">
        <v>0</v>
      </c>
      <c r="Q163" s="707"/>
      <c r="R163" s="642"/>
      <c r="S163" s="346"/>
      <c r="T163" s="346"/>
      <c r="U163" s="469"/>
    </row>
    <row r="164" spans="1:21" s="325" customFormat="1" ht="11.25" customHeight="1" x14ac:dyDescent="0.25">
      <c r="A164" s="328" t="s">
        <v>378</v>
      </c>
      <c r="B164" s="329" t="s">
        <v>424</v>
      </c>
      <c r="C164" s="329" t="s">
        <v>309</v>
      </c>
      <c r="D164" s="329" t="s">
        <v>1030</v>
      </c>
      <c r="E164" s="329" t="s">
        <v>343</v>
      </c>
      <c r="F164" s="330" t="s">
        <v>466</v>
      </c>
      <c r="G164" s="463" t="s">
        <v>1460</v>
      </c>
      <c r="H164" s="639"/>
      <c r="I164" s="704"/>
      <c r="J164" s="338"/>
      <c r="K164" s="338"/>
      <c r="L164" s="338"/>
      <c r="M164" s="338"/>
      <c r="N164" s="338"/>
      <c r="O164" s="338"/>
      <c r="P164" s="338"/>
      <c r="Q164" s="707"/>
      <c r="R164" s="642"/>
      <c r="S164" s="346"/>
      <c r="T164" s="346"/>
      <c r="U164" s="469" t="s">
        <v>1333</v>
      </c>
    </row>
    <row r="165" spans="1:21" s="325" customFormat="1" ht="11.25" customHeight="1" x14ac:dyDescent="0.25">
      <c r="A165" s="328" t="s">
        <v>378</v>
      </c>
      <c r="B165" s="329" t="s">
        <v>1308</v>
      </c>
      <c r="C165" s="329" t="s">
        <v>309</v>
      </c>
      <c r="D165" s="329" t="s">
        <v>1363</v>
      </c>
      <c r="E165" s="329" t="s">
        <v>352</v>
      </c>
      <c r="F165" s="343" t="s">
        <v>466</v>
      </c>
      <c r="G165" s="465"/>
      <c r="H165" s="639"/>
      <c r="I165" s="704"/>
      <c r="J165" s="338"/>
      <c r="K165" s="338"/>
      <c r="L165" s="338"/>
      <c r="M165" s="338"/>
      <c r="N165" s="338"/>
      <c r="O165" s="338"/>
      <c r="P165" s="338"/>
      <c r="Q165" s="707"/>
      <c r="R165" s="642"/>
      <c r="S165" s="346"/>
      <c r="T165" s="346"/>
      <c r="U165" s="469"/>
    </row>
    <row r="166" spans="1:21" s="325" customFormat="1" ht="11.25" customHeight="1" x14ac:dyDescent="0.25">
      <c r="A166" s="328" t="s">
        <v>378</v>
      </c>
      <c r="B166" s="329" t="s">
        <v>462</v>
      </c>
      <c r="C166" s="329" t="s">
        <v>309</v>
      </c>
      <c r="D166" s="329" t="s">
        <v>1364</v>
      </c>
      <c r="E166" s="329" t="s">
        <v>316</v>
      </c>
      <c r="F166" s="330" t="s">
        <v>464</v>
      </c>
      <c r="G166" s="463" t="s">
        <v>1307</v>
      </c>
      <c r="H166" s="639">
        <v>5</v>
      </c>
      <c r="I166" s="704"/>
      <c r="J166" s="338">
        <v>5</v>
      </c>
      <c r="K166" s="338"/>
      <c r="L166" s="338">
        <v>0</v>
      </c>
      <c r="M166" s="338"/>
      <c r="N166" s="338">
        <v>26</v>
      </c>
      <c r="O166" s="338">
        <v>26</v>
      </c>
      <c r="P166" s="338">
        <v>0</v>
      </c>
      <c r="Q166" s="707"/>
      <c r="R166" s="642" t="s">
        <v>1601</v>
      </c>
      <c r="S166" s="346"/>
      <c r="T166" s="346"/>
      <c r="U166" s="469"/>
    </row>
    <row r="167" spans="1:21" s="325" customFormat="1" ht="11.25" customHeight="1" x14ac:dyDescent="0.25">
      <c r="A167" s="328" t="s">
        <v>378</v>
      </c>
      <c r="B167" s="329" t="s">
        <v>424</v>
      </c>
      <c r="C167" s="329" t="s">
        <v>309</v>
      </c>
      <c r="D167" s="329" t="s">
        <v>1365</v>
      </c>
      <c r="E167" s="329" t="s">
        <v>339</v>
      </c>
      <c r="F167" s="330" t="s">
        <v>464</v>
      </c>
      <c r="G167" s="465" t="s">
        <v>1460</v>
      </c>
      <c r="H167" s="639"/>
      <c r="I167" s="704"/>
      <c r="J167" s="338"/>
      <c r="K167" s="338"/>
      <c r="L167" s="338"/>
      <c r="M167" s="338"/>
      <c r="N167" s="338">
        <v>20</v>
      </c>
      <c r="O167" s="338"/>
      <c r="P167" s="338"/>
      <c r="Q167" s="707"/>
      <c r="R167" s="642" t="s">
        <v>1602</v>
      </c>
      <c r="S167" s="346"/>
      <c r="T167" s="346"/>
      <c r="U167" s="469"/>
    </row>
    <row r="168" spans="1:21" s="325" customFormat="1" ht="11.25" customHeight="1" x14ac:dyDescent="0.25">
      <c r="A168" s="328" t="s">
        <v>378</v>
      </c>
      <c r="B168" s="329" t="s">
        <v>462</v>
      </c>
      <c r="C168" s="329" t="s">
        <v>309</v>
      </c>
      <c r="D168" s="329" t="s">
        <v>1366</v>
      </c>
      <c r="E168" s="329" t="s">
        <v>336</v>
      </c>
      <c r="F168" s="330" t="s">
        <v>464</v>
      </c>
      <c r="G168" s="463"/>
      <c r="H168" s="639">
        <v>0</v>
      </c>
      <c r="I168" s="704"/>
      <c r="J168" s="338">
        <v>0</v>
      </c>
      <c r="K168" s="338"/>
      <c r="L168" s="338"/>
      <c r="M168" s="338"/>
      <c r="N168" s="338">
        <v>10</v>
      </c>
      <c r="O168" s="338"/>
      <c r="P168" s="338">
        <v>0</v>
      </c>
      <c r="Q168" s="707"/>
      <c r="R168" s="642" t="s">
        <v>1601</v>
      </c>
      <c r="S168" s="346"/>
      <c r="T168" s="346"/>
      <c r="U168" s="469"/>
    </row>
    <row r="169" spans="1:21" s="325" customFormat="1" ht="11.25" customHeight="1" x14ac:dyDescent="0.25">
      <c r="A169" s="328" t="s">
        <v>378</v>
      </c>
      <c r="B169" s="329" t="s">
        <v>424</v>
      </c>
      <c r="C169" s="329" t="s">
        <v>309</v>
      </c>
      <c r="D169" s="329" t="s">
        <v>345</v>
      </c>
      <c r="E169" s="329" t="s">
        <v>344</v>
      </c>
      <c r="F169" s="330" t="s">
        <v>464</v>
      </c>
      <c r="G169" s="463" t="s">
        <v>1460</v>
      </c>
      <c r="H169" s="639"/>
      <c r="I169" s="704"/>
      <c r="J169" s="338"/>
      <c r="K169" s="338"/>
      <c r="L169" s="338"/>
      <c r="M169" s="338"/>
      <c r="N169" s="338"/>
      <c r="O169" s="338"/>
      <c r="P169" s="338"/>
      <c r="Q169" s="707"/>
      <c r="R169" s="642"/>
      <c r="S169" s="346"/>
      <c r="T169" s="346"/>
      <c r="U169" s="469" t="s">
        <v>1333</v>
      </c>
    </row>
    <row r="170" spans="1:21" s="325" customFormat="1" ht="11.25" customHeight="1" x14ac:dyDescent="0.25">
      <c r="A170" s="328" t="s">
        <v>378</v>
      </c>
      <c r="B170" s="329" t="s">
        <v>462</v>
      </c>
      <c r="C170" s="329" t="s">
        <v>309</v>
      </c>
      <c r="D170" s="329" t="s">
        <v>347</v>
      </c>
      <c r="E170" s="329" t="s">
        <v>346</v>
      </c>
      <c r="F170" s="330" t="s">
        <v>464</v>
      </c>
      <c r="G170" s="467"/>
      <c r="H170" s="639">
        <v>0</v>
      </c>
      <c r="I170" s="704"/>
      <c r="J170" s="338"/>
      <c r="K170" s="338"/>
      <c r="L170" s="338"/>
      <c r="M170" s="338"/>
      <c r="N170" s="338">
        <v>10</v>
      </c>
      <c r="O170" s="338"/>
      <c r="P170" s="338">
        <v>0</v>
      </c>
      <c r="Q170" s="707"/>
      <c r="R170" s="642" t="s">
        <v>1601</v>
      </c>
      <c r="S170" s="346"/>
      <c r="T170" s="346"/>
      <c r="U170" s="469"/>
    </row>
    <row r="171" spans="1:21" s="325" customFormat="1" ht="11.25" customHeight="1" x14ac:dyDescent="0.25">
      <c r="A171" s="328" t="s">
        <v>378</v>
      </c>
      <c r="B171" s="329" t="s">
        <v>462</v>
      </c>
      <c r="C171" s="329" t="s">
        <v>309</v>
      </c>
      <c r="D171" s="338" t="s">
        <v>1367</v>
      </c>
      <c r="E171" s="329" t="s">
        <v>314</v>
      </c>
      <c r="F171" s="330" t="s">
        <v>464</v>
      </c>
      <c r="G171" s="463"/>
      <c r="H171" s="639">
        <v>0</v>
      </c>
      <c r="I171" s="704"/>
      <c r="J171" s="338">
        <v>0</v>
      </c>
      <c r="K171" s="338"/>
      <c r="L171" s="338">
        <v>0</v>
      </c>
      <c r="M171" s="338"/>
      <c r="N171" s="338">
        <v>15</v>
      </c>
      <c r="O171" s="338">
        <v>15</v>
      </c>
      <c r="P171" s="338">
        <v>0</v>
      </c>
      <c r="Q171" s="707"/>
      <c r="R171" s="642" t="s">
        <v>1601</v>
      </c>
      <c r="S171" s="346"/>
      <c r="T171" s="346"/>
      <c r="U171" s="469"/>
    </row>
    <row r="172" spans="1:21" s="325" customFormat="1" ht="11.25" customHeight="1" x14ac:dyDescent="0.25">
      <c r="A172" s="328" t="s">
        <v>378</v>
      </c>
      <c r="B172" s="329" t="s">
        <v>424</v>
      </c>
      <c r="C172" s="329" t="s">
        <v>309</v>
      </c>
      <c r="D172" s="338" t="s">
        <v>1266</v>
      </c>
      <c r="E172" s="329" t="s">
        <v>1264</v>
      </c>
      <c r="F172" s="330" t="s">
        <v>466</v>
      </c>
      <c r="G172" s="463" t="s">
        <v>1307</v>
      </c>
      <c r="H172" s="639">
        <v>0</v>
      </c>
      <c r="I172" s="704"/>
      <c r="J172" s="338">
        <v>0</v>
      </c>
      <c r="K172" s="338"/>
      <c r="L172" s="338">
        <v>0</v>
      </c>
      <c r="M172" s="338"/>
      <c r="N172" s="338"/>
      <c r="O172" s="338"/>
      <c r="P172" s="338">
        <v>2</v>
      </c>
      <c r="Q172" s="707">
        <v>2</v>
      </c>
      <c r="R172" s="642" t="s">
        <v>1616</v>
      </c>
      <c r="S172" s="346"/>
      <c r="T172" s="346"/>
      <c r="U172" s="469" t="s">
        <v>1333</v>
      </c>
    </row>
    <row r="173" spans="1:21" s="325" customFormat="1" ht="11.25" customHeight="1" x14ac:dyDescent="0.25">
      <c r="A173" s="328" t="s">
        <v>378</v>
      </c>
      <c r="B173" s="329" t="s">
        <v>1330</v>
      </c>
      <c r="C173" s="329" t="s">
        <v>309</v>
      </c>
      <c r="D173" s="338" t="s">
        <v>1750</v>
      </c>
      <c r="E173" s="329" t="s">
        <v>1698</v>
      </c>
      <c r="F173" s="330" t="s">
        <v>464</v>
      </c>
      <c r="G173" s="463"/>
      <c r="H173" s="639">
        <v>30</v>
      </c>
      <c r="I173" s="704"/>
      <c r="J173" s="338">
        <v>30</v>
      </c>
      <c r="K173" s="338"/>
      <c r="L173" s="338"/>
      <c r="M173" s="338"/>
      <c r="N173" s="338"/>
      <c r="O173" s="338"/>
      <c r="P173" s="338"/>
      <c r="Q173" s="707"/>
      <c r="R173" s="642"/>
      <c r="S173" s="346">
        <v>40</v>
      </c>
      <c r="T173" s="346"/>
      <c r="U173" s="469"/>
    </row>
    <row r="174" spans="1:21" s="325" customFormat="1" ht="11.25" customHeight="1" x14ac:dyDescent="0.25">
      <c r="A174" s="328" t="s">
        <v>378</v>
      </c>
      <c r="B174" s="329" t="s">
        <v>1308</v>
      </c>
      <c r="C174" s="329" t="s">
        <v>309</v>
      </c>
      <c r="D174" s="329" t="s">
        <v>1368</v>
      </c>
      <c r="E174" s="329" t="s">
        <v>350</v>
      </c>
      <c r="F174" s="343" t="s">
        <v>466</v>
      </c>
      <c r="G174" s="465"/>
      <c r="H174" s="639">
        <v>48</v>
      </c>
      <c r="I174" s="704"/>
      <c r="J174" s="338">
        <v>48</v>
      </c>
      <c r="K174" s="338"/>
      <c r="L174" s="338">
        <v>40</v>
      </c>
      <c r="M174" s="338"/>
      <c r="N174" s="338"/>
      <c r="O174" s="338"/>
      <c r="P174" s="338"/>
      <c r="Q174" s="707"/>
      <c r="R174" s="642" t="s">
        <v>1650</v>
      </c>
      <c r="S174" s="346"/>
      <c r="T174" s="346"/>
      <c r="U174" s="469"/>
    </row>
    <row r="175" spans="1:21" s="325" customFormat="1" ht="11.25" customHeight="1" x14ac:dyDescent="0.25">
      <c r="A175" s="331" t="s">
        <v>3</v>
      </c>
      <c r="B175" s="332"/>
      <c r="C175" s="332"/>
      <c r="D175" s="333"/>
      <c r="E175" s="334"/>
      <c r="F175" s="335"/>
      <c r="G175" s="472"/>
      <c r="H175" s="334">
        <f>SUM(H154:H174)</f>
        <v>193</v>
      </c>
      <c r="I175" s="334">
        <f t="shared" ref="I175:Q175" si="30">SUM(I154:I174)</f>
        <v>0</v>
      </c>
      <c r="J175" s="334">
        <f t="shared" si="30"/>
        <v>253</v>
      </c>
      <c r="K175" s="334">
        <f t="shared" si="30"/>
        <v>0</v>
      </c>
      <c r="L175" s="334">
        <f t="shared" si="30"/>
        <v>45</v>
      </c>
      <c r="M175" s="334">
        <f t="shared" si="30"/>
        <v>0</v>
      </c>
      <c r="N175" s="334">
        <f t="shared" si="30"/>
        <v>127</v>
      </c>
      <c r="O175" s="334">
        <f t="shared" si="30"/>
        <v>47</v>
      </c>
      <c r="P175" s="334">
        <f t="shared" si="30"/>
        <v>2</v>
      </c>
      <c r="Q175" s="334">
        <f t="shared" si="30"/>
        <v>2</v>
      </c>
      <c r="R175" s="334">
        <f t="shared" ref="R175:T175" si="31">SUM(R154:R174)</f>
        <v>0</v>
      </c>
      <c r="S175" s="334">
        <f t="shared" si="31"/>
        <v>40</v>
      </c>
      <c r="T175" s="334">
        <f t="shared" si="31"/>
        <v>0</v>
      </c>
      <c r="U175" s="327"/>
    </row>
    <row r="176" spans="1:21" s="325" customFormat="1" ht="11.25" customHeight="1" thickBot="1" x14ac:dyDescent="0.3">
      <c r="A176" s="348"/>
      <c r="B176" s="349"/>
      <c r="C176" s="349" t="s">
        <v>1369</v>
      </c>
      <c r="D176" s="349"/>
      <c r="E176" s="349"/>
      <c r="F176" s="350"/>
      <c r="G176" s="473"/>
      <c r="H176" s="653">
        <f>H14+H20+H44+H46+H48+H62+H72+H76+H85+H88+H101+H105+H132+H139+H144+H147+H150+H153+H175</f>
        <v>1456</v>
      </c>
      <c r="I176" s="653">
        <f t="shared" ref="I176:Q176" si="32">I14+I20+I44+I46+I48+I62+I72+I76+I85+I88+I101+I105+I132+I139+I144+I147+I150+I153+I175</f>
        <v>761</v>
      </c>
      <c r="J176" s="653">
        <f t="shared" si="32"/>
        <v>1499</v>
      </c>
      <c r="K176" s="653">
        <f t="shared" si="32"/>
        <v>762</v>
      </c>
      <c r="L176" s="653">
        <f t="shared" si="32"/>
        <v>1024</v>
      </c>
      <c r="M176" s="653">
        <f t="shared" si="32"/>
        <v>306</v>
      </c>
      <c r="N176" s="653">
        <f t="shared" si="32"/>
        <v>886</v>
      </c>
      <c r="O176" s="653">
        <f t="shared" si="32"/>
        <v>557</v>
      </c>
      <c r="P176" s="653">
        <f t="shared" si="32"/>
        <v>4</v>
      </c>
      <c r="Q176" s="653">
        <f t="shared" si="32"/>
        <v>4</v>
      </c>
      <c r="R176" s="653">
        <f t="shared" ref="R176" si="33">R14+R20+R44+R46+R48+R62+R72+R76+R85+R88+R101+R105+R132+R139+R144+R147+R150+R153+R175</f>
        <v>0</v>
      </c>
      <c r="S176" s="653">
        <f t="shared" ref="S176:T176" si="34">S14+S20+S44+S46+S48+S62+S72+S76+S85+S88+S101+S105+S132+S139+S144+S147+S150+S153+S175</f>
        <v>560</v>
      </c>
      <c r="T176" s="653" t="e">
        <f t="shared" si="34"/>
        <v>#REF!</v>
      </c>
      <c r="U176" s="351"/>
    </row>
  </sheetData>
  <autoFilter ref="A4:U176"/>
  <mergeCells count="11">
    <mergeCell ref="S2:S4"/>
    <mergeCell ref="T2:T4"/>
    <mergeCell ref="A1:R1"/>
    <mergeCell ref="A2:A4"/>
    <mergeCell ref="B2:B4"/>
    <mergeCell ref="C2:C4"/>
    <mergeCell ref="D2:D4"/>
    <mergeCell ref="E2:E4"/>
    <mergeCell ref="F2:F4"/>
    <mergeCell ref="G2:G4"/>
    <mergeCell ref="H2:R2"/>
  </mergeCells>
  <conditionalFormatting sqref="H3:R4 H1:T2 H5:T13 H176:T1048576">
    <cfRule type="cellIs" dxfId="34" priority="2" operator="greaterThan">
      <formula>0</formula>
    </cfRule>
  </conditionalFormatting>
  <conditionalFormatting sqref="R15">
    <cfRule type="cellIs" dxfId="33" priority="1" operator="greaterThan">
      <formula>0</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85" zoomScaleNormal="85" zoomScaleSheetLayoutView="100" zoomScalePageLayoutView="80" workbookViewId="0">
      <selection activeCell="G38" sqref="G38:H38"/>
    </sheetView>
  </sheetViews>
  <sheetFormatPr defaultColWidth="9.109375" defaultRowHeight="14.4" x14ac:dyDescent="0.3"/>
  <cols>
    <col min="1" max="1" width="2.44140625" style="177" customWidth="1"/>
    <col min="2" max="2" width="11.88671875" style="177" customWidth="1"/>
    <col min="3" max="3" width="9" style="177" customWidth="1"/>
    <col min="4" max="4" width="9.88671875" style="177" customWidth="1"/>
    <col min="5" max="5" width="8" style="177" customWidth="1"/>
    <col min="6" max="6" width="7.33203125" style="177" customWidth="1"/>
    <col min="7" max="7" width="10.109375" style="177" bestFit="1" customWidth="1"/>
    <col min="8" max="8" width="12.44140625" style="177" bestFit="1" customWidth="1"/>
    <col min="9" max="9" width="5" style="177" customWidth="1"/>
    <col min="10" max="11" width="16" style="177" customWidth="1"/>
    <col min="12" max="12" width="9.109375" style="177"/>
    <col min="13" max="13" width="8.6640625" style="177" customWidth="1"/>
    <col min="14" max="14" width="5.88671875" style="177" customWidth="1"/>
    <col min="15" max="15" width="15.6640625" style="177" customWidth="1"/>
    <col min="16" max="16" width="2.33203125" style="271" customWidth="1"/>
    <col min="17" max="17" width="7.6640625" style="271" customWidth="1"/>
    <col min="18" max="20" width="9.109375" style="271" customWidth="1"/>
    <col min="21" max="21" width="21.109375" style="271" customWidth="1"/>
    <col min="22" max="22" width="9.109375" style="271" customWidth="1"/>
    <col min="23" max="24" width="9.109375" style="177" customWidth="1"/>
    <col min="25" max="78" width="9.109375" style="177"/>
    <col min="79" max="79" width="9.109375" style="177" customWidth="1"/>
    <col min="80" max="80" width="15" style="177" customWidth="1"/>
    <col min="81" max="83" width="8" style="177" customWidth="1"/>
    <col min="84" max="16384" width="9.109375" style="177"/>
  </cols>
  <sheetData>
    <row r="1" spans="1:85" ht="12.75" customHeight="1" x14ac:dyDescent="0.3">
      <c r="A1" s="500"/>
      <c r="B1" s="425"/>
      <c r="C1" s="425"/>
      <c r="D1" s="425"/>
      <c r="E1" s="425"/>
      <c r="F1" s="425"/>
      <c r="G1" s="425"/>
      <c r="H1" s="425"/>
      <c r="I1" s="425"/>
      <c r="J1" s="425"/>
      <c r="K1" s="425"/>
      <c r="L1" s="425"/>
      <c r="M1" s="425"/>
      <c r="N1" s="425"/>
      <c r="O1" s="425"/>
      <c r="P1" s="505"/>
    </row>
    <row r="2" spans="1:85" ht="28.5" customHeight="1" x14ac:dyDescent="0.3">
      <c r="A2" s="506"/>
      <c r="B2" s="806" t="s">
        <v>533</v>
      </c>
      <c r="C2" s="807"/>
      <c r="D2" s="807"/>
      <c r="E2" s="807"/>
      <c r="F2" s="807"/>
      <c r="G2" s="807"/>
      <c r="H2" s="807"/>
      <c r="I2" s="807"/>
      <c r="J2" s="807"/>
      <c r="K2" s="807"/>
      <c r="L2" s="363"/>
      <c r="M2" s="363"/>
      <c r="N2" s="363"/>
      <c r="O2" s="176"/>
      <c r="P2" s="507"/>
      <c r="Q2" s="446" t="s">
        <v>1428</v>
      </c>
      <c r="R2" s="398"/>
      <c r="S2" s="398"/>
      <c r="T2" s="398"/>
      <c r="U2" s="398"/>
      <c r="AL2" s="315"/>
      <c r="AM2" s="315"/>
      <c r="CC2" s="177" t="s">
        <v>980</v>
      </c>
      <c r="CD2" s="359" t="e">
        <f>GETPIVOTDATA("# HH",$B$9)</f>
        <v>#REF!</v>
      </c>
    </row>
    <row r="3" spans="1:85" s="306" customFormat="1" ht="28.5" customHeight="1" x14ac:dyDescent="0.3">
      <c r="A3" s="506"/>
      <c r="B3" s="798">
        <f>Definition!B23</f>
        <v>43313</v>
      </c>
      <c r="C3" s="799"/>
      <c r="D3" s="799"/>
      <c r="E3" s="799"/>
      <c r="F3" s="799"/>
      <c r="G3" s="799"/>
      <c r="H3" s="799"/>
      <c r="I3" s="799"/>
      <c r="J3" s="799"/>
      <c r="K3" s="364"/>
      <c r="L3" s="364"/>
      <c r="M3" s="364"/>
      <c r="N3" s="364"/>
      <c r="O3" s="178"/>
      <c r="P3" s="508"/>
      <c r="Q3" s="391">
        <f>COUNTIFS(CampList[[#All],[Status]],"Open",CampList[[#All],[Type of Accomodation]],"Camp")+COUNTIFS(CampList[[#All],[Status]],"Open",CampList[[#All],[Type of Accomodation]],"Camp like setting")</f>
        <v>0</v>
      </c>
      <c r="R3" s="398"/>
      <c r="S3" s="398"/>
      <c r="T3" s="398"/>
      <c r="U3" s="398"/>
      <c r="V3" s="271"/>
      <c r="W3" s="177"/>
      <c r="X3" s="177"/>
      <c r="Y3" s="177"/>
      <c r="AA3" s="177"/>
      <c r="AB3" s="177"/>
      <c r="AL3" s="179"/>
      <c r="AM3" s="179"/>
      <c r="CC3" s="177" t="s">
        <v>1026</v>
      </c>
      <c r="CD3" s="359" t="e">
        <f>GETPIVOTDATA("# Camps",$B$9)</f>
        <v>#REF!</v>
      </c>
      <c r="CE3" s="177"/>
      <c r="CF3" s="177"/>
    </row>
    <row r="4" spans="1:85" s="306" customFormat="1" ht="8.25" customHeight="1" x14ac:dyDescent="0.3">
      <c r="A4" s="506"/>
      <c r="B4" s="464"/>
      <c r="C4" s="464"/>
      <c r="D4" s="464"/>
      <c r="E4" s="464"/>
      <c r="F4" s="464"/>
      <c r="G4" s="464"/>
      <c r="H4" s="464"/>
      <c r="I4" s="464"/>
      <c r="J4" s="464"/>
      <c r="K4" s="85"/>
      <c r="L4" s="85"/>
      <c r="M4" s="85"/>
      <c r="N4" s="85"/>
      <c r="O4" s="396"/>
      <c r="P4" s="508"/>
      <c r="Q4" s="391"/>
      <c r="R4" s="398"/>
      <c r="S4" s="398"/>
      <c r="T4" s="398"/>
      <c r="U4" s="398"/>
      <c r="V4" s="271"/>
      <c r="W4" s="177"/>
      <c r="X4" s="177"/>
      <c r="Y4" s="177"/>
      <c r="AA4" s="177"/>
      <c r="AB4" s="177"/>
      <c r="AL4" s="179"/>
      <c r="AM4" s="179"/>
      <c r="CC4" s="177"/>
      <c r="CD4" s="359"/>
      <c r="CE4" s="177"/>
      <c r="CF4" s="177"/>
    </row>
    <row r="5" spans="1:85" s="480" customFormat="1" ht="18" customHeight="1" x14ac:dyDescent="0.3">
      <c r="A5" s="509"/>
      <c r="B5" s="485" t="s">
        <v>1428</v>
      </c>
      <c r="C5" s="486"/>
      <c r="D5" s="486"/>
      <c r="E5" s="486"/>
      <c r="F5" s="486"/>
      <c r="G5" s="487"/>
      <c r="H5" s="519">
        <v>77</v>
      </c>
      <c r="I5" s="492"/>
      <c r="J5" s="476"/>
      <c r="K5" s="477"/>
      <c r="L5" s="477"/>
      <c r="M5" s="477"/>
      <c r="N5" s="477"/>
      <c r="O5" s="475"/>
      <c r="P5" s="510"/>
      <c r="Q5" s="478"/>
      <c r="R5" s="478"/>
      <c r="S5" s="478"/>
      <c r="T5" s="478"/>
      <c r="U5" s="478"/>
      <c r="V5" s="478"/>
      <c r="W5" s="479"/>
      <c r="X5" s="479"/>
      <c r="Y5" s="479"/>
      <c r="AA5" s="479"/>
      <c r="AB5" s="479"/>
      <c r="AL5" s="481"/>
      <c r="AM5" s="481"/>
      <c r="CC5" s="479"/>
      <c r="CD5" s="482"/>
      <c r="CE5" s="479"/>
      <c r="CF5" s="479"/>
    </row>
    <row r="6" spans="1:85" s="479" customFormat="1" ht="18" customHeight="1" x14ac:dyDescent="0.3">
      <c r="A6" s="509"/>
      <c r="B6" s="485" t="s">
        <v>1372</v>
      </c>
      <c r="C6" s="486"/>
      <c r="D6" s="486"/>
      <c r="E6" s="486"/>
      <c r="F6" s="486"/>
      <c r="G6" s="487"/>
      <c r="H6" s="493">
        <f>F30</f>
        <v>3662</v>
      </c>
      <c r="I6" s="492"/>
      <c r="J6" s="475"/>
      <c r="K6" s="475"/>
      <c r="L6" s="475"/>
      <c r="M6" s="475"/>
      <c r="N6" s="475"/>
      <c r="O6" s="475"/>
      <c r="P6" s="511"/>
      <c r="Q6" s="478"/>
      <c r="R6" s="658"/>
      <c r="S6" s="478"/>
      <c r="T6" s="478"/>
      <c r="U6" s="478"/>
      <c r="V6" s="478"/>
      <c r="CC6" s="479" t="s">
        <v>982</v>
      </c>
      <c r="CD6" s="483" t="e">
        <f>GETPIVOTDATA("# HH",$B$9)-GETPIVOTDATA("# Shelter Gap",$B$9)</f>
        <v>#REF!</v>
      </c>
      <c r="CE6" s="484" t="e">
        <f>CD6/CD2</f>
        <v>#REF!</v>
      </c>
    </row>
    <row r="7" spans="1:85" s="479" customFormat="1" ht="18" customHeight="1" x14ac:dyDescent="0.3">
      <c r="A7" s="509"/>
      <c r="B7" s="485" t="s">
        <v>1550</v>
      </c>
      <c r="C7" s="486"/>
      <c r="D7" s="486"/>
      <c r="E7" s="486"/>
      <c r="F7" s="486"/>
      <c r="G7" s="487"/>
      <c r="H7" s="494">
        <f>G30</f>
        <v>5014</v>
      </c>
      <c r="I7" s="492"/>
      <c r="J7" s="475"/>
      <c r="K7" s="475"/>
      <c r="L7" s="475"/>
      <c r="M7" s="475"/>
      <c r="N7" s="475"/>
      <c r="O7" s="475"/>
      <c r="P7" s="511"/>
      <c r="Q7" s="478"/>
      <c r="R7" s="478"/>
      <c r="S7" s="478"/>
      <c r="T7" s="478"/>
      <c r="U7" s="478"/>
      <c r="V7" s="478"/>
      <c r="CB7" s="480"/>
      <c r="CC7" s="479" t="s">
        <v>981</v>
      </c>
      <c r="CD7" s="482" t="e">
        <f>GETPIVOTDATA("# Shelter Gap",$B$9)</f>
        <v>#REF!</v>
      </c>
      <c r="CE7" s="484"/>
    </row>
    <row r="8" spans="1:85" ht="6" customHeight="1" x14ac:dyDescent="0.3">
      <c r="A8" s="512"/>
      <c r="B8" s="190"/>
      <c r="C8" s="190"/>
      <c r="D8" s="190"/>
      <c r="E8" s="190"/>
      <c r="F8" s="190"/>
      <c r="G8" s="190"/>
      <c r="H8" s="190"/>
      <c r="I8" s="492"/>
      <c r="J8" s="190"/>
      <c r="K8" s="190"/>
      <c r="L8" s="190"/>
      <c r="M8" s="190"/>
      <c r="N8" s="190"/>
      <c r="O8" s="190"/>
      <c r="P8" s="507"/>
      <c r="CC8" s="177" t="s">
        <v>983</v>
      </c>
      <c r="CD8" s="359" t="e">
        <f>GETPIVOTDATA("# Const. Shelter",$B$9)</f>
        <v>#REF!</v>
      </c>
      <c r="CE8" s="360" t="e">
        <f>CD8/CD2</f>
        <v>#REF!</v>
      </c>
    </row>
    <row r="9" spans="1:85" ht="42" customHeight="1" x14ac:dyDescent="0.3">
      <c r="A9" s="512"/>
      <c r="B9" s="356" t="s">
        <v>0</v>
      </c>
      <c r="C9" s="357" t="s">
        <v>1371</v>
      </c>
      <c r="D9" s="357" t="s">
        <v>1370</v>
      </c>
      <c r="E9" s="357" t="s">
        <v>1375</v>
      </c>
      <c r="F9" s="357" t="s">
        <v>1372</v>
      </c>
      <c r="G9" s="357" t="s">
        <v>1376</v>
      </c>
      <c r="H9" s="357" t="s">
        <v>1596</v>
      </c>
      <c r="I9" s="492"/>
      <c r="J9" s="190"/>
      <c r="K9" s="190"/>
      <c r="L9" s="190"/>
      <c r="M9" s="190"/>
      <c r="N9" s="190"/>
      <c r="O9" s="190"/>
      <c r="P9" s="507"/>
    </row>
    <row r="10" spans="1:85" ht="12.6" customHeight="1" x14ac:dyDescent="0.3">
      <c r="A10" s="512"/>
      <c r="B10" s="488" t="s">
        <v>5</v>
      </c>
      <c r="C10" s="489">
        <f>GETPIVOTDATA("HH",'IDP location Analysis'!$B$9,"Township","Bhamo")</f>
        <v>1442</v>
      </c>
      <c r="D10" s="490">
        <f>GETPIVOTDATA("Individuals",'IDP location Analysis'!$B$9,"Township","Bhamo")</f>
        <v>7758</v>
      </c>
      <c r="E10" s="490">
        <f>'Shelter Gap Analysis'!H14+'Shelter Gap Analysis'!J14+'Shelter Gap Analysis'!K14</f>
        <v>393</v>
      </c>
      <c r="F10" s="491">
        <f>'Shelter Gap Analysis'!M14+'Shelter Gap Analysis'!O14+'Shelter Gap Analysis'!P14</f>
        <v>234</v>
      </c>
      <c r="G10" s="489">
        <f>E10-F10</f>
        <v>159</v>
      </c>
      <c r="H10" s="492">
        <f>IF(AND(E10=0,F10=0),"",IF((IFERROR(F10/E10,0))=0,"no coverage",F10/E10))</f>
        <v>0.59541984732824427</v>
      </c>
      <c r="I10" s="492"/>
      <c r="J10" s="316"/>
      <c r="K10" s="316"/>
      <c r="L10" s="190"/>
      <c r="M10" s="190"/>
      <c r="N10" s="190"/>
      <c r="O10" s="190"/>
      <c r="P10" s="507"/>
    </row>
    <row r="11" spans="1:85" ht="12.6" customHeight="1" x14ac:dyDescent="0.3">
      <c r="A11" s="426"/>
      <c r="B11" s="488" t="s">
        <v>27</v>
      </c>
      <c r="C11" s="489">
        <f>GETPIVOTDATA("HH",'IDP location Analysis'!$B$9,"Township","Chipwi")</f>
        <v>613</v>
      </c>
      <c r="D11" s="490">
        <f>GETPIVOTDATA("Individuals",'IDP location Analysis'!$B$9,"Township","Chipwi")</f>
        <v>3010</v>
      </c>
      <c r="E11" s="490">
        <f>'Shelter Gap Analysis'!H20+'Shelter Gap Analysis'!J20+'Shelter Gap Analysis'!K20</f>
        <v>246</v>
      </c>
      <c r="F11" s="491">
        <f>'Shelter Gap Analysis'!M20+'Shelter Gap Analysis'!O20+'Shelter Gap Analysis'!P20</f>
        <v>151</v>
      </c>
      <c r="G11" s="489">
        <f t="shared" ref="G11:G27" si="0">E11-F11</f>
        <v>95</v>
      </c>
      <c r="H11" s="492">
        <f t="shared" ref="H11:H26" si="1">IF(AND(E11=0,F11=0),"",IF((IFERROR(F11/E11,0))=0,"no coverage",F11/E11))</f>
        <v>0.61382113821138207</v>
      </c>
      <c r="I11" s="492"/>
      <c r="J11" s="317"/>
      <c r="K11" s="317"/>
      <c r="L11" s="190"/>
      <c r="M11" s="190"/>
      <c r="N11" s="190"/>
      <c r="O11" s="190"/>
      <c r="P11" s="507"/>
    </row>
    <row r="12" spans="1:85" ht="12.6" customHeight="1" x14ac:dyDescent="0.3">
      <c r="A12" s="426"/>
      <c r="B12" s="488" t="s">
        <v>480</v>
      </c>
      <c r="C12" s="489">
        <f>GETPIVOTDATA("HH",'IDP location Analysis'!$B$9,"Township","Hpakant")</f>
        <v>800</v>
      </c>
      <c r="D12" s="490">
        <f>GETPIVOTDATA("Individuals",'IDP location Analysis'!$B$9,"Township","Hpakant")</f>
        <v>3981</v>
      </c>
      <c r="E12" s="490">
        <f>'Shelter Gap Analysis'!H44+'Shelter Gap Analysis'!J44+'Shelter Gap Analysis'!K44</f>
        <v>544</v>
      </c>
      <c r="F12" s="491">
        <f>'Shelter Gap Analysis'!M44+'Shelter Gap Analysis'!O44+'Shelter Gap Analysis'!P44</f>
        <v>296</v>
      </c>
      <c r="G12" s="489">
        <f t="shared" si="0"/>
        <v>248</v>
      </c>
      <c r="H12" s="492">
        <f t="shared" si="1"/>
        <v>0.54411764705882348</v>
      </c>
      <c r="I12" s="492"/>
      <c r="J12" s="317"/>
      <c r="K12" s="317"/>
      <c r="L12" s="190"/>
      <c r="M12" s="190"/>
      <c r="N12" s="190"/>
      <c r="O12" s="190"/>
      <c r="P12" s="507"/>
    </row>
    <row r="13" spans="1:85" ht="12.6" customHeight="1" x14ac:dyDescent="0.3">
      <c r="A13" s="426"/>
      <c r="B13" s="667" t="s">
        <v>719</v>
      </c>
      <c r="C13" s="489">
        <f>GETPIVOTDATA("HH",'IDP location Analysis'!$B$9,"Township","Hseni")</f>
        <v>32</v>
      </c>
      <c r="D13" s="490">
        <f>GETPIVOTDATA("Individuals",'IDP location Analysis'!$B$9,"Township","Hseni")</f>
        <v>170</v>
      </c>
      <c r="E13" s="490">
        <f>'Shelter Gap Analysis'!H46+'Shelter Gap Analysis'!J46+'Shelter Gap Analysis'!K46</f>
        <v>7</v>
      </c>
      <c r="F13" s="491">
        <f>'Shelter Gap Analysis'!M46+'Shelter Gap Analysis'!O46+'Shelter Gap Analysis'!P46</f>
        <v>0</v>
      </c>
      <c r="G13" s="489">
        <f t="shared" si="0"/>
        <v>7</v>
      </c>
      <c r="H13" s="492" t="str">
        <f>IF(AND(E13=0,F13=0),"",IF((IFERROR(F13/E13,0))=0,"no coverage",F13/E13))</f>
        <v>no coverage</v>
      </c>
      <c r="I13" s="492"/>
      <c r="J13" s="190"/>
      <c r="K13" s="317"/>
      <c r="L13" s="190"/>
      <c r="M13" s="190"/>
      <c r="N13" s="190"/>
      <c r="O13" s="190"/>
      <c r="P13" s="507"/>
    </row>
    <row r="14" spans="1:85" ht="12.6" customHeight="1" x14ac:dyDescent="0.3">
      <c r="A14" s="426"/>
      <c r="B14" s="488" t="s">
        <v>1200</v>
      </c>
      <c r="C14" s="489">
        <f>GETPIVOTDATA("HH",'IDP location Analysis'!$B$9,"Township","Hsipaw")</f>
        <v>37</v>
      </c>
      <c r="D14" s="490">
        <f>GETPIVOTDATA("Individuals",'IDP location Analysis'!$B$9,"Township","Hsipaw")</f>
        <v>120</v>
      </c>
      <c r="E14" s="490">
        <f>'Shelter Gap Analysis'!H48+'Shelter Gap Analysis'!J48+'Shelter Gap Analysis'!K48</f>
        <v>0</v>
      </c>
      <c r="F14" s="491">
        <f>'Shelter Gap Analysis'!M48+'Shelter Gap Analysis'!O48+'Shelter Gap Analysis'!P48</f>
        <v>0</v>
      </c>
      <c r="G14" s="489">
        <f t="shared" si="0"/>
        <v>0</v>
      </c>
      <c r="H14" s="492" t="str">
        <f>IF(AND(E14=0,F14=0),"",IF((IFERROR(F14/E14,0))=0,"no coverage",F14/E14))</f>
        <v/>
      </c>
      <c r="I14" s="492"/>
      <c r="J14" s="190"/>
      <c r="K14" s="317"/>
      <c r="L14" s="190"/>
      <c r="M14" s="190"/>
      <c r="N14" s="190"/>
      <c r="O14" s="190"/>
      <c r="P14" s="507"/>
    </row>
    <row r="15" spans="1:85" ht="12.6" customHeight="1" x14ac:dyDescent="0.3">
      <c r="A15" s="426"/>
      <c r="B15" s="488" t="s">
        <v>146</v>
      </c>
      <c r="C15" s="489">
        <f>GETPIVOTDATA("HH",'IDP location Analysis'!$B$9,"Township","Kutkai")</f>
        <v>833</v>
      </c>
      <c r="D15" s="490">
        <f>GETPIVOTDATA("Individuals",'IDP location Analysis'!$B$9,"Township","Kutkai")</f>
        <v>4085</v>
      </c>
      <c r="E15" s="490">
        <f>'Shelter Gap Analysis'!H63+'Shelter Gap Analysis'!J63+'Shelter Gap Analysis'!K63</f>
        <v>364</v>
      </c>
      <c r="F15" s="491">
        <f>'Shelter Gap Analysis'!M63+'Shelter Gap Analysis'!O63+'Shelter Gap Analysis'!P63</f>
        <v>229</v>
      </c>
      <c r="G15" s="489">
        <f t="shared" si="0"/>
        <v>135</v>
      </c>
      <c r="H15" s="492">
        <f t="shared" si="1"/>
        <v>0.62912087912087911</v>
      </c>
      <c r="I15" s="492"/>
      <c r="J15" s="190"/>
      <c r="K15" s="317"/>
      <c r="L15" s="190"/>
      <c r="M15" s="190"/>
      <c r="N15" s="190"/>
      <c r="O15" s="190"/>
      <c r="P15" s="507"/>
    </row>
    <row r="16" spans="1:85" ht="15" customHeight="1" x14ac:dyDescent="0.3">
      <c r="A16" s="512"/>
      <c r="B16" s="488" t="s">
        <v>151</v>
      </c>
      <c r="C16" s="489">
        <f>GETPIVOTDATA("HH",'IDP location Analysis'!$B$9,"Township","Mansi")</f>
        <v>2818</v>
      </c>
      <c r="D16" s="490">
        <f>GETPIVOTDATA("Individuals",'IDP location Analysis'!$B$9,"Township","Mansi")</f>
        <v>13197</v>
      </c>
      <c r="E16" s="490">
        <f>'Shelter Gap Analysis'!H73+'Shelter Gap Analysis'!J73+'Shelter Gap Analysis'!K73</f>
        <v>1009</v>
      </c>
      <c r="F16" s="491">
        <f>'Shelter Gap Analysis'!M73+'Shelter Gap Analysis'!O73+'Shelter Gap Analysis'!P73</f>
        <v>590</v>
      </c>
      <c r="G16" s="489">
        <f t="shared" si="0"/>
        <v>419</v>
      </c>
      <c r="H16" s="492">
        <f>IF(AND(E16=0,F16=0),"",IF((IFERROR(F16/E16,0))=0,"no coverage",F16/E16))</f>
        <v>0.58473736372646179</v>
      </c>
      <c r="I16" s="492"/>
      <c r="J16" s="190"/>
      <c r="K16" s="190"/>
      <c r="L16" s="317"/>
      <c r="M16" s="190"/>
      <c r="N16" s="190"/>
      <c r="O16" s="190"/>
      <c r="P16" s="427"/>
      <c r="W16" s="271"/>
      <c r="CD16" s="177" t="s">
        <v>0</v>
      </c>
      <c r="CE16" s="177" t="s">
        <v>990</v>
      </c>
      <c r="CF16" s="177" t="s">
        <v>991</v>
      </c>
      <c r="CG16" s="177" t="s">
        <v>992</v>
      </c>
    </row>
    <row r="17" spans="1:85" s="355" customFormat="1" ht="12.75" customHeight="1" x14ac:dyDescent="0.3">
      <c r="A17" s="513"/>
      <c r="B17" s="488" t="s">
        <v>166</v>
      </c>
      <c r="C17" s="489">
        <f>GETPIVOTDATA("HH",'IDP location Analysis'!$B$9,"Township","Manton")</f>
        <v>98</v>
      </c>
      <c r="D17" s="490">
        <f>GETPIVOTDATA("Individuals",'IDP location Analysis'!$B$9,"Township","Manton")</f>
        <v>538</v>
      </c>
      <c r="E17" s="490">
        <f>'Shelter Gap Analysis'!H77+'Shelter Gap Analysis'!J77+'Shelter Gap Analysis'!K77</f>
        <v>24</v>
      </c>
      <c r="F17" s="491">
        <f>'Shelter Gap Analysis'!M77+'Shelter Gap Analysis'!O77+'Shelter Gap Analysis'!P77</f>
        <v>20</v>
      </c>
      <c r="G17" s="489">
        <f t="shared" si="0"/>
        <v>4</v>
      </c>
      <c r="H17" s="492">
        <f>IF(AND(E17=0,F17=0),"",IF((IFERROR(F17/E17,0))=0,"no coverage",F17/E17))</f>
        <v>0.83333333333333337</v>
      </c>
      <c r="I17" s="492"/>
      <c r="J17" s="319"/>
      <c r="K17" s="319"/>
      <c r="L17" s="320"/>
      <c r="M17" s="319"/>
      <c r="N17" s="319"/>
      <c r="O17" s="319"/>
      <c r="P17" s="514"/>
      <c r="Q17" s="271"/>
      <c r="R17" s="271"/>
      <c r="S17" s="271"/>
      <c r="T17" s="271"/>
      <c r="U17" s="271"/>
      <c r="V17" s="271"/>
      <c r="W17" s="271"/>
      <c r="CD17" s="355" t="str">
        <f>B10</f>
        <v>Bhamo</v>
      </c>
      <c r="CE17" s="318">
        <f>C10-Shelter_Draw[[#This Row],[V2]]-Shelter_Draw[[#This Row],[V3]]</f>
        <v>1441.4045801526718</v>
      </c>
      <c r="CF17" s="318">
        <f>J17</f>
        <v>0</v>
      </c>
      <c r="CG17" s="318">
        <f>H10-J17</f>
        <v>0.59541984732824427</v>
      </c>
    </row>
    <row r="18" spans="1:85" s="355" customFormat="1" ht="12.75" customHeight="1" x14ac:dyDescent="0.3">
      <c r="A18" s="513"/>
      <c r="B18" s="488" t="s">
        <v>173</v>
      </c>
      <c r="C18" s="489">
        <f>GETPIVOTDATA("HH",'IDP location Analysis'!$B$9,"Township","Mogaung")</f>
        <v>335</v>
      </c>
      <c r="D18" s="490">
        <f>GETPIVOTDATA("Individuals",'IDP location Analysis'!$B$9,"Township","Mogaung")</f>
        <v>1557</v>
      </c>
      <c r="E18" s="490">
        <f>'Shelter Gap Analysis'!H86+'Shelter Gap Analysis'!J86+'Shelter Gap Analysis'!K86</f>
        <v>271</v>
      </c>
      <c r="F18" s="491">
        <f>'Shelter Gap Analysis'!M86+'Shelter Gap Analysis'!O86+'Shelter Gap Analysis'!P86</f>
        <v>0</v>
      </c>
      <c r="G18" s="489">
        <f>E18-F18</f>
        <v>271</v>
      </c>
      <c r="H18" s="492" t="str">
        <f t="shared" si="1"/>
        <v>no coverage</v>
      </c>
      <c r="I18" s="492"/>
      <c r="J18" s="319"/>
      <c r="K18" s="319"/>
      <c r="L18" s="320"/>
      <c r="M18" s="319"/>
      <c r="N18" s="319"/>
      <c r="O18" s="319"/>
      <c r="P18" s="514"/>
      <c r="Q18" s="271"/>
      <c r="R18" s="271"/>
      <c r="S18" s="271"/>
      <c r="T18" s="271"/>
      <c r="U18" s="271"/>
      <c r="V18" s="271"/>
      <c r="W18" s="271"/>
      <c r="CD18" s="355" t="str">
        <f>B11</f>
        <v>Chipwi</v>
      </c>
      <c r="CE18" s="318">
        <f>C11-Shelter_Draw[[#This Row],[V2]]-Shelter_Draw[[#This Row],[V3]]</f>
        <v>612.38617886178861</v>
      </c>
      <c r="CF18" s="318">
        <f>J18</f>
        <v>0</v>
      </c>
      <c r="CG18" s="318">
        <f>H11-J18</f>
        <v>0.61382113821138207</v>
      </c>
    </row>
    <row r="19" spans="1:85" s="355" customFormat="1" ht="12.75" customHeight="1" x14ac:dyDescent="0.3">
      <c r="A19" s="513"/>
      <c r="B19" s="488" t="s">
        <v>180</v>
      </c>
      <c r="C19" s="489">
        <f>GETPIVOTDATA("HH",'IDP location Analysis'!$B$9,"Township","Mohnyin")</f>
        <v>78</v>
      </c>
      <c r="D19" s="490">
        <f>GETPIVOTDATA("Individuals",'IDP location Analysis'!$B$9,"Township","Mohnyin")</f>
        <v>356</v>
      </c>
      <c r="E19" s="490">
        <f>'Shelter Gap Analysis'!H89+'Shelter Gap Analysis'!J89+'Shelter Gap Analysis'!K89</f>
        <v>11</v>
      </c>
      <c r="F19" s="491">
        <f>'Shelter Gap Analysis'!M89+'Shelter Gap Analysis'!O89+'Shelter Gap Analysis'!P89</f>
        <v>11</v>
      </c>
      <c r="G19" s="489">
        <f t="shared" si="0"/>
        <v>0</v>
      </c>
      <c r="H19" s="492">
        <f t="shared" si="1"/>
        <v>1</v>
      </c>
      <c r="I19" s="492"/>
      <c r="J19" s="319"/>
      <c r="K19" s="319"/>
      <c r="L19" s="321"/>
      <c r="M19" s="319"/>
      <c r="N19" s="319"/>
      <c r="O19" s="319"/>
      <c r="P19" s="514"/>
      <c r="Q19" s="271"/>
      <c r="R19" s="271"/>
      <c r="S19" s="271"/>
      <c r="T19" s="271"/>
      <c r="U19" s="271"/>
      <c r="V19" s="271"/>
      <c r="W19" s="271"/>
      <c r="CD19" s="355" t="str">
        <f>B12</f>
        <v>Hpakant</v>
      </c>
      <c r="CE19" s="318">
        <f>C12-Shelter_Draw[[#This Row],[V2]]-Shelter_Draw[[#This Row],[V3]]</f>
        <v>799.45588235294122</v>
      </c>
      <c r="CF19" s="318">
        <f>J19</f>
        <v>0</v>
      </c>
      <c r="CG19" s="318">
        <f>H12-J19</f>
        <v>0.54411764705882348</v>
      </c>
    </row>
    <row r="20" spans="1:85" s="355" customFormat="1" ht="12.75" customHeight="1" x14ac:dyDescent="0.3">
      <c r="A20" s="513"/>
      <c r="B20" s="488" t="s">
        <v>185</v>
      </c>
      <c r="C20" s="489">
        <f>GETPIVOTDATA("HH",'IDP location Analysis'!$B$9,"Township","Momauk")</f>
        <v>4753</v>
      </c>
      <c r="D20" s="490">
        <f>GETPIVOTDATA("Individuals",'IDP location Analysis'!$B$9,"Township","Momauk")</f>
        <v>26874</v>
      </c>
      <c r="E20" s="490">
        <f>'Shelter Gap Analysis'!H102+'Shelter Gap Analysis'!J102+'Shelter Gap Analysis'!K102</f>
        <v>2064</v>
      </c>
      <c r="F20" s="491">
        <f>'Shelter Gap Analysis'!M102+'Shelter Gap Analysis'!O102+'Shelter Gap Analysis'!P102</f>
        <v>991</v>
      </c>
      <c r="G20" s="489">
        <f t="shared" si="0"/>
        <v>1073</v>
      </c>
      <c r="H20" s="492">
        <f t="shared" si="1"/>
        <v>0.4801356589147287</v>
      </c>
      <c r="I20" s="492"/>
      <c r="J20" s="319"/>
      <c r="K20" s="319"/>
      <c r="L20" s="319"/>
      <c r="M20" s="319"/>
      <c r="N20" s="319"/>
      <c r="O20" s="319"/>
      <c r="P20" s="514"/>
      <c r="Q20" s="271"/>
      <c r="R20" s="271"/>
      <c r="S20" s="271"/>
      <c r="T20" s="271"/>
      <c r="U20" s="271"/>
      <c r="V20" s="271"/>
      <c r="W20" s="271"/>
      <c r="CD20" s="355" t="str">
        <f t="shared" ref="CD20:CD29" si="2">B15</f>
        <v>Kutkai</v>
      </c>
      <c r="CE20" s="318">
        <f>C15-Shelter_Draw[[#This Row],[V2]]-Shelter_Draw[[#This Row],[V3]]</f>
        <v>698</v>
      </c>
      <c r="CF20" s="318">
        <f t="shared" ref="CF20:CF26" si="3">H15</f>
        <v>0.62912087912087911</v>
      </c>
      <c r="CG20" s="318">
        <f t="shared" ref="CG20:CG26" si="4">G15-H15</f>
        <v>134.37087912087912</v>
      </c>
    </row>
    <row r="21" spans="1:85" s="355" customFormat="1" ht="12.6" customHeight="1" x14ac:dyDescent="0.3">
      <c r="A21" s="513"/>
      <c r="B21" s="488" t="s">
        <v>230</v>
      </c>
      <c r="C21" s="489">
        <f>GETPIVOTDATA("HH ",'IDP location Analysis'!$B$9,"Township","Muse")</f>
        <v>212</v>
      </c>
      <c r="D21" s="490">
        <f>GETPIVOTDATA("Individuals",'IDP location Analysis'!$B$9,"Township","Muse")</f>
        <v>1058</v>
      </c>
      <c r="E21" s="490">
        <f>'Shelter Gap Analysis'!H106+'Shelter Gap Analysis'!J106+'Shelter Gap Analysis'!K106</f>
        <v>88</v>
      </c>
      <c r="F21" s="491">
        <f>'Shelter Gap Analysis'!M106+'Shelter Gap Analysis'!O106+'Shelter Gap Analysis'!P106</f>
        <v>74</v>
      </c>
      <c r="G21" s="489">
        <f t="shared" si="0"/>
        <v>14</v>
      </c>
      <c r="H21" s="492">
        <f>IF(AND(E21=0,F21=0),"",IF((IFERROR(F21/E21,0))=0,"no coverage",F21/E21))</f>
        <v>0.84090909090909094</v>
      </c>
      <c r="I21" s="492"/>
      <c r="J21" s="319"/>
      <c r="K21" s="319"/>
      <c r="L21" s="319"/>
      <c r="M21" s="319"/>
      <c r="N21" s="319"/>
      <c r="O21" s="319"/>
      <c r="P21" s="514"/>
      <c r="Q21" s="271"/>
      <c r="R21" s="271"/>
      <c r="S21" s="271"/>
      <c r="T21" s="271"/>
      <c r="U21" s="271"/>
      <c r="V21" s="271"/>
      <c r="W21" s="271"/>
      <c r="CD21" s="355" t="str">
        <f t="shared" si="2"/>
        <v>Mansi</v>
      </c>
      <c r="CE21" s="318">
        <f>C16-Shelter_Draw[[#This Row],[V2]]-Shelter_Draw[[#This Row],[V3]]</f>
        <v>2399</v>
      </c>
      <c r="CF21" s="318">
        <f t="shared" si="3"/>
        <v>0.58473736372646179</v>
      </c>
      <c r="CG21" s="318">
        <f t="shared" si="4"/>
        <v>418.41526263627355</v>
      </c>
    </row>
    <row r="22" spans="1:85" s="355" customFormat="1" ht="12.6" customHeight="1" x14ac:dyDescent="0.3">
      <c r="A22" s="513"/>
      <c r="B22" s="488" t="s">
        <v>237</v>
      </c>
      <c r="C22" s="489">
        <f>GETPIVOTDATA("HH",'IDP location Analysis'!$B$9,"Township","Myitkyina")</f>
        <v>2590</v>
      </c>
      <c r="D22" s="490">
        <f>GETPIVOTDATA("Individuals",'IDP location Analysis'!$B$9,"Township","Myitkyina")</f>
        <v>13045</v>
      </c>
      <c r="E22" s="490">
        <f>'Shelter Gap Analysis'!H134+'Shelter Gap Analysis'!J134+'Shelter Gap Analysis'!K134</f>
        <v>1266</v>
      </c>
      <c r="F22" s="491">
        <f>'Shelter Gap Analysis'!M134+'Shelter Gap Analysis'!O134+'Shelter Gap Analysis'!P134</f>
        <v>475</v>
      </c>
      <c r="G22" s="489">
        <f>E22-F22</f>
        <v>791</v>
      </c>
      <c r="H22" s="492">
        <f>IF(AND(E22=0,F22=0),"",IF((IFERROR(F22/E22,0))=0,"no coverage",F22/E22))</f>
        <v>0.37519747235387046</v>
      </c>
      <c r="I22" s="492"/>
      <c r="J22" s="319"/>
      <c r="K22" s="319"/>
      <c r="L22" s="319"/>
      <c r="M22" s="319"/>
      <c r="N22" s="319"/>
      <c r="O22" s="319"/>
      <c r="P22" s="514"/>
      <c r="Q22" s="271"/>
      <c r="R22" s="271"/>
      <c r="S22" s="271"/>
      <c r="T22" s="271"/>
      <c r="U22" s="271"/>
      <c r="V22" s="271"/>
      <c r="W22" s="271"/>
      <c r="CD22" s="355" t="str">
        <f t="shared" si="2"/>
        <v>Manton</v>
      </c>
      <c r="CE22" s="318">
        <f>C17-Shelter_Draw[[#This Row],[V2]]-Shelter_Draw[[#This Row],[V3]]</f>
        <v>94</v>
      </c>
      <c r="CF22" s="318">
        <f t="shared" si="3"/>
        <v>0.83333333333333337</v>
      </c>
      <c r="CG22" s="318">
        <f t="shared" si="4"/>
        <v>3.1666666666666665</v>
      </c>
    </row>
    <row r="23" spans="1:85" s="355" customFormat="1" ht="14.25" customHeight="1" x14ac:dyDescent="0.3">
      <c r="A23" s="513"/>
      <c r="B23" s="488" t="s">
        <v>1373</v>
      </c>
      <c r="C23" s="489">
        <f>GETPIVOTDATA("HH",'IDP location Analysis'!$B$9,"Township","Namhkan")</f>
        <v>400</v>
      </c>
      <c r="D23" s="490">
        <f>GETPIVOTDATA("Individuals",'IDP location Analysis'!$B$9,"Township","Namhkan")</f>
        <v>2001</v>
      </c>
      <c r="E23" s="490">
        <f>'Shelter Gap Analysis'!H141+'Shelter Gap Analysis'!J141+'Shelter Gap Analysis'!K141</f>
        <v>218</v>
      </c>
      <c r="F23" s="491">
        <f>'Shelter Gap Analysis'!M141+'Shelter Gap Analysis'!O141+'Shelter Gap Analysis'!P141</f>
        <v>40</v>
      </c>
      <c r="G23" s="489">
        <f t="shared" si="0"/>
        <v>178</v>
      </c>
      <c r="H23" s="492">
        <f t="shared" si="1"/>
        <v>0.1834862385321101</v>
      </c>
      <c r="I23" s="492"/>
      <c r="J23" s="319"/>
      <c r="K23" s="319"/>
      <c r="L23" s="319"/>
      <c r="M23" s="319"/>
      <c r="N23" s="319"/>
      <c r="O23" s="319"/>
      <c r="P23" s="514"/>
      <c r="Q23" s="271"/>
      <c r="R23" s="271"/>
      <c r="S23" s="271"/>
      <c r="T23" s="271"/>
      <c r="U23" s="271"/>
      <c r="V23" s="271"/>
      <c r="W23" s="271"/>
      <c r="CD23" s="355" t="str">
        <f t="shared" si="2"/>
        <v>Mogaung</v>
      </c>
      <c r="CE23" s="318" t="e">
        <f>C18-Shelter_Draw[[#This Row],[V2]]-Shelter_Draw[[#This Row],[V3]]</f>
        <v>#VALUE!</v>
      </c>
      <c r="CF23" s="318" t="str">
        <f t="shared" si="3"/>
        <v>no coverage</v>
      </c>
      <c r="CG23" s="318" t="e">
        <f t="shared" si="4"/>
        <v>#VALUE!</v>
      </c>
    </row>
    <row r="24" spans="1:85" s="355" customFormat="1" ht="15.75" customHeight="1" x14ac:dyDescent="0.3">
      <c r="A24" s="513"/>
      <c r="B24" s="488" t="s">
        <v>297</v>
      </c>
      <c r="C24" s="489">
        <f>GETPIVOTDATA("HH",'IDP location Analysis'!$B$9,"Township","Namtu")</f>
        <v>153</v>
      </c>
      <c r="D24" s="490">
        <f>GETPIVOTDATA("Individuals",'IDP location Analysis'!$B$9,"Township","Namtu")</f>
        <v>731</v>
      </c>
      <c r="E24" s="490">
        <f>'Shelter Gap Analysis'!H146+'Shelter Gap Analysis'!J146+'Shelter Gap Analysis'!K146</f>
        <v>246</v>
      </c>
      <c r="F24" s="491">
        <f>'Shelter Gap Analysis'!M146+'Shelter Gap Analysis'!O146+'Shelter Gap Analysis'!P146</f>
        <v>181</v>
      </c>
      <c r="G24" s="489">
        <f t="shared" si="0"/>
        <v>65</v>
      </c>
      <c r="H24" s="492">
        <f t="shared" si="1"/>
        <v>0.73577235772357719</v>
      </c>
      <c r="I24" s="492"/>
      <c r="J24" s="319"/>
      <c r="K24" s="319"/>
      <c r="L24" s="319"/>
      <c r="M24" s="319"/>
      <c r="N24" s="319"/>
      <c r="O24" s="319"/>
      <c r="P24" s="514"/>
      <c r="R24" s="271"/>
      <c r="S24" s="271"/>
      <c r="T24" s="271"/>
      <c r="U24" s="271"/>
      <c r="V24" s="271"/>
      <c r="W24" s="271"/>
      <c r="CD24" s="355" t="str">
        <f t="shared" si="2"/>
        <v>Mohnyin</v>
      </c>
      <c r="CE24" s="318">
        <f>C19-Shelter_Draw[[#This Row],[V2]]-Shelter_Draw[[#This Row],[V3]]</f>
        <v>78</v>
      </c>
      <c r="CF24" s="318">
        <f t="shared" si="3"/>
        <v>1</v>
      </c>
      <c r="CG24" s="318">
        <f t="shared" si="4"/>
        <v>-1</v>
      </c>
    </row>
    <row r="25" spans="1:85" s="355" customFormat="1" ht="12.6" customHeight="1" x14ac:dyDescent="0.3">
      <c r="A25" s="513"/>
      <c r="B25" s="667" t="s">
        <v>299</v>
      </c>
      <c r="C25" s="489">
        <f>GETPIVOTDATA("HH",'IDP location Analysis'!$B$9,"Township","Puta-O")</f>
        <v>85</v>
      </c>
      <c r="D25" s="490">
        <f>GETPIVOTDATA("Individuals",'IDP location Analysis'!$B$9,"Township","Puta-O")</f>
        <v>412</v>
      </c>
      <c r="E25" s="490">
        <f>'Shelter Gap Analysis'!H149+'Shelter Gap Analysis'!J149+'Shelter Gap Analysis'!K149</f>
        <v>30</v>
      </c>
      <c r="F25" s="491">
        <f>'Shelter Gap Analysis'!M149+'Shelter Gap Analysis'!O149+'Shelter Gap Analysis'!P149</f>
        <v>0</v>
      </c>
      <c r="G25" s="489">
        <f t="shared" si="0"/>
        <v>30</v>
      </c>
      <c r="H25" s="492" t="str">
        <f t="shared" si="1"/>
        <v>no coverage</v>
      </c>
      <c r="I25" s="492"/>
      <c r="J25" s="319"/>
      <c r="K25" s="319"/>
      <c r="L25" s="319"/>
      <c r="M25" s="319"/>
      <c r="N25" s="319"/>
      <c r="O25" s="319"/>
      <c r="P25" s="514"/>
      <c r="R25" s="271"/>
      <c r="S25" s="271"/>
      <c r="T25" s="271"/>
      <c r="U25" s="271"/>
      <c r="V25" s="271"/>
      <c r="W25" s="271"/>
      <c r="CD25" s="355" t="str">
        <f t="shared" si="2"/>
        <v>Momauk</v>
      </c>
      <c r="CE25" s="318">
        <f>C20-Shelter_Draw[[#This Row],[V2]]-Shelter_Draw[[#This Row],[V3]]</f>
        <v>3680</v>
      </c>
      <c r="CF25" s="318">
        <f t="shared" si="3"/>
        <v>0.4801356589147287</v>
      </c>
      <c r="CG25" s="318">
        <f t="shared" si="4"/>
        <v>1072.5198643410852</v>
      </c>
    </row>
    <row r="26" spans="1:85" s="355" customFormat="1" ht="12.75" customHeight="1" x14ac:dyDescent="0.3">
      <c r="A26" s="513"/>
      <c r="B26" s="667" t="s">
        <v>1357</v>
      </c>
      <c r="C26" s="489">
        <f>GETPIVOTDATA("HH",'IDP location Analysis'!$B$9,"Township","Shwegu")</f>
        <v>138</v>
      </c>
      <c r="D26" s="490">
        <f>GETPIVOTDATA("Individuals",'IDP location Analysis'!$B$9,"Township","Shwegu")</f>
        <v>541</v>
      </c>
      <c r="E26" s="490">
        <f>'Shelter Gap Analysis'!H152+'Shelter Gap Analysis'!J152+'Shelter Gap Analysis'!K152</f>
        <v>50</v>
      </c>
      <c r="F26" s="491">
        <f>'Shelter Gap Analysis'!M152+'Shelter Gap Analysis'!O152+'Shelter Gap Analysis'!P152</f>
        <v>0</v>
      </c>
      <c r="G26" s="489">
        <f t="shared" si="0"/>
        <v>50</v>
      </c>
      <c r="H26" s="492" t="str">
        <f t="shared" si="1"/>
        <v>no coverage</v>
      </c>
      <c r="I26" s="492"/>
      <c r="J26" s="319"/>
      <c r="K26" s="319"/>
      <c r="L26" s="319"/>
      <c r="M26" s="319"/>
      <c r="N26" s="319"/>
      <c r="O26" s="319"/>
      <c r="P26" s="514"/>
      <c r="Q26" s="271"/>
      <c r="R26" s="271"/>
      <c r="S26" s="271"/>
      <c r="T26" s="271"/>
      <c r="U26" s="271"/>
      <c r="V26" s="271"/>
      <c r="W26" s="271"/>
      <c r="CD26" s="355" t="str">
        <f t="shared" si="2"/>
        <v>Muse</v>
      </c>
      <c r="CE26" s="318">
        <f>C21-Shelter_Draw[[#This Row],[V2]]-Shelter_Draw[[#This Row],[V3]]</f>
        <v>198</v>
      </c>
      <c r="CF26" s="318">
        <f t="shared" si="3"/>
        <v>0.84090909090909094</v>
      </c>
      <c r="CG26" s="318">
        <f t="shared" si="4"/>
        <v>13.159090909090908</v>
      </c>
    </row>
    <row r="27" spans="1:85" s="355" customFormat="1" ht="12.75" customHeight="1" x14ac:dyDescent="0.3">
      <c r="A27" s="513"/>
      <c r="B27" s="667" t="s">
        <v>1358</v>
      </c>
      <c r="C27" s="489">
        <f>GETPIVOTDATA("HH",'IDP location Analysis'!$B$9,"Township","Sumprabum")</f>
        <v>191</v>
      </c>
      <c r="D27" s="490">
        <f>GETPIVOTDATA("Individuals",'IDP location Analysis'!$B$9,"Township","Sumprabum")</f>
        <v>1001</v>
      </c>
      <c r="E27" s="490">
        <f>'Shelter Gap Analysis'!H155+'Shelter Gap Analysis'!J155+'Shelter Gap Analysis'!K155</f>
        <v>159</v>
      </c>
      <c r="F27" s="491">
        <f>'Shelter Gap Analysis'!M155+'Shelter Gap Analysis'!O155+'Shelter Gap Analysis'!P155</f>
        <v>0</v>
      </c>
      <c r="G27" s="489">
        <f t="shared" si="0"/>
        <v>159</v>
      </c>
      <c r="H27" s="492" t="str">
        <f>IF(AND(E27=0,F27=0),"",IF((IFERROR(F27/E27,0))=0,"no coverage",F27/E27))</f>
        <v>no coverage</v>
      </c>
      <c r="I27" s="492"/>
      <c r="J27" s="319"/>
      <c r="K27" s="319"/>
      <c r="L27" s="319"/>
      <c r="M27" s="319"/>
      <c r="N27" s="319"/>
      <c r="O27" s="319"/>
      <c r="P27" s="514"/>
      <c r="Q27" s="271"/>
      <c r="R27" s="520"/>
      <c r="S27" s="271"/>
      <c r="T27" s="271"/>
      <c r="U27" s="271"/>
      <c r="V27" s="271"/>
      <c r="W27" s="271"/>
      <c r="CD27" s="355" t="str">
        <f t="shared" si="2"/>
        <v>Myitkyina</v>
      </c>
      <c r="CE27" s="318">
        <f>C22-Shelter_Draw[[#This Row],[V2]]-Shelter_Draw[[#This Row],[V3]]</f>
        <v>2589.6248025276464</v>
      </c>
      <c r="CF27" s="318">
        <f t="shared" ref="CF27:CF32" si="5">J29</f>
        <v>0</v>
      </c>
      <c r="CG27" s="318">
        <f>H22-J29</f>
        <v>0.37519747235387046</v>
      </c>
    </row>
    <row r="28" spans="1:85" s="355" customFormat="1" ht="12.75" customHeight="1" x14ac:dyDescent="0.3">
      <c r="A28" s="513"/>
      <c r="B28" s="667" t="s">
        <v>1136</v>
      </c>
      <c r="C28" s="489">
        <f>GETPIVOTDATA("HH",'IDP location Analysis'!$B$9,"Township","Tanai")</f>
        <v>316</v>
      </c>
      <c r="D28" s="490">
        <f>GETPIVOTDATA("Individuals",'IDP location Analysis'!$B$9,"Township","Tanai")</f>
        <v>1285</v>
      </c>
      <c r="E28" s="490"/>
      <c r="F28" s="491"/>
      <c r="G28" s="489">
        <f>E28-F28</f>
        <v>0</v>
      </c>
      <c r="H28" s="492" t="str">
        <f>IF(AND(E28=0,F28=0),"",IF((IFERROR(F28/E28,0))=0,"no coverage",F28/E28))</f>
        <v/>
      </c>
      <c r="I28" s="492"/>
      <c r="J28" s="319"/>
      <c r="K28" s="319"/>
      <c r="L28" s="319"/>
      <c r="M28" s="319"/>
      <c r="N28" s="319"/>
      <c r="O28" s="319"/>
      <c r="P28" s="514"/>
      <c r="Q28" s="271"/>
      <c r="R28" s="271"/>
      <c r="S28" s="520"/>
      <c r="T28" s="271"/>
      <c r="U28" s="271"/>
      <c r="V28" s="271"/>
      <c r="W28" s="271"/>
      <c r="CD28" s="355" t="str">
        <f t="shared" si="2"/>
        <v>Nam Kham</v>
      </c>
      <c r="CE28" s="318" t="e">
        <f>C23-Shelter_Draw[[#This Row],[V2]]-Shelter_Draw[[#This Row],[V3]]</f>
        <v>#REF!</v>
      </c>
      <c r="CF28" s="318" t="e">
        <f>#REF!</f>
        <v>#REF!</v>
      </c>
      <c r="CG28" s="318" t="e">
        <f>H23-#REF!</f>
        <v>#REF!</v>
      </c>
    </row>
    <row r="29" spans="1:85" s="355" customFormat="1" ht="12.75" customHeight="1" x14ac:dyDescent="0.3">
      <c r="A29" s="513"/>
      <c r="B29" s="488" t="s">
        <v>309</v>
      </c>
      <c r="C29" s="489">
        <f>GETPIVOTDATA("HH",'IDP location Analysis'!$B$9,"Township","Waingmaw")</f>
        <v>4906</v>
      </c>
      <c r="D29" s="490">
        <f>GETPIVOTDATA("Individuals",'IDP location Analysis'!$B$9,"Township","Waingmaw")</f>
        <v>25414</v>
      </c>
      <c r="E29" s="490">
        <f>'Shelter Gap Analysis'!H181+'Shelter Gap Analysis'!J181+'Shelter Gap Analysis'!K181</f>
        <v>1686</v>
      </c>
      <c r="F29" s="491">
        <f>'Shelter Gap Analysis'!M181+'Shelter Gap Analysis'!O181+'Shelter Gap Analysis'!P181</f>
        <v>370</v>
      </c>
      <c r="G29" s="489">
        <f>E29-F29</f>
        <v>1316</v>
      </c>
      <c r="H29" s="492">
        <f>IF(AND(E29=0,F29=0),"",IF((IFERROR(F29/E29,0))=0,"no coverage",F29/E29))</f>
        <v>0.21945432977461446</v>
      </c>
      <c r="I29" s="492"/>
      <c r="J29" s="319"/>
      <c r="K29" s="319"/>
      <c r="L29" s="319"/>
      <c r="M29" s="319"/>
      <c r="N29" s="319"/>
      <c r="O29" s="319"/>
      <c r="P29" s="514"/>
      <c r="Q29" s="271"/>
      <c r="R29" s="271"/>
      <c r="S29" s="271"/>
      <c r="T29" s="271"/>
      <c r="U29" s="271"/>
      <c r="V29" s="271"/>
      <c r="W29" s="271"/>
      <c r="CD29" s="355" t="str">
        <f t="shared" si="2"/>
        <v>Namtu</v>
      </c>
      <c r="CE29" s="318">
        <f>C24-Shelter_Draw[[#This Row],[V2]]-Shelter_Draw[[#This Row],[V3]]</f>
        <v>152.26422764227641</v>
      </c>
      <c r="CF29" s="318">
        <f>J31</f>
        <v>0</v>
      </c>
      <c r="CG29" s="318">
        <f>H24-J31</f>
        <v>0.73577235772357719</v>
      </c>
    </row>
    <row r="30" spans="1:85" s="355" customFormat="1" ht="12.75" customHeight="1" x14ac:dyDescent="0.3">
      <c r="A30" s="513"/>
      <c r="B30" s="495" t="s">
        <v>3</v>
      </c>
      <c r="C30" s="496">
        <f>SUM(C10:C29)</f>
        <v>20830</v>
      </c>
      <c r="D30" s="497">
        <f>SUM(D10:D29)</f>
        <v>107134</v>
      </c>
      <c r="E30" s="497">
        <f>SUM(E10:E29)</f>
        <v>8676</v>
      </c>
      <c r="F30" s="498">
        <f>SUM(F10:F29)</f>
        <v>3662</v>
      </c>
      <c r="G30" s="496">
        <f>SUM(G10:G29)</f>
        <v>5014</v>
      </c>
      <c r="H30" s="499">
        <f>IF(AND(E30=0,F30=0),"",IF((IFERROR(F30/E30,0))=0,"no coverage",F30/E30))</f>
        <v>0.42208390963577685</v>
      </c>
      <c r="I30" s="499"/>
      <c r="J30" s="319"/>
      <c r="K30" s="319"/>
      <c r="L30" s="319"/>
      <c r="M30" s="319"/>
      <c r="N30" s="319"/>
      <c r="O30" s="319"/>
      <c r="P30" s="514"/>
      <c r="Q30" s="271"/>
      <c r="R30" s="271"/>
      <c r="S30" s="271"/>
      <c r="T30" s="271"/>
      <c r="U30" s="271"/>
      <c r="V30" s="271"/>
      <c r="W30" s="271"/>
      <c r="CD30" s="355" t="str">
        <f>B23</f>
        <v>Nam Kham</v>
      </c>
      <c r="CE30" s="318">
        <f>C23-Shelter_Draw[[#This Row],[V2]]-Shelter_Draw[[#This Row],[V3]]</f>
        <v>222</v>
      </c>
      <c r="CF30" s="318">
        <f>H23</f>
        <v>0.1834862385321101</v>
      </c>
      <c r="CG30" s="318">
        <f>G23-H23</f>
        <v>177.81651376146789</v>
      </c>
    </row>
    <row r="31" spans="1:85" s="355" customFormat="1" ht="15" customHeight="1" thickBot="1" x14ac:dyDescent="0.35">
      <c r="A31" s="513"/>
      <c r="B31" s="358" t="s">
        <v>1377</v>
      </c>
      <c r="C31" s="177"/>
      <c r="D31" s="177"/>
      <c r="E31" s="177"/>
      <c r="F31" s="177"/>
      <c r="G31" s="177"/>
      <c r="H31" s="190"/>
      <c r="I31" s="190"/>
      <c r="J31" s="319"/>
      <c r="K31" s="319"/>
      <c r="L31" s="319"/>
      <c r="M31" s="319"/>
      <c r="N31" s="319"/>
      <c r="O31" s="319"/>
      <c r="P31" s="514"/>
      <c r="Q31" s="271"/>
      <c r="R31" s="271"/>
      <c r="S31" s="271"/>
      <c r="T31" s="271"/>
      <c r="U31" s="271"/>
      <c r="V31" s="271"/>
      <c r="W31" s="271"/>
      <c r="CD31" s="355" t="str">
        <f>B26</f>
        <v>Shwe Gu</v>
      </c>
      <c r="CE31" s="318" t="e">
        <f>C26-Shelter_Draw[[#This Row],[V2]]-Shelter_Draw[[#This Row],[V3]]</f>
        <v>#VALUE!</v>
      </c>
      <c r="CF31" s="318">
        <f t="shared" si="5"/>
        <v>0</v>
      </c>
      <c r="CG31" s="318" t="e">
        <f>H26-J33</f>
        <v>#VALUE!</v>
      </c>
    </row>
    <row r="32" spans="1:85" s="355" customFormat="1" ht="12.6" customHeight="1" x14ac:dyDescent="0.3">
      <c r="A32" s="513"/>
      <c r="B32" s="800" t="s">
        <v>1651</v>
      </c>
      <c r="C32" s="801"/>
      <c r="D32" s="801"/>
      <c r="E32" s="801"/>
      <c r="F32" s="801"/>
      <c r="G32" s="801"/>
      <c r="H32" s="802"/>
      <c r="I32" s="503"/>
      <c r="J32" s="319"/>
      <c r="K32" s="319"/>
      <c r="L32" s="319"/>
      <c r="M32" s="319"/>
      <c r="N32" s="319"/>
      <c r="O32" s="319"/>
      <c r="P32" s="514"/>
      <c r="Q32" s="271"/>
      <c r="R32" s="271"/>
      <c r="S32" s="271"/>
      <c r="T32" s="271"/>
      <c r="U32" s="271"/>
      <c r="V32" s="271"/>
      <c r="W32" s="271"/>
      <c r="CD32" s="355" t="str">
        <f>B27</f>
        <v>Sumbrabum</v>
      </c>
      <c r="CE32" s="318" t="e">
        <f>C27-Shelter_Draw[[#This Row],[V2]]-Shelter_Draw[[#This Row],[V3]]</f>
        <v>#VALUE!</v>
      </c>
      <c r="CF32" s="318">
        <f t="shared" si="5"/>
        <v>0</v>
      </c>
      <c r="CG32" s="318" t="e">
        <f>H27-J34</f>
        <v>#VALUE!</v>
      </c>
    </row>
    <row r="33" spans="1:23" s="355" customFormat="1" ht="12.75" customHeight="1" thickBot="1" x14ac:dyDescent="0.35">
      <c r="A33" s="513"/>
      <c r="B33" s="803"/>
      <c r="C33" s="804"/>
      <c r="D33" s="804"/>
      <c r="E33" s="804"/>
      <c r="F33" s="804"/>
      <c r="G33" s="804"/>
      <c r="H33" s="805"/>
      <c r="I33" s="503"/>
      <c r="J33" s="319"/>
      <c r="K33" s="319"/>
      <c r="L33" s="319"/>
      <c r="M33" s="319"/>
      <c r="N33" s="319"/>
      <c r="O33" s="319"/>
      <c r="P33" s="514"/>
      <c r="Q33" s="271"/>
      <c r="R33" s="271"/>
      <c r="S33" s="271"/>
      <c r="T33" s="271"/>
      <c r="U33" s="271"/>
      <c r="V33" s="271"/>
      <c r="W33" s="271"/>
    </row>
    <row r="34" spans="1:23" s="355" customFormat="1" ht="12.75" customHeight="1" x14ac:dyDescent="0.3">
      <c r="A34" s="513"/>
      <c r="B34" s="809" t="s">
        <v>1300</v>
      </c>
      <c r="C34" s="810"/>
      <c r="D34" s="810"/>
      <c r="E34" s="810"/>
      <c r="F34" s="810"/>
      <c r="G34" s="810"/>
      <c r="H34" s="811"/>
      <c r="I34" s="504"/>
      <c r="J34" s="319"/>
      <c r="K34" s="319"/>
      <c r="L34" s="319"/>
      <c r="M34" s="319"/>
      <c r="N34" s="319"/>
      <c r="O34" s="319"/>
      <c r="P34" s="514"/>
      <c r="Q34" s="271"/>
      <c r="R34" s="271"/>
      <c r="S34" s="271"/>
      <c r="T34" s="271"/>
      <c r="U34" s="271"/>
      <c r="V34" s="271"/>
      <c r="W34" s="271"/>
    </row>
    <row r="35" spans="1:23" s="355" customFormat="1" ht="12" customHeight="1" x14ac:dyDescent="0.3">
      <c r="A35" s="513"/>
      <c r="B35" s="812" t="s">
        <v>420</v>
      </c>
      <c r="C35" s="794"/>
      <c r="D35" s="794" t="s">
        <v>1261</v>
      </c>
      <c r="E35" s="794"/>
      <c r="F35" s="794"/>
      <c r="G35" s="794" t="s">
        <v>1649</v>
      </c>
      <c r="H35" s="795"/>
      <c r="I35" s="445"/>
      <c r="J35" s="319"/>
      <c r="K35" s="319"/>
      <c r="L35" s="319"/>
      <c r="M35" s="319"/>
      <c r="N35" s="319"/>
      <c r="O35" s="319"/>
      <c r="P35" s="514"/>
      <c r="Q35" s="271"/>
      <c r="R35" s="271"/>
      <c r="S35" s="271"/>
      <c r="T35" s="271"/>
      <c r="U35" s="271"/>
      <c r="V35" s="271"/>
      <c r="W35" s="271"/>
    </row>
    <row r="36" spans="1:23" ht="12" customHeight="1" x14ac:dyDescent="0.3">
      <c r="A36" s="512"/>
      <c r="B36" s="812" t="s">
        <v>1563</v>
      </c>
      <c r="C36" s="794"/>
      <c r="D36" s="794" t="s">
        <v>778</v>
      </c>
      <c r="E36" s="794"/>
      <c r="F36" s="794"/>
      <c r="G36" s="794" t="s">
        <v>1308</v>
      </c>
      <c r="H36" s="795"/>
      <c r="J36" s="190"/>
      <c r="K36" s="190"/>
      <c r="L36" s="190"/>
      <c r="M36" s="190"/>
      <c r="N36" s="190"/>
      <c r="O36" s="190"/>
      <c r="P36" s="427"/>
      <c r="W36" s="271"/>
    </row>
    <row r="37" spans="1:23" ht="12" customHeight="1" x14ac:dyDescent="0.3">
      <c r="A37" s="512"/>
      <c r="B37" s="812" t="s">
        <v>424</v>
      </c>
      <c r="C37" s="794"/>
      <c r="D37" s="794" t="s">
        <v>1461</v>
      </c>
      <c r="E37" s="794"/>
      <c r="F37" s="794"/>
      <c r="G37" s="794" t="s">
        <v>462</v>
      </c>
      <c r="H37" s="795"/>
      <c r="I37" s="445"/>
      <c r="J37" s="190"/>
      <c r="K37" s="190"/>
      <c r="L37" s="190"/>
      <c r="M37" s="190"/>
      <c r="N37" s="190"/>
      <c r="O37" s="190"/>
      <c r="P37" s="507"/>
    </row>
    <row r="38" spans="1:23" ht="12" customHeight="1" thickBot="1" x14ac:dyDescent="0.35">
      <c r="A38" s="512"/>
      <c r="B38" s="813" t="s">
        <v>1303</v>
      </c>
      <c r="C38" s="814"/>
      <c r="D38" s="796" t="s">
        <v>1319</v>
      </c>
      <c r="E38" s="815"/>
      <c r="F38" s="816"/>
      <c r="G38" s="796"/>
      <c r="H38" s="797"/>
      <c r="J38" s="190"/>
      <c r="K38" s="190"/>
      <c r="L38" s="190"/>
      <c r="M38" s="190"/>
      <c r="N38" s="190"/>
      <c r="O38" s="190"/>
      <c r="P38" s="507"/>
    </row>
    <row r="39" spans="1:23" ht="12.75" customHeight="1" x14ac:dyDescent="0.3">
      <c r="A39" s="512"/>
      <c r="B39" s="808"/>
      <c r="C39" s="808"/>
      <c r="D39" s="808"/>
      <c r="E39" s="808"/>
      <c r="F39" s="808"/>
      <c r="G39" s="808"/>
      <c r="H39" s="808"/>
      <c r="J39" s="190"/>
      <c r="K39" s="190"/>
      <c r="L39" s="190"/>
      <c r="M39" s="190"/>
      <c r="N39" s="190"/>
      <c r="O39" s="190"/>
      <c r="P39" s="507"/>
    </row>
    <row r="40" spans="1:23" ht="12.75" customHeight="1" x14ac:dyDescent="0.3">
      <c r="A40" s="512"/>
      <c r="B40" s="808"/>
      <c r="C40" s="808"/>
      <c r="D40" s="808"/>
      <c r="E40" s="808"/>
      <c r="F40" s="808"/>
      <c r="G40" s="808"/>
      <c r="H40" s="808"/>
      <c r="J40" s="190"/>
      <c r="K40" s="190"/>
      <c r="L40" s="190"/>
      <c r="M40" s="190"/>
      <c r="N40" s="190"/>
      <c r="O40" s="190"/>
      <c r="P40" s="507"/>
    </row>
    <row r="41" spans="1:23" ht="12.75" customHeight="1" x14ac:dyDescent="0.3">
      <c r="A41" s="512"/>
      <c r="J41" s="190"/>
      <c r="K41" s="190"/>
      <c r="L41" s="190"/>
      <c r="M41" s="190"/>
      <c r="N41" s="190"/>
      <c r="O41" s="190"/>
      <c r="P41" s="507"/>
    </row>
    <row r="42" spans="1:23" ht="46.5" customHeight="1" x14ac:dyDescent="0.3">
      <c r="B42" s="516"/>
      <c r="C42" s="517"/>
      <c r="D42" s="517"/>
      <c r="E42" s="517"/>
      <c r="F42" s="517"/>
      <c r="G42" s="517"/>
      <c r="H42" s="517"/>
      <c r="I42" s="517"/>
      <c r="J42" s="517"/>
      <c r="K42" s="517"/>
      <c r="L42" s="517"/>
      <c r="M42" s="517"/>
      <c r="N42" s="517"/>
      <c r="O42" s="518"/>
      <c r="P42" s="507"/>
    </row>
    <row r="43" spans="1:23" ht="10.5" customHeight="1" thickBot="1" x14ac:dyDescent="0.35">
      <c r="A43" s="501"/>
      <c r="B43" s="502"/>
      <c r="C43" s="502"/>
      <c r="D43" s="502"/>
      <c r="E43" s="502"/>
      <c r="F43" s="502"/>
      <c r="G43" s="502"/>
      <c r="H43" s="502"/>
      <c r="I43" s="502"/>
      <c r="J43" s="502"/>
      <c r="K43" s="502"/>
      <c r="L43" s="502"/>
      <c r="M43" s="502"/>
      <c r="N43" s="502"/>
      <c r="O43" s="502"/>
      <c r="P43" s="515"/>
    </row>
    <row r="44" spans="1:23" ht="18" customHeight="1" x14ac:dyDescent="0.3"/>
    <row r="45" spans="1:23" ht="30.75" customHeight="1" x14ac:dyDescent="0.3"/>
  </sheetData>
  <dataConsolidate link="1"/>
  <mergeCells count="20">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 ref="G38:H38"/>
    <mergeCell ref="B3:J3"/>
    <mergeCell ref="B32:H33"/>
    <mergeCell ref="B2:K2"/>
  </mergeCells>
  <conditionalFormatting sqref="H29:I30 H13:I27 H28 H10:H12 I5:I12">
    <cfRule type="containsText" dxfId="32" priority="2" operator="containsText" text="no coverage">
      <formula>NOT(ISERROR(SEARCH("no coverage",H5)))</formula>
    </cfRule>
  </conditionalFormatting>
  <conditionalFormatting sqref="I28">
    <cfRule type="containsText" dxfId="31"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39"/>
  <sheetViews>
    <sheetView showGridLines="0" workbookViewId="0">
      <pane ySplit="3" topLeftCell="A4" activePane="bottomLeft" state="frozen"/>
      <selection pane="bottomLeft" activeCell="G11" sqref="G11"/>
    </sheetView>
  </sheetViews>
  <sheetFormatPr defaultColWidth="5" defaultRowHeight="51.75" customHeight="1" x14ac:dyDescent="0.3"/>
  <cols>
    <col min="1" max="1" width="1.6640625" style="172" customWidth="1"/>
    <col min="2" max="6" width="12.33203125" style="172" customWidth="1"/>
    <col min="7" max="49" width="5.44140625" style="172" customWidth="1"/>
    <col min="50" max="50" width="8.5546875" style="172" bestFit="1" customWidth="1"/>
    <col min="51" max="54" width="5.44140625" style="172" customWidth="1"/>
    <col min="55" max="55" width="6" style="172" bestFit="1" customWidth="1"/>
    <col min="56" max="66" width="5.44140625" style="172" customWidth="1"/>
    <col min="67" max="67" width="17.44140625" style="172" customWidth="1"/>
    <col min="68" max="16384" width="5" style="172"/>
  </cols>
  <sheetData>
    <row r="1" spans="2:69" ht="41.4" customHeight="1" thickBot="1" x14ac:dyDescent="0.35">
      <c r="B1" s="817" t="s">
        <v>1448</v>
      </c>
      <c r="C1" s="817"/>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c r="AW1" s="817"/>
      <c r="AX1" s="817"/>
      <c r="AY1" s="817"/>
      <c r="AZ1" s="817"/>
      <c r="BA1" s="817"/>
      <c r="BB1" s="817"/>
      <c r="BC1" s="817"/>
      <c r="BD1" s="817"/>
      <c r="BE1" s="817"/>
      <c r="BF1" s="817"/>
      <c r="BG1" s="817"/>
      <c r="BH1" s="817"/>
      <c r="BI1" s="817"/>
      <c r="BJ1" s="817"/>
      <c r="BK1" s="817"/>
      <c r="BL1" s="817"/>
      <c r="BM1" s="817"/>
      <c r="BN1" s="818"/>
    </row>
    <row r="2" spans="2:69" s="563" customFormat="1" ht="28.95" customHeight="1" thickBot="1" x14ac:dyDescent="0.35">
      <c r="B2" s="819" t="s">
        <v>405</v>
      </c>
      <c r="C2" s="821" t="s">
        <v>1300</v>
      </c>
      <c r="D2" s="823" t="s">
        <v>409</v>
      </c>
      <c r="E2" s="825" t="s">
        <v>392</v>
      </c>
      <c r="F2" s="827" t="s">
        <v>0</v>
      </c>
      <c r="G2" s="829" t="s">
        <v>1449</v>
      </c>
      <c r="H2" s="829"/>
      <c r="I2" s="829"/>
      <c r="J2" s="830" t="s">
        <v>400</v>
      </c>
      <c r="K2" s="829"/>
      <c r="L2" s="831"/>
      <c r="M2" s="832" t="s">
        <v>1634</v>
      </c>
      <c r="N2" s="833"/>
      <c r="O2" s="834"/>
      <c r="P2" s="830" t="s">
        <v>1580</v>
      </c>
      <c r="Q2" s="829"/>
      <c r="R2" s="831"/>
      <c r="S2" s="830" t="s">
        <v>401</v>
      </c>
      <c r="T2" s="829"/>
      <c r="U2" s="831"/>
      <c r="V2" s="832" t="s">
        <v>402</v>
      </c>
      <c r="W2" s="833"/>
      <c r="X2" s="834"/>
      <c r="Y2" s="833" t="s">
        <v>403</v>
      </c>
      <c r="Z2" s="833"/>
      <c r="AA2" s="833"/>
      <c r="AB2" s="830" t="s">
        <v>415</v>
      </c>
      <c r="AC2" s="829"/>
      <c r="AD2" s="829"/>
      <c r="AE2" s="830" t="s">
        <v>416</v>
      </c>
      <c r="AF2" s="829"/>
      <c r="AG2" s="829"/>
      <c r="AH2" s="830" t="s">
        <v>1450</v>
      </c>
      <c r="AI2" s="829"/>
      <c r="AJ2" s="829"/>
      <c r="AK2" s="830" t="s">
        <v>525</v>
      </c>
      <c r="AL2" s="829"/>
      <c r="AM2" s="831"/>
      <c r="AN2" s="830" t="s">
        <v>1453</v>
      </c>
      <c r="AO2" s="829"/>
      <c r="AP2" s="831"/>
      <c r="AQ2" s="830" t="s">
        <v>526</v>
      </c>
      <c r="AR2" s="829"/>
      <c r="AS2" s="831"/>
      <c r="AT2" s="829" t="s">
        <v>1088</v>
      </c>
      <c r="AU2" s="829"/>
      <c r="AV2" s="829"/>
      <c r="AW2" s="830" t="s">
        <v>1451</v>
      </c>
      <c r="AX2" s="829"/>
      <c r="AY2" s="831"/>
      <c r="AZ2" s="830" t="s">
        <v>1452</v>
      </c>
      <c r="BA2" s="829"/>
      <c r="BB2" s="831"/>
      <c r="BC2" s="830" t="s">
        <v>850</v>
      </c>
      <c r="BD2" s="829"/>
      <c r="BE2" s="829"/>
      <c r="BF2" s="830" t="s">
        <v>854</v>
      </c>
      <c r="BG2" s="829"/>
      <c r="BH2" s="829"/>
      <c r="BI2" s="830" t="s">
        <v>858</v>
      </c>
      <c r="BJ2" s="829"/>
      <c r="BK2" s="829"/>
      <c r="BL2" s="830" t="s">
        <v>947</v>
      </c>
      <c r="BM2" s="829"/>
      <c r="BN2" s="829"/>
      <c r="BO2" s="665" t="s">
        <v>1635</v>
      </c>
      <c r="BP2" s="664"/>
      <c r="BQ2" s="664"/>
    </row>
    <row r="3" spans="2:69" s="563" customFormat="1" ht="64.2" thickBot="1" x14ac:dyDescent="0.35">
      <c r="B3" s="820"/>
      <c r="C3" s="822"/>
      <c r="D3" s="824"/>
      <c r="E3" s="826"/>
      <c r="F3" s="828"/>
      <c r="G3" s="451" t="s">
        <v>404</v>
      </c>
      <c r="H3" s="452" t="s">
        <v>406</v>
      </c>
      <c r="I3" s="453" t="s">
        <v>407</v>
      </c>
      <c r="J3" s="451" t="s">
        <v>404</v>
      </c>
      <c r="K3" s="452" t="s">
        <v>406</v>
      </c>
      <c r="L3" s="524" t="s">
        <v>407</v>
      </c>
      <c r="M3" s="451" t="s">
        <v>404</v>
      </c>
      <c r="N3" s="452" t="s">
        <v>406</v>
      </c>
      <c r="O3" s="524" t="s">
        <v>407</v>
      </c>
      <c r="P3" s="526" t="s">
        <v>404</v>
      </c>
      <c r="Q3" s="526" t="s">
        <v>406</v>
      </c>
      <c r="R3" s="526" t="s">
        <v>407</v>
      </c>
      <c r="S3" s="525" t="s">
        <v>404</v>
      </c>
      <c r="T3" s="452" t="s">
        <v>406</v>
      </c>
      <c r="U3" s="453" t="s">
        <v>407</v>
      </c>
      <c r="V3" s="451" t="s">
        <v>404</v>
      </c>
      <c r="W3" s="452" t="s">
        <v>406</v>
      </c>
      <c r="X3" s="453" t="s">
        <v>407</v>
      </c>
      <c r="Y3" s="451" t="s">
        <v>404</v>
      </c>
      <c r="Z3" s="452" t="s">
        <v>406</v>
      </c>
      <c r="AA3" s="453" t="s">
        <v>407</v>
      </c>
      <c r="AB3" s="451" t="s">
        <v>404</v>
      </c>
      <c r="AC3" s="452" t="s">
        <v>406</v>
      </c>
      <c r="AD3" s="453" t="s">
        <v>407</v>
      </c>
      <c r="AE3" s="451" t="s">
        <v>404</v>
      </c>
      <c r="AF3" s="452" t="s">
        <v>406</v>
      </c>
      <c r="AG3" s="453" t="s">
        <v>407</v>
      </c>
      <c r="AH3" s="451" t="s">
        <v>404</v>
      </c>
      <c r="AI3" s="452" t="s">
        <v>406</v>
      </c>
      <c r="AJ3" s="453" t="s">
        <v>407</v>
      </c>
      <c r="AK3" s="454" t="s">
        <v>404</v>
      </c>
      <c r="AL3" s="455" t="s">
        <v>406</v>
      </c>
      <c r="AM3" s="456" t="s">
        <v>407</v>
      </c>
      <c r="AN3" s="454" t="s">
        <v>404</v>
      </c>
      <c r="AO3" s="455" t="s">
        <v>406</v>
      </c>
      <c r="AP3" s="456" t="s">
        <v>407</v>
      </c>
      <c r="AQ3" s="454" t="s">
        <v>404</v>
      </c>
      <c r="AR3" s="455" t="s">
        <v>406</v>
      </c>
      <c r="AS3" s="456" t="s">
        <v>407</v>
      </c>
      <c r="AT3" s="454" t="s">
        <v>404</v>
      </c>
      <c r="AU3" s="455" t="s">
        <v>406</v>
      </c>
      <c r="AV3" s="456" t="s">
        <v>407</v>
      </c>
      <c r="AW3" s="454" t="s">
        <v>404</v>
      </c>
      <c r="AX3" s="455" t="s">
        <v>406</v>
      </c>
      <c r="AY3" s="456" t="s">
        <v>407</v>
      </c>
      <c r="AZ3" s="454" t="s">
        <v>404</v>
      </c>
      <c r="BA3" s="455" t="s">
        <v>406</v>
      </c>
      <c r="BB3" s="663" t="s">
        <v>407</v>
      </c>
      <c r="BC3" s="663" t="s">
        <v>404</v>
      </c>
      <c r="BD3" s="455" t="s">
        <v>406</v>
      </c>
      <c r="BE3" s="456" t="s">
        <v>407</v>
      </c>
      <c r="BF3" s="454" t="s">
        <v>404</v>
      </c>
      <c r="BG3" s="455" t="s">
        <v>406</v>
      </c>
      <c r="BH3" s="456" t="s">
        <v>407</v>
      </c>
      <c r="BI3" s="454" t="s">
        <v>404</v>
      </c>
      <c r="BJ3" s="455" t="s">
        <v>406</v>
      </c>
      <c r="BK3" s="456" t="s">
        <v>407</v>
      </c>
      <c r="BL3" s="454" t="s">
        <v>404</v>
      </c>
      <c r="BM3" s="455" t="s">
        <v>406</v>
      </c>
      <c r="BN3" s="662" t="s">
        <v>407</v>
      </c>
      <c r="BO3" s="666"/>
    </row>
    <row r="4" spans="2:69" s="173" customFormat="1" ht="14.4" x14ac:dyDescent="0.3">
      <c r="B4" s="565">
        <v>43008</v>
      </c>
      <c r="C4" s="685" t="s">
        <v>825</v>
      </c>
      <c r="D4" s="564"/>
      <c r="E4" s="564" t="s">
        <v>378</v>
      </c>
      <c r="F4" s="564" t="s">
        <v>237</v>
      </c>
      <c r="G4" s="564">
        <v>500</v>
      </c>
      <c r="H4" s="564"/>
      <c r="I4" s="564"/>
      <c r="J4" s="564"/>
      <c r="K4" s="564"/>
      <c r="L4" s="564"/>
      <c r="M4" s="564"/>
      <c r="N4" s="564"/>
      <c r="O4" s="564"/>
      <c r="P4" s="564"/>
      <c r="Q4" s="564"/>
      <c r="R4" s="564"/>
      <c r="S4" s="564">
        <v>500</v>
      </c>
      <c r="T4" s="564"/>
      <c r="U4" s="564"/>
      <c r="V4" s="564"/>
      <c r="W4" s="564"/>
      <c r="X4" s="564"/>
      <c r="Y4" s="564">
        <v>500</v>
      </c>
      <c r="Z4" s="564"/>
      <c r="AA4" s="564"/>
      <c r="AB4" s="564"/>
      <c r="AC4" s="564"/>
      <c r="AD4" s="564"/>
      <c r="AE4" s="564">
        <v>500</v>
      </c>
      <c r="AF4" s="564"/>
      <c r="AG4" s="564"/>
      <c r="AH4" s="564"/>
      <c r="AI4" s="564"/>
      <c r="AJ4" s="564"/>
      <c r="AK4" s="564">
        <v>500</v>
      </c>
      <c r="AL4" s="564"/>
      <c r="AM4" s="564"/>
      <c r="AN4" s="564"/>
      <c r="AO4" s="564"/>
      <c r="AP4" s="564"/>
      <c r="AQ4" s="564"/>
      <c r="AR4" s="564"/>
      <c r="AS4" s="564"/>
      <c r="AT4" s="564"/>
      <c r="AU4" s="564"/>
      <c r="AV4" s="564"/>
      <c r="AW4" s="564">
        <v>500</v>
      </c>
      <c r="AX4" s="564"/>
      <c r="AY4" s="564"/>
      <c r="AZ4" s="564"/>
      <c r="BA4" s="564"/>
      <c r="BB4" s="564"/>
      <c r="BC4" s="564"/>
      <c r="BD4" s="564"/>
      <c r="BE4" s="564"/>
      <c r="BF4" s="564"/>
      <c r="BG4" s="564"/>
      <c r="BH4" s="564"/>
      <c r="BI4" s="564"/>
      <c r="BJ4" s="564"/>
      <c r="BK4" s="564"/>
      <c r="BL4" s="564"/>
      <c r="BM4" s="564"/>
      <c r="BN4" s="566"/>
      <c r="BO4" s="564"/>
    </row>
    <row r="5" spans="2:69" s="173" customFormat="1" ht="14.4" x14ac:dyDescent="0.3">
      <c r="B5" s="565">
        <v>42978</v>
      </c>
      <c r="C5" s="564" t="s">
        <v>773</v>
      </c>
      <c r="D5" s="564"/>
      <c r="E5" s="564" t="s">
        <v>378</v>
      </c>
      <c r="F5" s="564" t="s">
        <v>237</v>
      </c>
      <c r="G5" s="564"/>
      <c r="H5" s="564"/>
      <c r="I5" s="564"/>
      <c r="J5" s="564">
        <v>1000</v>
      </c>
      <c r="K5" s="564"/>
      <c r="L5" s="564"/>
      <c r="M5" s="564"/>
      <c r="N5" s="564"/>
      <c r="O5" s="564"/>
      <c r="P5" s="564"/>
      <c r="Q5" s="564"/>
      <c r="R5" s="564"/>
      <c r="S5" s="564"/>
      <c r="T5" s="564"/>
      <c r="U5" s="564"/>
      <c r="V5" s="564">
        <v>1000</v>
      </c>
      <c r="W5" s="564"/>
      <c r="X5" s="564"/>
      <c r="Y5" s="564"/>
      <c r="Z5" s="564"/>
      <c r="AA5" s="564"/>
      <c r="AB5" s="564">
        <v>1000</v>
      </c>
      <c r="AC5" s="564"/>
      <c r="AD5" s="564"/>
      <c r="AE5" s="564">
        <v>1000</v>
      </c>
      <c r="AF5" s="564"/>
      <c r="AG5" s="564"/>
      <c r="AH5" s="564"/>
      <c r="AI5" s="564"/>
      <c r="AJ5" s="564"/>
      <c r="AK5" s="564">
        <v>1000</v>
      </c>
      <c r="AL5" s="564"/>
      <c r="AM5" s="564"/>
      <c r="AN5" s="564"/>
      <c r="AO5" s="564"/>
      <c r="AP5" s="564"/>
      <c r="AQ5" s="564">
        <v>1000</v>
      </c>
      <c r="AR5" s="564"/>
      <c r="AS5" s="564"/>
      <c r="AT5" s="564"/>
      <c r="AU5" s="564"/>
      <c r="AV5" s="564"/>
      <c r="AW5" s="564"/>
      <c r="AX5" s="564"/>
      <c r="AY5" s="564"/>
      <c r="AZ5" s="564"/>
      <c r="BA5" s="564"/>
      <c r="BB5" s="564"/>
      <c r="BC5" s="564"/>
      <c r="BD5" s="564"/>
      <c r="BE5" s="564"/>
      <c r="BF5" s="564"/>
      <c r="BG5" s="564"/>
      <c r="BH5" s="564"/>
      <c r="BI5" s="564"/>
      <c r="BJ5" s="564"/>
      <c r="BK5" s="564"/>
      <c r="BL5" s="564"/>
      <c r="BM5" s="564"/>
      <c r="BN5" s="566"/>
      <c r="BO5" s="564"/>
    </row>
    <row r="6" spans="2:69" s="173" customFormat="1" ht="14.4" x14ac:dyDescent="0.3">
      <c r="B6" s="565">
        <v>43109</v>
      </c>
      <c r="C6" s="564" t="s">
        <v>420</v>
      </c>
      <c r="D6" s="564" t="s">
        <v>424</v>
      </c>
      <c r="E6" s="564" t="s">
        <v>378</v>
      </c>
      <c r="F6" s="564" t="s">
        <v>237</v>
      </c>
      <c r="G6" s="564"/>
      <c r="H6" s="564"/>
      <c r="I6" s="564"/>
      <c r="J6" s="174">
        <v>9</v>
      </c>
      <c r="K6" s="564"/>
      <c r="L6" s="564"/>
      <c r="M6" s="564"/>
      <c r="N6" s="564"/>
      <c r="O6" s="564"/>
      <c r="P6" s="564"/>
      <c r="Q6" s="564"/>
      <c r="R6" s="564"/>
      <c r="S6" s="564">
        <v>3</v>
      </c>
      <c r="T6" s="564"/>
      <c r="U6" s="564"/>
      <c r="V6" s="564">
        <v>6</v>
      </c>
      <c r="W6" s="564"/>
      <c r="X6" s="564"/>
      <c r="Y6" s="564">
        <v>3</v>
      </c>
      <c r="Z6" s="564"/>
      <c r="AA6" s="564"/>
      <c r="AB6" s="564">
        <v>13</v>
      </c>
      <c r="AC6" s="564"/>
      <c r="AD6" s="564"/>
      <c r="AE6" s="564">
        <v>70</v>
      </c>
      <c r="AF6" s="564"/>
      <c r="AG6" s="564"/>
      <c r="AH6" s="564"/>
      <c r="AI6" s="564"/>
      <c r="AJ6" s="564"/>
      <c r="AK6" s="564">
        <v>27</v>
      </c>
      <c r="AL6" s="564"/>
      <c r="AM6" s="564"/>
      <c r="AN6" s="564">
        <v>4</v>
      </c>
      <c r="AO6" s="564"/>
      <c r="AP6" s="564"/>
      <c r="AQ6" s="564">
        <v>16</v>
      </c>
      <c r="AR6" s="564"/>
      <c r="AS6" s="564"/>
      <c r="AT6" s="564"/>
      <c r="AU6" s="564"/>
      <c r="AV6" s="564"/>
      <c r="AW6" s="564"/>
      <c r="AX6" s="564"/>
      <c r="AY6" s="564"/>
      <c r="AZ6" s="564"/>
      <c r="BA6" s="564"/>
      <c r="BB6" s="564"/>
      <c r="BC6" s="564"/>
      <c r="BD6" s="564"/>
      <c r="BE6" s="564"/>
      <c r="BF6" s="564"/>
      <c r="BG6" s="564"/>
      <c r="BH6" s="564"/>
      <c r="BI6" s="564"/>
      <c r="BJ6" s="564"/>
      <c r="BK6" s="564"/>
      <c r="BL6" s="564"/>
      <c r="BM6" s="564"/>
      <c r="BN6" s="566"/>
      <c r="BO6" s="564"/>
    </row>
    <row r="7" spans="2:69" s="173" customFormat="1" ht="14.4" x14ac:dyDescent="0.3">
      <c r="B7" s="565">
        <v>43109</v>
      </c>
      <c r="C7" s="564" t="s">
        <v>1555</v>
      </c>
      <c r="D7" s="564"/>
      <c r="E7" s="564" t="s">
        <v>506</v>
      </c>
      <c r="F7" s="564" t="s">
        <v>717</v>
      </c>
      <c r="G7" s="564">
        <v>646</v>
      </c>
      <c r="H7" s="564"/>
      <c r="I7" s="564"/>
      <c r="J7" s="564">
        <v>204</v>
      </c>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6"/>
      <c r="BO7" s="564"/>
    </row>
    <row r="8" spans="2:69" s="173" customFormat="1" ht="14.4" x14ac:dyDescent="0.3">
      <c r="B8" s="565">
        <v>43109</v>
      </c>
      <c r="C8" s="564" t="s">
        <v>1555</v>
      </c>
      <c r="D8" s="564"/>
      <c r="E8" s="564" t="s">
        <v>506</v>
      </c>
      <c r="F8" s="564" t="s">
        <v>288</v>
      </c>
      <c r="G8" s="564">
        <v>71</v>
      </c>
      <c r="H8" s="564"/>
      <c r="I8" s="564"/>
      <c r="J8" s="564">
        <v>146</v>
      </c>
      <c r="K8" s="564"/>
      <c r="L8" s="564"/>
      <c r="M8" s="564"/>
      <c r="N8" s="564"/>
      <c r="O8" s="564"/>
      <c r="P8" s="564"/>
      <c r="Q8" s="564"/>
      <c r="R8" s="564"/>
      <c r="S8" s="564"/>
      <c r="T8" s="564"/>
      <c r="U8" s="564"/>
      <c r="V8" s="564"/>
      <c r="W8" s="564"/>
      <c r="X8" s="564"/>
      <c r="Y8" s="564">
        <v>82</v>
      </c>
      <c r="Z8" s="564"/>
      <c r="AA8" s="564"/>
      <c r="AB8" s="564"/>
      <c r="AC8" s="564"/>
      <c r="AD8" s="564"/>
      <c r="AE8" s="564"/>
      <c r="AF8" s="564"/>
      <c r="AG8" s="564"/>
      <c r="AH8" s="564"/>
      <c r="AI8" s="564"/>
      <c r="AJ8" s="564"/>
      <c r="AK8" s="564">
        <v>85</v>
      </c>
      <c r="AL8" s="564"/>
      <c r="AM8" s="564"/>
      <c r="AN8" s="564">
        <v>4</v>
      </c>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6"/>
      <c r="BO8" s="564"/>
    </row>
    <row r="9" spans="2:69" s="173" customFormat="1" ht="16.5" customHeight="1" x14ac:dyDescent="0.3">
      <c r="B9" s="565">
        <v>43117</v>
      </c>
      <c r="C9" s="568" t="s">
        <v>1566</v>
      </c>
      <c r="D9" s="564"/>
      <c r="E9" s="564" t="s">
        <v>506</v>
      </c>
      <c r="F9" s="564" t="s">
        <v>717</v>
      </c>
      <c r="G9" s="564">
        <v>226</v>
      </c>
      <c r="H9" s="564"/>
      <c r="I9" s="564"/>
      <c r="J9" s="564">
        <v>176</v>
      </c>
      <c r="K9" s="564"/>
      <c r="L9" s="564"/>
      <c r="M9" s="564"/>
      <c r="N9" s="564"/>
      <c r="O9" s="564"/>
      <c r="P9" s="564"/>
      <c r="Q9" s="564"/>
      <c r="R9" s="564"/>
      <c r="S9" s="564">
        <v>46</v>
      </c>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v>288</v>
      </c>
      <c r="AU9" s="564"/>
      <c r="AV9" s="564"/>
      <c r="AW9" s="564"/>
      <c r="AX9" s="564"/>
      <c r="AY9" s="564"/>
      <c r="AZ9" s="564">
        <v>477</v>
      </c>
      <c r="BA9" s="564"/>
      <c r="BB9" s="564"/>
      <c r="BC9" s="564"/>
      <c r="BD9" s="564"/>
      <c r="BE9" s="564"/>
      <c r="BF9" s="564"/>
      <c r="BG9" s="564"/>
      <c r="BH9" s="564"/>
      <c r="BI9" s="564"/>
      <c r="BJ9" s="564"/>
      <c r="BK9" s="564"/>
      <c r="BL9" s="564"/>
      <c r="BM9" s="564"/>
      <c r="BN9" s="566"/>
      <c r="BO9" s="564"/>
    </row>
    <row r="10" spans="2:69" s="173" customFormat="1" ht="14.4" x14ac:dyDescent="0.3">
      <c r="B10" s="13" t="s">
        <v>1581</v>
      </c>
      <c r="C10" s="568" t="s">
        <v>1582</v>
      </c>
      <c r="D10" s="564"/>
      <c r="E10" s="564" t="s">
        <v>506</v>
      </c>
      <c r="F10" s="564" t="s">
        <v>717</v>
      </c>
      <c r="G10" s="564">
        <v>369</v>
      </c>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6"/>
      <c r="BO10" s="564"/>
    </row>
    <row r="11" spans="2:69" s="173" customFormat="1" ht="14.4" x14ac:dyDescent="0.3">
      <c r="B11" s="13" t="s">
        <v>1581</v>
      </c>
      <c r="C11" s="568" t="s">
        <v>1582</v>
      </c>
      <c r="D11" s="564"/>
      <c r="E11" s="564" t="s">
        <v>506</v>
      </c>
      <c r="F11" s="564" t="s">
        <v>717</v>
      </c>
      <c r="G11" s="564">
        <v>190</v>
      </c>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6"/>
      <c r="BO11" s="564"/>
    </row>
    <row r="12" spans="2:69" s="173" customFormat="1" ht="14.4" x14ac:dyDescent="0.3">
      <c r="B12" s="13" t="s">
        <v>1581</v>
      </c>
      <c r="C12" s="568" t="s">
        <v>1582</v>
      </c>
      <c r="D12" s="564"/>
      <c r="E12" s="564" t="s">
        <v>506</v>
      </c>
      <c r="F12" s="564" t="s">
        <v>230</v>
      </c>
      <c r="G12" s="564">
        <v>48</v>
      </c>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6"/>
      <c r="BO12" s="564"/>
    </row>
    <row r="13" spans="2:69" s="173" customFormat="1" ht="14.4" x14ac:dyDescent="0.3">
      <c r="B13" s="565" t="s">
        <v>1633</v>
      </c>
      <c r="C13" s="567" t="s">
        <v>1378</v>
      </c>
      <c r="D13" s="564"/>
      <c r="E13" s="567" t="s">
        <v>378</v>
      </c>
      <c r="F13" s="567" t="s">
        <v>5</v>
      </c>
      <c r="G13" s="564">
        <v>200</v>
      </c>
      <c r="H13" s="564">
        <v>0</v>
      </c>
      <c r="I13" s="564"/>
      <c r="J13" s="564"/>
      <c r="K13" s="564"/>
      <c r="L13" s="564"/>
      <c r="M13" s="564">
        <v>200</v>
      </c>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v>200</v>
      </c>
      <c r="AX13" s="564"/>
      <c r="AY13" s="564"/>
      <c r="AZ13" s="564">
        <v>50</v>
      </c>
      <c r="BA13" s="564"/>
      <c r="BB13" s="564"/>
      <c r="BC13" s="564"/>
      <c r="BD13" s="564"/>
      <c r="BE13" s="564"/>
      <c r="BF13" s="564"/>
      <c r="BG13" s="564"/>
      <c r="BH13" s="564"/>
      <c r="BI13" s="564"/>
      <c r="BJ13" s="564"/>
      <c r="BK13" s="564"/>
      <c r="BL13" s="564"/>
      <c r="BM13" s="564"/>
      <c r="BN13" s="566"/>
      <c r="BO13" s="564"/>
    </row>
    <row r="14" spans="2:69" ht="14.4" x14ac:dyDescent="0.3">
      <c r="B14" s="660">
        <v>43312</v>
      </c>
      <c r="C14" s="570" t="s">
        <v>1261</v>
      </c>
      <c r="D14" s="570"/>
      <c r="E14" s="570" t="s">
        <v>378</v>
      </c>
      <c r="F14" s="570" t="s">
        <v>5</v>
      </c>
      <c r="G14" s="570"/>
      <c r="H14" s="570"/>
      <c r="I14" s="570"/>
      <c r="J14" s="570"/>
      <c r="K14" s="570"/>
      <c r="L14" s="570"/>
      <c r="M14" s="570"/>
      <c r="N14" s="570"/>
      <c r="O14" s="570"/>
      <c r="P14" s="570"/>
      <c r="Q14" s="570"/>
      <c r="R14" s="570"/>
      <c r="S14" s="570"/>
      <c r="T14" s="570"/>
      <c r="U14" s="570"/>
      <c r="V14" s="570">
        <v>73</v>
      </c>
      <c r="W14" s="570"/>
      <c r="X14" s="570"/>
      <c r="Y14" s="570">
        <v>539</v>
      </c>
      <c r="Z14" s="570"/>
      <c r="AA14" s="570"/>
      <c r="AB14" s="570">
        <v>454</v>
      </c>
      <c r="AC14" s="570"/>
      <c r="AD14" s="570"/>
      <c r="AE14" s="570"/>
      <c r="AF14" s="570"/>
      <c r="AG14" s="570"/>
      <c r="AH14" s="570"/>
      <c r="AI14" s="570"/>
      <c r="AJ14" s="570"/>
      <c r="AK14" s="570"/>
      <c r="AL14" s="570"/>
      <c r="AM14" s="570"/>
      <c r="AN14" s="570"/>
      <c r="AO14" s="570"/>
      <c r="AP14" s="570"/>
      <c r="AQ14" s="570">
        <v>454</v>
      </c>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1"/>
      <c r="BO14" s="570"/>
      <c r="BP14" s="172" t="s">
        <v>1776</v>
      </c>
    </row>
    <row r="15" spans="2:69" s="173" customFormat="1" ht="14.4" x14ac:dyDescent="0.3">
      <c r="B15" s="661">
        <v>43214</v>
      </c>
      <c r="C15" s="564" t="s">
        <v>1261</v>
      </c>
      <c r="D15" s="564"/>
      <c r="E15" s="564" t="s">
        <v>506</v>
      </c>
      <c r="F15" s="564" t="s">
        <v>717</v>
      </c>
      <c r="G15" s="564"/>
      <c r="H15" s="564"/>
      <c r="I15" s="564"/>
      <c r="J15" s="564"/>
      <c r="K15" s="564"/>
      <c r="L15" s="564"/>
      <c r="M15" s="564"/>
      <c r="N15" s="564"/>
      <c r="O15" s="564"/>
      <c r="P15" s="564"/>
      <c r="Q15" s="564"/>
      <c r="R15" s="564"/>
      <c r="S15" s="564"/>
      <c r="T15" s="564"/>
      <c r="U15" s="564"/>
      <c r="V15" s="564"/>
      <c r="W15" s="564"/>
      <c r="X15" s="564"/>
      <c r="Y15" s="564">
        <v>40</v>
      </c>
      <c r="Z15" s="564"/>
      <c r="AA15" s="564"/>
      <c r="AB15" s="564"/>
      <c r="AC15" s="564"/>
      <c r="AD15" s="564"/>
      <c r="AE15" s="564"/>
      <c r="AF15" s="564"/>
      <c r="AG15" s="564"/>
      <c r="AH15" s="564"/>
      <c r="AI15" s="564"/>
      <c r="AJ15" s="564"/>
      <c r="AK15" s="564"/>
      <c r="AL15" s="564"/>
      <c r="AM15" s="564"/>
      <c r="AN15" s="564"/>
      <c r="AO15" s="564"/>
      <c r="AP15" s="564"/>
      <c r="AQ15" s="564">
        <v>285</v>
      </c>
      <c r="AR15" s="564"/>
      <c r="AS15" s="564"/>
      <c r="AT15" s="564"/>
      <c r="AU15" s="564"/>
      <c r="AV15" s="564"/>
      <c r="AW15" s="564"/>
      <c r="AX15" s="564"/>
      <c r="AY15" s="564"/>
      <c r="AZ15" s="564"/>
      <c r="BA15" s="564"/>
      <c r="BB15" s="564"/>
      <c r="BC15" s="564"/>
      <c r="BD15" s="564"/>
      <c r="BE15" s="564"/>
      <c r="BF15" s="564"/>
      <c r="BG15" s="564"/>
      <c r="BH15" s="564"/>
      <c r="BI15" s="564">
        <v>285</v>
      </c>
      <c r="BJ15" s="564"/>
      <c r="BK15" s="564"/>
      <c r="BL15" s="564">
        <v>285</v>
      </c>
      <c r="BM15" s="564"/>
      <c r="BN15" s="566"/>
      <c r="BO15" s="564"/>
    </row>
    <row r="16" spans="2:69" s="173" customFormat="1" ht="14.4" x14ac:dyDescent="0.3">
      <c r="B16" s="661">
        <v>43343</v>
      </c>
      <c r="C16" s="564" t="s">
        <v>420</v>
      </c>
      <c r="D16" s="564"/>
      <c r="E16" s="564" t="s">
        <v>378</v>
      </c>
      <c r="F16" s="564" t="s">
        <v>237</v>
      </c>
      <c r="G16" s="564"/>
      <c r="H16" s="564"/>
      <c r="I16" s="564"/>
      <c r="J16" s="564">
        <v>399</v>
      </c>
      <c r="K16" s="564"/>
      <c r="L16" s="564"/>
      <c r="M16" s="564"/>
      <c r="N16" s="564"/>
      <c r="O16" s="564"/>
      <c r="P16" s="564"/>
      <c r="Q16" s="564"/>
      <c r="R16" s="564"/>
      <c r="S16" s="564">
        <v>11</v>
      </c>
      <c r="T16" s="564"/>
      <c r="U16" s="564"/>
      <c r="V16" s="564">
        <v>1552</v>
      </c>
      <c r="W16" s="564"/>
      <c r="X16" s="564"/>
      <c r="Y16" s="564">
        <v>450</v>
      </c>
      <c r="Z16" s="564"/>
      <c r="AA16" s="564"/>
      <c r="AB16" s="564">
        <v>595</v>
      </c>
      <c r="AC16" s="564"/>
      <c r="AD16" s="564"/>
      <c r="AE16" s="564">
        <v>477</v>
      </c>
      <c r="AF16" s="564"/>
      <c r="AG16" s="564"/>
      <c r="AH16" s="564"/>
      <c r="AI16" s="564"/>
      <c r="AJ16" s="564"/>
      <c r="AK16" s="564">
        <v>402</v>
      </c>
      <c r="AL16" s="564"/>
      <c r="AM16" s="564"/>
      <c r="AN16" s="564">
        <v>416</v>
      </c>
      <c r="AO16" s="564"/>
      <c r="AP16" s="564"/>
      <c r="AQ16" s="564">
        <v>1185</v>
      </c>
      <c r="AR16" s="564"/>
      <c r="AS16" s="564"/>
      <c r="AT16" s="564">
        <v>59</v>
      </c>
      <c r="AU16" s="564"/>
      <c r="AV16" s="564"/>
      <c r="AW16" s="564"/>
      <c r="AX16" s="564"/>
      <c r="AY16" s="564"/>
      <c r="AZ16" s="564"/>
      <c r="BA16" s="564"/>
      <c r="BB16" s="564"/>
      <c r="BC16" s="564">
        <v>3470</v>
      </c>
      <c r="BD16" s="564"/>
      <c r="BE16" s="564"/>
      <c r="BF16" s="564">
        <v>609</v>
      </c>
      <c r="BG16" s="564"/>
      <c r="BH16" s="564"/>
      <c r="BI16" s="564"/>
      <c r="BJ16" s="564"/>
      <c r="BK16" s="564"/>
      <c r="BL16" s="564"/>
      <c r="BM16" s="564"/>
      <c r="BN16" s="566"/>
      <c r="BO16" s="564"/>
    </row>
    <row r="17" spans="2:67" s="173" customFormat="1" ht="14.4" x14ac:dyDescent="0.3">
      <c r="B17" s="661">
        <v>43343</v>
      </c>
      <c r="C17" s="564" t="s">
        <v>420</v>
      </c>
      <c r="D17" s="564"/>
      <c r="E17" s="564" t="s">
        <v>378</v>
      </c>
      <c r="F17" s="564" t="s">
        <v>5</v>
      </c>
      <c r="G17" s="564"/>
      <c r="H17" s="564"/>
      <c r="I17" s="564"/>
      <c r="J17" s="564">
        <v>754</v>
      </c>
      <c r="K17" s="564"/>
      <c r="L17" s="564"/>
      <c r="M17" s="564"/>
      <c r="N17" s="564"/>
      <c r="O17" s="564"/>
      <c r="P17" s="564"/>
      <c r="Q17" s="564"/>
      <c r="R17" s="564"/>
      <c r="S17" s="564">
        <v>35</v>
      </c>
      <c r="T17" s="564"/>
      <c r="U17" s="564"/>
      <c r="V17" s="564">
        <v>800</v>
      </c>
      <c r="W17" s="564"/>
      <c r="X17" s="564"/>
      <c r="Y17" s="564">
        <v>523</v>
      </c>
      <c r="Z17" s="564"/>
      <c r="AA17" s="564"/>
      <c r="AB17" s="564">
        <v>1420</v>
      </c>
      <c r="AC17" s="564"/>
      <c r="AD17" s="564"/>
      <c r="AE17" s="564">
        <v>117</v>
      </c>
      <c r="AF17" s="564"/>
      <c r="AG17" s="564"/>
      <c r="AH17" s="564"/>
      <c r="AI17" s="564"/>
      <c r="AJ17" s="564"/>
      <c r="AK17" s="564">
        <v>380</v>
      </c>
      <c r="AL17" s="564"/>
      <c r="AM17" s="564"/>
      <c r="AN17" s="564">
        <v>1046</v>
      </c>
      <c r="AO17" s="564"/>
      <c r="AP17" s="564"/>
      <c r="AQ17" s="564">
        <v>1175</v>
      </c>
      <c r="AR17" s="564"/>
      <c r="AS17" s="564"/>
      <c r="AT17" s="564">
        <v>50</v>
      </c>
      <c r="AU17" s="564"/>
      <c r="AV17" s="564"/>
      <c r="AW17" s="564"/>
      <c r="AX17" s="564"/>
      <c r="AY17" s="564"/>
      <c r="AZ17" s="564"/>
      <c r="BA17" s="564"/>
      <c r="BB17" s="564"/>
      <c r="BC17" s="564">
        <v>1805</v>
      </c>
      <c r="BD17" s="564"/>
      <c r="BE17" s="564"/>
      <c r="BF17" s="564">
        <v>5959</v>
      </c>
      <c r="BG17" s="564"/>
      <c r="BH17" s="564"/>
      <c r="BI17" s="564"/>
      <c r="BJ17" s="564"/>
      <c r="BK17" s="564"/>
      <c r="BL17" s="564">
        <v>3477</v>
      </c>
      <c r="BM17" s="564"/>
      <c r="BN17" s="566"/>
      <c r="BO17" s="564"/>
    </row>
    <row r="18" spans="2:67" ht="14.4" x14ac:dyDescent="0.3">
      <c r="B18" s="470" t="s">
        <v>1516</v>
      </c>
      <c r="C18" s="570"/>
      <c r="D18" s="570"/>
      <c r="E18" s="570"/>
      <c r="F18" s="570"/>
      <c r="G18" s="471">
        <f>SUBTOTAL(109,G4:G17)</f>
        <v>2250</v>
      </c>
      <c r="H18" s="471">
        <f t="shared" ref="H18:BN18" si="0">SUBTOTAL(109,H4:H17)</f>
        <v>0</v>
      </c>
      <c r="I18" s="471">
        <f t="shared" si="0"/>
        <v>0</v>
      </c>
      <c r="J18" s="471">
        <f t="shared" si="0"/>
        <v>2688</v>
      </c>
      <c r="K18" s="471">
        <f t="shared" si="0"/>
        <v>0</v>
      </c>
      <c r="L18" s="471">
        <f t="shared" si="0"/>
        <v>0</v>
      </c>
      <c r="M18" s="471">
        <f t="shared" si="0"/>
        <v>200</v>
      </c>
      <c r="N18" s="471">
        <f t="shared" si="0"/>
        <v>0</v>
      </c>
      <c r="O18" s="471">
        <f t="shared" si="0"/>
        <v>0</v>
      </c>
      <c r="P18" s="471">
        <f t="shared" si="0"/>
        <v>0</v>
      </c>
      <c r="Q18" s="471">
        <f t="shared" si="0"/>
        <v>0</v>
      </c>
      <c r="R18" s="471">
        <f t="shared" si="0"/>
        <v>0</v>
      </c>
      <c r="S18" s="471">
        <f t="shared" si="0"/>
        <v>595</v>
      </c>
      <c r="T18" s="471">
        <f t="shared" si="0"/>
        <v>0</v>
      </c>
      <c r="U18" s="471">
        <f t="shared" si="0"/>
        <v>0</v>
      </c>
      <c r="V18" s="471">
        <f t="shared" si="0"/>
        <v>3431</v>
      </c>
      <c r="W18" s="471">
        <f t="shared" si="0"/>
        <v>0</v>
      </c>
      <c r="X18" s="471">
        <f t="shared" si="0"/>
        <v>0</v>
      </c>
      <c r="Y18" s="471">
        <f t="shared" si="0"/>
        <v>2137</v>
      </c>
      <c r="Z18" s="471">
        <f t="shared" si="0"/>
        <v>0</v>
      </c>
      <c r="AA18" s="471">
        <f t="shared" si="0"/>
        <v>0</v>
      </c>
      <c r="AB18" s="471">
        <f t="shared" si="0"/>
        <v>3482</v>
      </c>
      <c r="AC18" s="471">
        <f t="shared" si="0"/>
        <v>0</v>
      </c>
      <c r="AD18" s="471">
        <f t="shared" si="0"/>
        <v>0</v>
      </c>
      <c r="AE18" s="471">
        <f t="shared" si="0"/>
        <v>2164</v>
      </c>
      <c r="AF18" s="471">
        <f t="shared" si="0"/>
        <v>0</v>
      </c>
      <c r="AG18" s="471">
        <f t="shared" si="0"/>
        <v>0</v>
      </c>
      <c r="AH18" s="471">
        <f t="shared" si="0"/>
        <v>0</v>
      </c>
      <c r="AI18" s="471">
        <f t="shared" si="0"/>
        <v>0</v>
      </c>
      <c r="AJ18" s="471">
        <f t="shared" si="0"/>
        <v>0</v>
      </c>
      <c r="AK18" s="471">
        <f t="shared" si="0"/>
        <v>2394</v>
      </c>
      <c r="AL18" s="471">
        <f t="shared" si="0"/>
        <v>0</v>
      </c>
      <c r="AM18" s="471">
        <f t="shared" si="0"/>
        <v>0</v>
      </c>
      <c r="AN18" s="471">
        <f t="shared" si="0"/>
        <v>1470</v>
      </c>
      <c r="AO18" s="471">
        <f t="shared" si="0"/>
        <v>0</v>
      </c>
      <c r="AP18" s="471">
        <f t="shared" si="0"/>
        <v>0</v>
      </c>
      <c r="AQ18" s="471">
        <f t="shared" si="0"/>
        <v>4115</v>
      </c>
      <c r="AR18" s="471">
        <f t="shared" si="0"/>
        <v>0</v>
      </c>
      <c r="AS18" s="471">
        <f t="shared" si="0"/>
        <v>0</v>
      </c>
      <c r="AT18" s="471">
        <f t="shared" si="0"/>
        <v>397</v>
      </c>
      <c r="AU18" s="471">
        <f t="shared" si="0"/>
        <v>0</v>
      </c>
      <c r="AV18" s="471">
        <f t="shared" si="0"/>
        <v>0</v>
      </c>
      <c r="AW18" s="471">
        <f t="shared" si="0"/>
        <v>700</v>
      </c>
      <c r="AX18" s="471">
        <f t="shared" si="0"/>
        <v>0</v>
      </c>
      <c r="AY18" s="471">
        <f t="shared" si="0"/>
        <v>0</v>
      </c>
      <c r="AZ18" s="471">
        <f t="shared" si="0"/>
        <v>527</v>
      </c>
      <c r="BA18" s="471">
        <f t="shared" si="0"/>
        <v>0</v>
      </c>
      <c r="BB18" s="471">
        <f t="shared" si="0"/>
        <v>0</v>
      </c>
      <c r="BC18" s="471">
        <f t="shared" si="0"/>
        <v>5275</v>
      </c>
      <c r="BD18" s="471">
        <f t="shared" si="0"/>
        <v>0</v>
      </c>
      <c r="BE18" s="471">
        <f t="shared" si="0"/>
        <v>0</v>
      </c>
      <c r="BF18" s="471">
        <f t="shared" si="0"/>
        <v>6568</v>
      </c>
      <c r="BG18" s="471">
        <f t="shared" si="0"/>
        <v>0</v>
      </c>
      <c r="BH18" s="471">
        <f t="shared" si="0"/>
        <v>0</v>
      </c>
      <c r="BI18" s="471">
        <f t="shared" si="0"/>
        <v>285</v>
      </c>
      <c r="BJ18" s="471">
        <f t="shared" si="0"/>
        <v>0</v>
      </c>
      <c r="BK18" s="471">
        <f t="shared" si="0"/>
        <v>0</v>
      </c>
      <c r="BL18" s="471">
        <f t="shared" si="0"/>
        <v>3762</v>
      </c>
      <c r="BM18" s="471">
        <f t="shared" si="0"/>
        <v>0</v>
      </c>
      <c r="BN18" s="471">
        <f t="shared" si="0"/>
        <v>0</v>
      </c>
      <c r="BO18" s="570"/>
    </row>
    <row r="19" spans="2:67" ht="14.4" x14ac:dyDescent="0.3">
      <c r="B19" s="569"/>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1"/>
      <c r="BO19" s="570"/>
    </row>
    <row r="20" spans="2:67" ht="14.4" x14ac:dyDescent="0.3">
      <c r="B20" s="569"/>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1"/>
      <c r="BO20" s="570"/>
    </row>
    <row r="21" spans="2:67" ht="14.4" x14ac:dyDescent="0.3">
      <c r="B21" s="569"/>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1"/>
      <c r="BO21" s="570"/>
    </row>
    <row r="22" spans="2:67" ht="14.4" x14ac:dyDescent="0.3">
      <c r="B22" s="569"/>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1"/>
      <c r="BO22" s="570"/>
    </row>
    <row r="23" spans="2:67" ht="14.4" x14ac:dyDescent="0.3">
      <c r="B23" s="569"/>
      <c r="C23" s="570"/>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1"/>
      <c r="BO23" s="570"/>
    </row>
    <row r="24" spans="2:67" ht="14.4" x14ac:dyDescent="0.3">
      <c r="B24" s="569"/>
      <c r="C24" s="570"/>
      <c r="D24" s="570"/>
      <c r="E24" s="570"/>
      <c r="F24" s="570"/>
      <c r="G24" s="570"/>
      <c r="H24" s="570" t="s">
        <v>541</v>
      </c>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1"/>
      <c r="BO24" s="570"/>
    </row>
    <row r="25" spans="2:67" ht="14.4" x14ac:dyDescent="0.3">
      <c r="B25" s="569"/>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1"/>
      <c r="BO25" s="570"/>
    </row>
    <row r="26" spans="2:67" ht="14.4" x14ac:dyDescent="0.3">
      <c r="B26" s="569"/>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1"/>
      <c r="BO26" s="570"/>
    </row>
    <row r="27" spans="2:67" ht="14.4" x14ac:dyDescent="0.3">
      <c r="B27" s="569"/>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1"/>
      <c r="BO27" s="570"/>
    </row>
    <row r="28" spans="2:67" ht="14.4" x14ac:dyDescent="0.3">
      <c r="B28" s="569"/>
      <c r="C28" s="570"/>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1"/>
      <c r="BO28" s="570"/>
    </row>
    <row r="29" spans="2:67" ht="14.4" x14ac:dyDescent="0.3">
      <c r="B29" s="569"/>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1"/>
      <c r="BO29" s="570"/>
    </row>
    <row r="30" spans="2:67" ht="14.4" x14ac:dyDescent="0.3">
      <c r="B30" s="569"/>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1"/>
      <c r="BO30" s="570"/>
    </row>
    <row r="31" spans="2:67" ht="14.4" x14ac:dyDescent="0.3">
      <c r="B31" s="569"/>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1"/>
      <c r="BO31" s="570"/>
    </row>
    <row r="32" spans="2:67" ht="14.4" x14ac:dyDescent="0.3">
      <c r="B32" s="569"/>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1"/>
      <c r="BO32" s="570"/>
    </row>
    <row r="33" spans="2:67" ht="14.4" x14ac:dyDescent="0.3">
      <c r="B33" s="569"/>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1"/>
      <c r="BO33" s="570"/>
    </row>
    <row r="34" spans="2:67" ht="14.4" x14ac:dyDescent="0.3">
      <c r="B34" s="569"/>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1"/>
      <c r="BO34" s="570"/>
    </row>
    <row r="35" spans="2:67" ht="14.4" x14ac:dyDescent="0.3">
      <c r="B35" s="569"/>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1"/>
      <c r="BO35" s="570"/>
    </row>
    <row r="36" spans="2:67" ht="14.4" x14ac:dyDescent="0.3">
      <c r="B36" s="569"/>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1"/>
      <c r="BO36" s="570"/>
    </row>
    <row r="37" spans="2:67" ht="14.4" x14ac:dyDescent="0.3">
      <c r="B37" s="569"/>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1"/>
      <c r="BO37" s="570"/>
    </row>
    <row r="38" spans="2:67" ht="51.75" customHeight="1" x14ac:dyDescent="0.3">
      <c r="B38" s="569"/>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1"/>
      <c r="BO38" s="570"/>
    </row>
    <row r="39" spans="2:67" ht="51.75" customHeight="1" x14ac:dyDescent="0.3">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1"/>
      <c r="BO39" s="570"/>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M2:O2"/>
    <mergeCell ref="P2:R2"/>
    <mergeCell ref="BI2:BK2"/>
    <mergeCell ref="AQ2:AS2"/>
    <mergeCell ref="AN2:AP2"/>
    <mergeCell ref="AZ2:BB2"/>
    <mergeCell ref="AK2:AM2"/>
    <mergeCell ref="AT2:AV2"/>
    <mergeCell ref="BC2:BE2"/>
    <mergeCell ref="BF2:BH2"/>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 C4:C8 C13:C1048576</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360"/>
  <sheetViews>
    <sheetView showGridLines="0" showZeros="0" topLeftCell="E137" zoomScaleNormal="100" workbookViewId="0">
      <selection activeCell="I346" sqref="I346"/>
    </sheetView>
  </sheetViews>
  <sheetFormatPr defaultColWidth="8.88671875" defaultRowHeight="14.4" x14ac:dyDescent="0.3"/>
  <cols>
    <col min="1" max="1" width="1.33203125" style="534" customWidth="1"/>
    <col min="2" max="2" width="18.6640625" style="559" customWidth="1"/>
    <col min="3" max="3" width="10.88671875" style="559" customWidth="1"/>
    <col min="4" max="4" width="15" style="555" customWidth="1"/>
    <col min="5" max="5" width="26.109375" style="555" customWidth="1"/>
    <col min="6" max="6" width="13" style="555" customWidth="1"/>
    <col min="7" max="7" width="17.33203125" style="555" bestFit="1" customWidth="1"/>
    <col min="8" max="8" width="38.88671875" style="555" bestFit="1" customWidth="1"/>
    <col min="9" max="9" width="20.6640625" style="534" bestFit="1" customWidth="1"/>
    <col min="10" max="11" width="11" style="534" customWidth="1"/>
    <col min="12" max="27" width="11" style="533" customWidth="1"/>
    <col min="28" max="28" width="22.6640625" style="533" customWidth="1"/>
    <col min="29" max="45" width="22.6640625" style="533" hidden="1" customWidth="1"/>
    <col min="46" max="46" width="22.6640625" style="533" customWidth="1"/>
    <col min="47" max="47" width="22.6640625" style="534" customWidth="1"/>
    <col min="48" max="48" width="67.33203125" style="534" bestFit="1" customWidth="1"/>
    <col min="49" max="120" width="8.88671875" style="183"/>
    <col min="121" max="16384" width="8.88671875" style="534"/>
  </cols>
  <sheetData>
    <row r="1" spans="2:119" ht="7.95" customHeight="1" x14ac:dyDescent="0.3"/>
    <row r="2" spans="2:119" ht="33" customHeight="1" x14ac:dyDescent="0.3">
      <c r="B2" s="835" t="s">
        <v>414</v>
      </c>
      <c r="C2" s="835"/>
      <c r="D2" s="835"/>
      <c r="E2" s="835"/>
      <c r="F2" s="835"/>
      <c r="G2" s="835"/>
      <c r="H2" s="835"/>
      <c r="I2" s="835"/>
      <c r="J2" s="835"/>
      <c r="K2" s="835"/>
      <c r="L2" s="835"/>
      <c r="M2" s="835"/>
      <c r="N2" s="835"/>
      <c r="O2" s="835"/>
      <c r="P2" s="835"/>
      <c r="Q2" s="835" t="s">
        <v>541</v>
      </c>
      <c r="R2" s="835"/>
      <c r="S2" s="835"/>
      <c r="T2" s="835"/>
      <c r="U2" s="835"/>
      <c r="V2" s="835"/>
      <c r="W2" s="835" t="s">
        <v>1221</v>
      </c>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560"/>
    </row>
    <row r="3" spans="2:119" ht="18" customHeight="1" x14ac:dyDescent="0.3">
      <c r="B3" s="837">
        <f>Definition!B23</f>
        <v>43313</v>
      </c>
      <c r="C3" s="837"/>
      <c r="D3" s="837"/>
      <c r="E3" s="837"/>
      <c r="F3" s="837"/>
      <c r="G3" s="837"/>
      <c r="H3" s="837"/>
      <c r="I3" s="837"/>
      <c r="J3" s="837"/>
      <c r="K3" s="837"/>
      <c r="L3" s="837"/>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560"/>
    </row>
    <row r="4" spans="2:119" ht="18" hidden="1" customHeight="1" x14ac:dyDescent="0.3">
      <c r="B4" s="836"/>
      <c r="C4" s="836"/>
      <c r="D4" s="836"/>
      <c r="E4" s="836"/>
      <c r="F4" s="535"/>
      <c r="G4" s="535"/>
      <c r="H4" s="535"/>
      <c r="I4" s="536"/>
      <c r="J4" s="536"/>
      <c r="K4" s="536"/>
      <c r="L4" s="537"/>
      <c r="M4" s="537"/>
      <c r="N4" s="537"/>
      <c r="P4" s="537"/>
      <c r="Q4" s="537"/>
      <c r="R4" s="537"/>
      <c r="S4" s="537"/>
      <c r="T4" s="537"/>
      <c r="U4" s="537"/>
      <c r="V4" s="537"/>
      <c r="W4" s="537"/>
      <c r="X4" s="537"/>
      <c r="Y4" s="537"/>
      <c r="Z4" s="537"/>
      <c r="AA4" s="537"/>
      <c r="AB4" s="537"/>
      <c r="AC4" s="537"/>
      <c r="AD4" s="537"/>
      <c r="AE4" s="537"/>
      <c r="AF4" s="538"/>
      <c r="AG4" s="537"/>
      <c r="AH4" s="537"/>
    </row>
    <row r="5" spans="2:119" s="539" customFormat="1" ht="69.75" customHeight="1" x14ac:dyDescent="0.3">
      <c r="B5" s="657" t="s">
        <v>408</v>
      </c>
      <c r="C5" s="561" t="s">
        <v>1636</v>
      </c>
      <c r="D5" s="562" t="s">
        <v>1300</v>
      </c>
      <c r="E5" s="562" t="s">
        <v>409</v>
      </c>
      <c r="F5" s="562" t="s">
        <v>392</v>
      </c>
      <c r="G5" s="562" t="s">
        <v>0</v>
      </c>
      <c r="H5" s="562" t="s">
        <v>1524</v>
      </c>
      <c r="I5" s="561" t="s">
        <v>1379</v>
      </c>
      <c r="J5" s="561" t="s">
        <v>421</v>
      </c>
      <c r="K5" s="561" t="s">
        <v>1584</v>
      </c>
      <c r="L5" s="561" t="s">
        <v>400</v>
      </c>
      <c r="M5" s="561" t="s">
        <v>422</v>
      </c>
      <c r="N5" s="561" t="s">
        <v>536</v>
      </c>
      <c r="O5" s="561" t="s">
        <v>423</v>
      </c>
      <c r="P5" s="561" t="s">
        <v>415</v>
      </c>
      <c r="Q5" s="561" t="s">
        <v>416</v>
      </c>
      <c r="R5" s="561" t="s">
        <v>1016</v>
      </c>
      <c r="S5" s="561" t="s">
        <v>525</v>
      </c>
      <c r="T5" s="561" t="s">
        <v>526</v>
      </c>
      <c r="U5" s="561" t="s">
        <v>850</v>
      </c>
      <c r="V5" s="561" t="s">
        <v>854</v>
      </c>
      <c r="W5" s="561" t="s">
        <v>858</v>
      </c>
      <c r="X5" s="561" t="s">
        <v>947</v>
      </c>
      <c r="Y5" s="561" t="s">
        <v>1073</v>
      </c>
      <c r="Z5" s="561" t="s">
        <v>1397</v>
      </c>
      <c r="AA5" s="561" t="s">
        <v>1085</v>
      </c>
      <c r="AB5" s="561" t="s">
        <v>1086</v>
      </c>
      <c r="AC5" s="561" t="s">
        <v>965</v>
      </c>
      <c r="AD5" s="561" t="s">
        <v>966</v>
      </c>
      <c r="AE5" s="561" t="s">
        <v>967</v>
      </c>
      <c r="AF5" s="561" t="s">
        <v>968</v>
      </c>
      <c r="AG5" s="561" t="s">
        <v>970</v>
      </c>
      <c r="AH5" s="561" t="s">
        <v>969</v>
      </c>
      <c r="AI5" s="561" t="s">
        <v>1017</v>
      </c>
      <c r="AJ5" s="561" t="s">
        <v>971</v>
      </c>
      <c r="AK5" s="561" t="s">
        <v>972</v>
      </c>
      <c r="AL5" s="561" t="s">
        <v>973</v>
      </c>
      <c r="AM5" s="561" t="s">
        <v>974</v>
      </c>
      <c r="AN5" s="561" t="s">
        <v>975</v>
      </c>
      <c r="AO5" s="561" t="s">
        <v>976</v>
      </c>
      <c r="AP5" s="561" t="s">
        <v>979</v>
      </c>
      <c r="AQ5" s="561" t="s">
        <v>1074</v>
      </c>
      <c r="AR5" s="561" t="s">
        <v>1167</v>
      </c>
      <c r="AS5" s="561" t="s">
        <v>1168</v>
      </c>
      <c r="AT5" s="561" t="s">
        <v>511</v>
      </c>
      <c r="AU5" s="561" t="s">
        <v>456</v>
      </c>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row>
    <row r="6" spans="2:119" s="539" customFormat="1" ht="18.75" customHeight="1" x14ac:dyDescent="0.3">
      <c r="B6" s="540">
        <v>42737</v>
      </c>
      <c r="C6" s="540" t="str">
        <f>MONTH(Table_NFI[[#This Row],[Distribution Date]]) &amp; "/" &amp; YEAR(Table_NFI[[#This Row],[Distribution Date]])</f>
        <v>1/2017</v>
      </c>
      <c r="D6" s="198" t="s">
        <v>420</v>
      </c>
      <c r="E6" s="198" t="s">
        <v>424</v>
      </c>
      <c r="F6" s="198" t="s">
        <v>378</v>
      </c>
      <c r="G6" s="197" t="s">
        <v>309</v>
      </c>
      <c r="H6" s="198" t="s">
        <v>323</v>
      </c>
      <c r="I6" s="183"/>
      <c r="J6" s="541"/>
      <c r="K6" s="541"/>
      <c r="L6" s="541"/>
      <c r="M6" s="541"/>
      <c r="N6" s="541"/>
      <c r="O6" s="541"/>
      <c r="P6" s="541"/>
      <c r="Q6" s="541"/>
      <c r="R6" s="541"/>
      <c r="S6" s="541"/>
      <c r="T6" s="541"/>
      <c r="U6" s="541"/>
      <c r="V6" s="541"/>
      <c r="W6" s="541"/>
      <c r="X6" s="541"/>
      <c r="Y6" s="541"/>
      <c r="Z6" s="541"/>
      <c r="AA6" s="541"/>
      <c r="AB6" s="541">
        <v>17</v>
      </c>
      <c r="AC6" s="542" t="e">
        <f>IF(NFI_Expiration=1,IF(#REF!&lt;VLOOKUP(L$5,NFI,5,0),1,0)*Table_NFI[[#This Row],[NFI Core Kit]],Table_NFI[NFI Core Kit])</f>
        <v>#REF!</v>
      </c>
      <c r="AD6" s="542" t="e">
        <f>IF(NFI_Expiration=1,IF(#REF!&lt;VLOOKUP(M$5,NFI,5,0),1,0)*Table_NFI[[#This Row],[Sanitary Kit]],Table_NFI[Sanitary Kit])</f>
        <v>#REF!</v>
      </c>
      <c r="AE6" s="542" t="e">
        <f>IF(NFI_Expiration=1,IF(#REF!&lt;VLOOKUP(N$5,NFI,5,0),1,0)*Table_NFI[[#This Row],[Mosquito net]],Table_NFI[Mosquito net])</f>
        <v>#REF!</v>
      </c>
      <c r="AF6" s="542"/>
      <c r="AG6" s="542"/>
      <c r="AH6" s="542"/>
      <c r="AI6" s="542"/>
      <c r="AJ6" s="542"/>
      <c r="AK6" s="542"/>
      <c r="AL6" s="542"/>
      <c r="AM6" s="542"/>
      <c r="AN6" s="542"/>
      <c r="AO6" s="542"/>
      <c r="AP6" s="542">
        <f>IF(Table_NFI[[#This Row],[Winter Clothes Adult]]+Table_NFI[[#This Row],[Winter Clothes Children]]+Table_NFI[[#This Row],[Winter Items Other]]+Table_NFI[[#This Row],[Winter Blanket]]&gt;0,1,0)</f>
        <v>0</v>
      </c>
      <c r="AQ6" s="542"/>
      <c r="AR6" s="542"/>
      <c r="AS6" s="542"/>
      <c r="AT6" s="205" t="str">
        <f>IFERROR(VLOOKUP(Table_NFI[[#This Row],[Location]],CL,2,0),"")</f>
        <v>MMR001CMP040</v>
      </c>
      <c r="AU6" s="183" t="s">
        <v>1239</v>
      </c>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row>
    <row r="7" spans="2:119" s="539" customFormat="1" ht="18.75" customHeight="1" x14ac:dyDescent="0.3">
      <c r="B7" s="540">
        <v>42745</v>
      </c>
      <c r="C7" s="540" t="str">
        <f>MONTH(Table_NFI[[#This Row],[Distribution Date]]) &amp; "/" &amp; YEAR(Table_NFI[[#This Row],[Distribution Date]])</f>
        <v>1/2017</v>
      </c>
      <c r="D7" s="198" t="s">
        <v>420</v>
      </c>
      <c r="E7" s="198" t="s">
        <v>1089</v>
      </c>
      <c r="F7" s="198" t="s">
        <v>378</v>
      </c>
      <c r="G7" s="197" t="s">
        <v>237</v>
      </c>
      <c r="H7" s="198" t="s">
        <v>254</v>
      </c>
      <c r="I7" s="183"/>
      <c r="J7" s="541"/>
      <c r="K7" s="541"/>
      <c r="L7" s="541">
        <v>1</v>
      </c>
      <c r="M7" s="541">
        <v>1</v>
      </c>
      <c r="N7" s="541">
        <v>4</v>
      </c>
      <c r="O7" s="541">
        <v>1</v>
      </c>
      <c r="P7" s="541">
        <v>4</v>
      </c>
      <c r="Q7" s="541">
        <v>1</v>
      </c>
      <c r="R7" s="541"/>
      <c r="S7" s="541">
        <v>1</v>
      </c>
      <c r="T7" s="541">
        <v>4</v>
      </c>
      <c r="U7" s="541"/>
      <c r="V7" s="541"/>
      <c r="W7" s="541"/>
      <c r="X7" s="541"/>
      <c r="Y7" s="541">
        <v>1</v>
      </c>
      <c r="Z7" s="541"/>
      <c r="AA7" s="541"/>
      <c r="AB7" s="541"/>
      <c r="AC7" s="542"/>
      <c r="AD7" s="542"/>
      <c r="AE7" s="542"/>
      <c r="AF7" s="542"/>
      <c r="AG7" s="542"/>
      <c r="AH7" s="542"/>
      <c r="AI7" s="542"/>
      <c r="AJ7" s="542"/>
      <c r="AK7" s="542"/>
      <c r="AL7" s="542"/>
      <c r="AM7" s="542"/>
      <c r="AN7" s="542"/>
      <c r="AO7" s="542"/>
      <c r="AP7" s="542"/>
      <c r="AQ7" s="542"/>
      <c r="AR7" s="542"/>
      <c r="AS7" s="542"/>
      <c r="AT7" s="205" t="str">
        <f>IFERROR(VLOOKUP(Table_NFI[[#This Row],[Location]],CL,2,0),"")</f>
        <v>MMR001CMP019</v>
      </c>
      <c r="AU7" s="183" t="s">
        <v>1239</v>
      </c>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row>
    <row r="8" spans="2:119" s="539" customFormat="1" ht="18.75" customHeight="1" x14ac:dyDescent="0.3">
      <c r="B8" s="540">
        <v>42745</v>
      </c>
      <c r="C8" s="540" t="str">
        <f>MONTH(Table_NFI[[#This Row],[Distribution Date]]) &amp; "/" &amp; YEAR(Table_NFI[[#This Row],[Distribution Date]])</f>
        <v>1/2017</v>
      </c>
      <c r="D8" s="198" t="s">
        <v>420</v>
      </c>
      <c r="E8" s="198" t="s">
        <v>1089</v>
      </c>
      <c r="F8" s="198" t="s">
        <v>378</v>
      </c>
      <c r="G8" s="197" t="s">
        <v>309</v>
      </c>
      <c r="H8" s="198" t="s">
        <v>329</v>
      </c>
      <c r="I8" s="183"/>
      <c r="J8" s="541"/>
      <c r="K8" s="541"/>
      <c r="L8" s="541">
        <v>6</v>
      </c>
      <c r="M8" s="541">
        <v>6</v>
      </c>
      <c r="N8" s="541">
        <v>10</v>
      </c>
      <c r="O8" s="541">
        <v>6</v>
      </c>
      <c r="P8" s="541">
        <v>18</v>
      </c>
      <c r="Q8" s="541">
        <v>6</v>
      </c>
      <c r="R8" s="541"/>
      <c r="S8" s="541">
        <v>6</v>
      </c>
      <c r="T8" s="541">
        <v>17</v>
      </c>
      <c r="U8" s="541"/>
      <c r="V8" s="541"/>
      <c r="W8" s="541"/>
      <c r="X8" s="541"/>
      <c r="Y8" s="541">
        <v>6</v>
      </c>
      <c r="Z8" s="541"/>
      <c r="AA8" s="541"/>
      <c r="AB8" s="541"/>
      <c r="AC8" s="542"/>
      <c r="AD8" s="542"/>
      <c r="AE8" s="542"/>
      <c r="AF8" s="542"/>
      <c r="AG8" s="542"/>
      <c r="AH8" s="542"/>
      <c r="AI8" s="542"/>
      <c r="AJ8" s="542"/>
      <c r="AK8" s="542"/>
      <c r="AL8" s="542"/>
      <c r="AM8" s="542"/>
      <c r="AN8" s="542"/>
      <c r="AO8" s="542"/>
      <c r="AP8" s="542"/>
      <c r="AQ8" s="542"/>
      <c r="AR8" s="542"/>
      <c r="AS8" s="542"/>
      <c r="AT8" s="205" t="str">
        <f>IFERROR(VLOOKUP(Table_NFI[[#This Row],[Location]],CL,2,0),"")</f>
        <v>MMR001CMP029</v>
      </c>
      <c r="AU8" s="183" t="s">
        <v>1239</v>
      </c>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row>
    <row r="9" spans="2:119" s="539" customFormat="1" ht="18.75" customHeight="1" x14ac:dyDescent="0.3">
      <c r="B9" s="540">
        <v>42750</v>
      </c>
      <c r="C9" s="540" t="str">
        <f>MONTH(Table_NFI[[#This Row],[Distribution Date]]) &amp; "/" &amp; YEAR(Table_NFI[[#This Row],[Distribution Date]])</f>
        <v>1/2017</v>
      </c>
      <c r="D9" s="198" t="s">
        <v>420</v>
      </c>
      <c r="E9" s="198" t="s">
        <v>424</v>
      </c>
      <c r="F9" s="198" t="s">
        <v>378</v>
      </c>
      <c r="G9" s="198" t="s">
        <v>151</v>
      </c>
      <c r="H9" s="198" t="s">
        <v>811</v>
      </c>
      <c r="I9" s="183"/>
      <c r="J9" s="541"/>
      <c r="K9" s="541"/>
      <c r="L9" s="541">
        <v>15</v>
      </c>
      <c r="M9" s="541">
        <v>15</v>
      </c>
      <c r="N9" s="541">
        <v>15</v>
      </c>
      <c r="O9" s="541">
        <v>15</v>
      </c>
      <c r="P9" s="541">
        <v>15</v>
      </c>
      <c r="Q9" s="541">
        <v>15</v>
      </c>
      <c r="R9" s="541"/>
      <c r="S9" s="541">
        <v>15</v>
      </c>
      <c r="T9" s="541">
        <v>30</v>
      </c>
      <c r="U9" s="541"/>
      <c r="V9" s="541"/>
      <c r="W9" s="541"/>
      <c r="X9" s="541"/>
      <c r="Y9" s="541">
        <v>15</v>
      </c>
      <c r="Z9" s="541"/>
      <c r="AA9" s="541"/>
      <c r="AB9" s="541">
        <v>15</v>
      </c>
      <c r="AC9" s="542" t="e">
        <f>IF(NFI_Expiration=1,IF(#REF!&lt;VLOOKUP(L$5,NFI,5,0),1,0)*Table_NFI[[#This Row],[NFI Core Kit]],Table_NFI[NFI Core Kit])</f>
        <v>#REF!</v>
      </c>
      <c r="AD9" s="542" t="e">
        <f>IF(NFI_Expiration=1,IF(#REF!&lt;VLOOKUP(M$5,NFI,5,0),1,0)*Table_NFI[[#This Row],[Sanitary Kit]],Table_NFI[Sanitary Kit])</f>
        <v>#REF!</v>
      </c>
      <c r="AE9" s="542" t="e">
        <f>IF(NFI_Expiration=1,IF(#REF!&lt;VLOOKUP(N$5,NFI,5,0),1,0)*Table_NFI[[#This Row],[Mosquito net]],Table_NFI[Mosquito net])</f>
        <v>#REF!</v>
      </c>
      <c r="AF9" s="542"/>
      <c r="AG9" s="542"/>
      <c r="AH9" s="542"/>
      <c r="AI9" s="542"/>
      <c r="AJ9" s="542"/>
      <c r="AK9" s="542"/>
      <c r="AL9" s="542"/>
      <c r="AM9" s="542"/>
      <c r="AN9" s="542"/>
      <c r="AO9" s="542"/>
      <c r="AP9" s="542">
        <f>IF(Table_NFI[[#This Row],[Winter Clothes Adult]]+Table_NFI[[#This Row],[Winter Clothes Children]]+Table_NFI[[#This Row],[Winter Items Other]]+Table_NFI[[#This Row],[Winter Blanket]]&gt;0,1,0)</f>
        <v>0</v>
      </c>
      <c r="AQ9" s="542"/>
      <c r="AR9" s="542"/>
      <c r="AS9" s="542"/>
      <c r="AT9" s="205" t="str">
        <f>IFERROR(VLOOKUP(Table_NFI[[#This Row],[Location]],CL,2,0),"")</f>
        <v>MMR001CMP218</v>
      </c>
      <c r="AU9" s="183" t="s">
        <v>1239</v>
      </c>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row>
    <row r="10" spans="2:119" s="539" customFormat="1" ht="18.75" customHeight="1" x14ac:dyDescent="0.3">
      <c r="B10" s="540">
        <v>42750</v>
      </c>
      <c r="C10" s="540" t="str">
        <f>MONTH(Table_NFI[[#This Row],[Distribution Date]]) &amp; "/" &amp; YEAR(Table_NFI[[#This Row],[Distribution Date]])</f>
        <v>1/2017</v>
      </c>
      <c r="D10" s="197" t="s">
        <v>1383</v>
      </c>
      <c r="E10" s="197" t="s">
        <v>1383</v>
      </c>
      <c r="F10" s="544" t="s">
        <v>378</v>
      </c>
      <c r="G10" s="198" t="s">
        <v>151</v>
      </c>
      <c r="H10" s="198" t="s">
        <v>811</v>
      </c>
      <c r="I10" s="183"/>
      <c r="J10" s="541">
        <v>15</v>
      </c>
      <c r="K10" s="541"/>
      <c r="L10" s="541"/>
      <c r="M10" s="541">
        <v>135</v>
      </c>
      <c r="N10" s="541"/>
      <c r="O10" s="541"/>
      <c r="P10" s="541"/>
      <c r="Q10" s="541"/>
      <c r="R10" s="541"/>
      <c r="S10" s="541">
        <v>15</v>
      </c>
      <c r="T10" s="541"/>
      <c r="U10" s="541"/>
      <c r="V10" s="541"/>
      <c r="W10" s="541"/>
      <c r="X10" s="541"/>
      <c r="Y10" s="541">
        <v>15</v>
      </c>
      <c r="Z10" s="541"/>
      <c r="AA10" s="541"/>
      <c r="AB10" s="541"/>
      <c r="AC10" s="542" t="e">
        <f>IF(NFI_Expiration=1,IF(#REF!&lt;VLOOKUP(L$5,NFI,5,0),1,0)*Table_NFI[[#This Row],[NFI Core Kit]],Table_NFI[NFI Core Kit])</f>
        <v>#REF!</v>
      </c>
      <c r="AD10" s="542" t="e">
        <f>IF(NFI_Expiration=1,IF(#REF!&lt;VLOOKUP(M$5,NFI,5,0),1,0)*Table_NFI[[#This Row],[Sanitary Kit]],Table_NFI[Sanitary Kit])</f>
        <v>#REF!</v>
      </c>
      <c r="AE10" s="542" t="e">
        <f>IF(NFI_Expiration=1,IF(#REF!&lt;VLOOKUP(N$5,NFI,5,0),1,0)*Table_NFI[[#This Row],[Mosquito net]],Table_NFI[Mosquito net])</f>
        <v>#REF!</v>
      </c>
      <c r="AF10" s="542"/>
      <c r="AG10" s="542"/>
      <c r="AH10" s="542"/>
      <c r="AI10" s="542"/>
      <c r="AJ10" s="542"/>
      <c r="AK10" s="542"/>
      <c r="AL10" s="542"/>
      <c r="AM10" s="542"/>
      <c r="AN10" s="542"/>
      <c r="AO10" s="542"/>
      <c r="AP10" s="542">
        <f>IF(Table_NFI[[#This Row],[Winter Clothes Adult]]+Table_NFI[[#This Row],[Winter Clothes Children]]+Table_NFI[[#This Row],[Winter Items Other]]+Table_NFI[[#This Row],[Winter Blanket]]&gt;0,1,0)</f>
        <v>0</v>
      </c>
      <c r="AQ10" s="542"/>
      <c r="AR10" s="542"/>
      <c r="AS10" s="542"/>
      <c r="AT10" s="205" t="str">
        <f>IFERROR(VLOOKUP(Table_NFI[[#This Row],[Location]],CL,2,0),"")</f>
        <v>MMR001CMP218</v>
      </c>
      <c r="AU10" s="199" t="s">
        <v>1258</v>
      </c>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row>
    <row r="11" spans="2:119" s="539" customFormat="1" ht="18.75" customHeight="1" x14ac:dyDescent="0.3">
      <c r="B11" s="540">
        <v>42753</v>
      </c>
      <c r="C11" s="540" t="str">
        <f>MONTH(Table_NFI[[#This Row],[Distribution Date]]) &amp; "/" &amp; YEAR(Table_NFI[[#This Row],[Distribution Date]])</f>
        <v>1/2017</v>
      </c>
      <c r="D11" s="197" t="s">
        <v>1383</v>
      </c>
      <c r="E11" s="197" t="s">
        <v>1383</v>
      </c>
      <c r="F11" s="544" t="s">
        <v>378</v>
      </c>
      <c r="G11" s="197" t="s">
        <v>185</v>
      </c>
      <c r="H11" s="197" t="s">
        <v>194</v>
      </c>
      <c r="I11" s="197"/>
      <c r="J11" s="541">
        <v>73</v>
      </c>
      <c r="K11" s="541"/>
      <c r="L11" s="541">
        <v>73</v>
      </c>
      <c r="M11" s="541">
        <v>657</v>
      </c>
      <c r="N11" s="541">
        <v>146</v>
      </c>
      <c r="O11" s="541"/>
      <c r="P11" s="541">
        <v>146</v>
      </c>
      <c r="Q11" s="541"/>
      <c r="R11" s="541"/>
      <c r="S11" s="541">
        <v>73</v>
      </c>
      <c r="T11" s="541">
        <v>146</v>
      </c>
      <c r="U11" s="541"/>
      <c r="V11" s="541"/>
      <c r="W11" s="541"/>
      <c r="X11" s="541"/>
      <c r="Y11" s="541">
        <v>73</v>
      </c>
      <c r="Z11" s="541"/>
      <c r="AA11" s="541"/>
      <c r="AB11" s="541"/>
      <c r="AC11" s="542" t="e">
        <f>IF(NFI_Expiration=1,IF(#REF!&lt;VLOOKUP(L$5,NFI,5,0),1,0)*Table_NFI[[#This Row],[NFI Core Kit]],Table_NFI[NFI Core Kit])</f>
        <v>#REF!</v>
      </c>
      <c r="AD11" s="542" t="e">
        <f>IF(NFI_Expiration=1,IF(#REF!&lt;VLOOKUP(M$5,NFI,5,0),1,0)*Table_NFI[[#This Row],[Sanitary Kit]],Table_NFI[Sanitary Kit])</f>
        <v>#REF!</v>
      </c>
      <c r="AE11" s="542" t="e">
        <f>IF(NFI_Expiration=1,IF(#REF!&lt;VLOOKUP(N$5,NFI,5,0),1,0)*Table_NFI[[#This Row],[Mosquito net]],Table_NFI[Mosquito net])</f>
        <v>#REF!</v>
      </c>
      <c r="AF11" s="542"/>
      <c r="AG11" s="542"/>
      <c r="AH11" s="542"/>
      <c r="AI11" s="542"/>
      <c r="AJ11" s="542"/>
      <c r="AK11" s="542"/>
      <c r="AL11" s="542"/>
      <c r="AM11" s="542"/>
      <c r="AN11" s="542"/>
      <c r="AO11" s="542"/>
      <c r="AP11" s="542">
        <f>IF(Table_NFI[[#This Row],[Winter Clothes Adult]]+Table_NFI[[#This Row],[Winter Clothes Children]]+Table_NFI[[#This Row],[Winter Items Other]]+Table_NFI[[#This Row],[Winter Blanket]]&gt;0,1,0)</f>
        <v>0</v>
      </c>
      <c r="AQ11" s="542"/>
      <c r="AR11" s="542"/>
      <c r="AS11" s="542"/>
      <c r="AT11" s="205" t="str">
        <f>IFERROR(VLOOKUP(Table_NFI[[#This Row],[Location]],CL,2,0),"")</f>
        <v>MMR001CMP122</v>
      </c>
      <c r="AU11" s="199" t="s">
        <v>1258</v>
      </c>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row>
    <row r="12" spans="2:119" s="539" customFormat="1" ht="18.75" customHeight="1" x14ac:dyDescent="0.3">
      <c r="B12" s="540">
        <v>42753</v>
      </c>
      <c r="C12" s="540" t="str">
        <f>MONTH(Table_NFI[[#This Row],[Distribution Date]]) &amp; "/" &amp; YEAR(Table_NFI[[#This Row],[Distribution Date]])</f>
        <v>1/2017</v>
      </c>
      <c r="D12" s="197" t="s">
        <v>1383</v>
      </c>
      <c r="E12" s="197" t="s">
        <v>1383</v>
      </c>
      <c r="F12" s="198" t="s">
        <v>378</v>
      </c>
      <c r="G12" s="198" t="s">
        <v>309</v>
      </c>
      <c r="H12" s="197" t="s">
        <v>351</v>
      </c>
      <c r="I12" s="197"/>
      <c r="J12" s="541">
        <v>10</v>
      </c>
      <c r="K12" s="541"/>
      <c r="L12" s="541">
        <v>10</v>
      </c>
      <c r="M12" s="541">
        <v>90</v>
      </c>
      <c r="N12" s="541">
        <v>20</v>
      </c>
      <c r="O12" s="541"/>
      <c r="P12" s="541">
        <v>20</v>
      </c>
      <c r="Q12" s="541"/>
      <c r="R12" s="541"/>
      <c r="S12" s="541">
        <v>10</v>
      </c>
      <c r="T12" s="541">
        <v>20</v>
      </c>
      <c r="U12" s="541"/>
      <c r="V12" s="541"/>
      <c r="W12" s="541"/>
      <c r="X12" s="541"/>
      <c r="Y12" s="541">
        <v>10</v>
      </c>
      <c r="Z12" s="541"/>
      <c r="AA12" s="541"/>
      <c r="AB12" s="541"/>
      <c r="AC12" s="542" t="e">
        <f>IF(NFI_Expiration=1,IF(#REF!&lt;VLOOKUP(L$5,NFI,5,0),1,0)*Table_NFI[[#This Row],[NFI Core Kit]],Table_NFI[NFI Core Kit])</f>
        <v>#REF!</v>
      </c>
      <c r="AD12" s="542" t="e">
        <f>IF(NFI_Expiration=1,IF(#REF!&lt;VLOOKUP(M$5,NFI,5,0),1,0)*Table_NFI[[#This Row],[Sanitary Kit]],Table_NFI[Sanitary Kit])</f>
        <v>#REF!</v>
      </c>
      <c r="AE12" s="542" t="e">
        <f>IF(NFI_Expiration=1,IF(#REF!&lt;VLOOKUP(N$5,NFI,5,0),1,0)*Table_NFI[[#This Row],[Mosquito net]],Table_NFI[Mosquito net])</f>
        <v>#REF!</v>
      </c>
      <c r="AF12" s="542"/>
      <c r="AG12" s="542"/>
      <c r="AH12" s="542"/>
      <c r="AI12" s="542"/>
      <c r="AJ12" s="542"/>
      <c r="AK12" s="542"/>
      <c r="AL12" s="542"/>
      <c r="AM12" s="542"/>
      <c r="AN12" s="542"/>
      <c r="AO12" s="542"/>
      <c r="AP12" s="542">
        <f>IF(Table_NFI[[#This Row],[Winter Clothes Adult]]+Table_NFI[[#This Row],[Winter Clothes Children]]+Table_NFI[[#This Row],[Winter Items Other]]+Table_NFI[[#This Row],[Winter Blanket]]&gt;0,1,0)</f>
        <v>0</v>
      </c>
      <c r="AQ12" s="542"/>
      <c r="AR12" s="542"/>
      <c r="AS12" s="542"/>
      <c r="AT12" s="205" t="str">
        <f>IFERROR(VLOOKUP(Table_NFI[[#This Row],[Location]],CL,2,0),"")</f>
        <v>MMR001CMP116</v>
      </c>
      <c r="AU12" s="199" t="s">
        <v>1258</v>
      </c>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row>
    <row r="13" spans="2:119" s="539" customFormat="1" ht="18.75" customHeight="1" x14ac:dyDescent="0.3">
      <c r="B13" s="540">
        <v>42754</v>
      </c>
      <c r="C13" s="540" t="str">
        <f>MONTH(Table_NFI[[#This Row],[Distribution Date]]) &amp; "/" &amp; YEAR(Table_NFI[[#This Row],[Distribution Date]])</f>
        <v>1/2017</v>
      </c>
      <c r="D13" s="198" t="s">
        <v>420</v>
      </c>
      <c r="E13" s="198" t="s">
        <v>1089</v>
      </c>
      <c r="F13" s="198" t="s">
        <v>378</v>
      </c>
      <c r="G13" s="198" t="s">
        <v>309</v>
      </c>
      <c r="H13" s="198" t="s">
        <v>329</v>
      </c>
      <c r="I13" s="183"/>
      <c r="J13" s="541"/>
      <c r="K13" s="541"/>
      <c r="L13" s="541">
        <v>9</v>
      </c>
      <c r="M13" s="541">
        <v>9</v>
      </c>
      <c r="N13" s="541">
        <v>35</v>
      </c>
      <c r="O13" s="541">
        <v>9</v>
      </c>
      <c r="P13" s="541">
        <v>35</v>
      </c>
      <c r="Q13" s="541">
        <v>9</v>
      </c>
      <c r="R13" s="541"/>
      <c r="S13" s="541">
        <v>9</v>
      </c>
      <c r="T13" s="541">
        <v>35</v>
      </c>
      <c r="U13" s="541"/>
      <c r="V13" s="541"/>
      <c r="W13" s="541"/>
      <c r="X13" s="541"/>
      <c r="Y13" s="541">
        <v>9</v>
      </c>
      <c r="Z13" s="541"/>
      <c r="AA13" s="541"/>
      <c r="AB13" s="541">
        <v>9</v>
      </c>
      <c r="AC13" s="542" t="e">
        <f>IF(NFI_Expiration=1,IF(#REF!&lt;VLOOKUP(L$5,NFI,5,0),1,0)*Table_NFI[[#This Row],[NFI Core Kit]],Table_NFI[NFI Core Kit])</f>
        <v>#REF!</v>
      </c>
      <c r="AD13" s="542" t="e">
        <f>IF(NFI_Expiration=1,IF(#REF!&lt;VLOOKUP(M$5,NFI,5,0),1,0)*Table_NFI[[#This Row],[Sanitary Kit]],Table_NFI[Sanitary Kit])</f>
        <v>#REF!</v>
      </c>
      <c r="AE13" s="542" t="e">
        <f>IF(NFI_Expiration=1,IF(#REF!&lt;VLOOKUP(N$5,NFI,5,0),1,0)*Table_NFI[[#This Row],[Mosquito net]],Table_NFI[Mosquito net])</f>
        <v>#REF!</v>
      </c>
      <c r="AF13" s="542"/>
      <c r="AG13" s="542"/>
      <c r="AH13" s="542"/>
      <c r="AI13" s="542"/>
      <c r="AJ13" s="542"/>
      <c r="AK13" s="542"/>
      <c r="AL13" s="542"/>
      <c r="AM13" s="542"/>
      <c r="AN13" s="542"/>
      <c r="AO13" s="542"/>
      <c r="AP13" s="542">
        <f>IF(Table_NFI[[#This Row],[Winter Clothes Adult]]+Table_NFI[[#This Row],[Winter Clothes Children]]+Table_NFI[[#This Row],[Winter Items Other]]+Table_NFI[[#This Row],[Winter Blanket]]&gt;0,1,0)</f>
        <v>0</v>
      </c>
      <c r="AQ13" s="542"/>
      <c r="AR13" s="542"/>
      <c r="AS13" s="542"/>
      <c r="AT13" s="205" t="str">
        <f>IFERROR(VLOOKUP(Table_NFI[[#This Row],[Location]],CL,2,0),"")</f>
        <v>MMR001CMP029</v>
      </c>
      <c r="AU13" s="183" t="s">
        <v>1239</v>
      </c>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row>
    <row r="14" spans="2:119" s="539" customFormat="1" ht="18.75" customHeight="1" x14ac:dyDescent="0.3">
      <c r="B14" s="540">
        <v>42755</v>
      </c>
      <c r="C14" s="540" t="str">
        <f>MONTH(Table_NFI[[#This Row],[Distribution Date]]) &amp; "/" &amp; YEAR(Table_NFI[[#This Row],[Distribution Date]])</f>
        <v>1/2017</v>
      </c>
      <c r="D14" s="198" t="s">
        <v>420</v>
      </c>
      <c r="E14" s="198" t="s">
        <v>462</v>
      </c>
      <c r="F14" s="198" t="s">
        <v>378</v>
      </c>
      <c r="G14" s="198" t="s">
        <v>309</v>
      </c>
      <c r="H14" s="198" t="s">
        <v>327</v>
      </c>
      <c r="I14" s="183"/>
      <c r="J14" s="541"/>
      <c r="K14" s="541"/>
      <c r="L14" s="541">
        <v>5</v>
      </c>
      <c r="M14" s="541">
        <v>5</v>
      </c>
      <c r="N14" s="541">
        <v>21</v>
      </c>
      <c r="O14" s="541">
        <v>5</v>
      </c>
      <c r="P14" s="541">
        <v>21</v>
      </c>
      <c r="Q14" s="541">
        <v>5</v>
      </c>
      <c r="R14" s="541"/>
      <c r="S14" s="541">
        <v>5</v>
      </c>
      <c r="T14" s="541">
        <v>21</v>
      </c>
      <c r="U14" s="541"/>
      <c r="V14" s="541"/>
      <c r="W14" s="541"/>
      <c r="X14" s="541"/>
      <c r="Y14" s="541">
        <v>5</v>
      </c>
      <c r="Z14" s="541"/>
      <c r="AA14" s="541"/>
      <c r="AB14" s="541"/>
      <c r="AC14" s="542" t="e">
        <f>IF(NFI_Expiration=1,IF(#REF!&lt;VLOOKUP(L$5,NFI,5,0),1,0)*Table_NFI[[#This Row],[NFI Core Kit]],Table_NFI[NFI Core Kit])</f>
        <v>#REF!</v>
      </c>
      <c r="AD14" s="542" t="e">
        <f>IF(NFI_Expiration=1,IF(#REF!&lt;VLOOKUP(M$5,NFI,5,0),1,0)*Table_NFI[[#This Row],[Sanitary Kit]],Table_NFI[Sanitary Kit])</f>
        <v>#REF!</v>
      </c>
      <c r="AE14" s="542" t="e">
        <f>IF(NFI_Expiration=1,IF(#REF!&lt;VLOOKUP(N$5,NFI,5,0),1,0)*Table_NFI[[#This Row],[Mosquito net]],Table_NFI[Mosquito net])</f>
        <v>#REF!</v>
      </c>
      <c r="AF14" s="542"/>
      <c r="AG14" s="542"/>
      <c r="AH14" s="542"/>
      <c r="AI14" s="542"/>
      <c r="AJ14" s="542"/>
      <c r="AK14" s="542"/>
      <c r="AL14" s="542"/>
      <c r="AM14" s="542"/>
      <c r="AN14" s="542"/>
      <c r="AO14" s="542"/>
      <c r="AP14" s="542">
        <f>IF(Table_NFI[[#This Row],[Winter Clothes Adult]]+Table_NFI[[#This Row],[Winter Clothes Children]]+Table_NFI[[#This Row],[Winter Items Other]]+Table_NFI[[#This Row],[Winter Blanket]]&gt;0,1,0)</f>
        <v>0</v>
      </c>
      <c r="AQ14" s="542"/>
      <c r="AR14" s="542"/>
      <c r="AS14" s="542"/>
      <c r="AT14" s="205" t="str">
        <f>IFERROR(VLOOKUP(Table_NFI[[#This Row],[Location]],CL,2,0),"")</f>
        <v>MMR001CMP031</v>
      </c>
      <c r="AU14" s="183" t="s">
        <v>1239</v>
      </c>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row>
    <row r="15" spans="2:119" s="539" customFormat="1" ht="18.75" customHeight="1" x14ac:dyDescent="0.3">
      <c r="B15" s="540">
        <v>42755</v>
      </c>
      <c r="C15" s="540" t="str">
        <f>MONTH(Table_NFI[[#This Row],[Distribution Date]]) &amp; "/" &amp; YEAR(Table_NFI[[#This Row],[Distribution Date]])</f>
        <v>1/2017</v>
      </c>
      <c r="D15" s="198" t="s">
        <v>420</v>
      </c>
      <c r="E15" s="198" t="s">
        <v>462</v>
      </c>
      <c r="F15" s="198" t="s">
        <v>378</v>
      </c>
      <c r="G15" s="198" t="s">
        <v>309</v>
      </c>
      <c r="H15" s="198" t="s">
        <v>349</v>
      </c>
      <c r="I15" s="183"/>
      <c r="J15" s="541"/>
      <c r="K15" s="541"/>
      <c r="L15" s="541">
        <v>6</v>
      </c>
      <c r="M15" s="541">
        <v>6</v>
      </c>
      <c r="N15" s="541">
        <v>13</v>
      </c>
      <c r="O15" s="541">
        <v>6</v>
      </c>
      <c r="P15" s="541">
        <v>13</v>
      </c>
      <c r="Q15" s="541">
        <v>6</v>
      </c>
      <c r="R15" s="541"/>
      <c r="S15" s="541">
        <v>6</v>
      </c>
      <c r="T15" s="541">
        <v>13</v>
      </c>
      <c r="U15" s="541"/>
      <c r="V15" s="541"/>
      <c r="W15" s="541"/>
      <c r="X15" s="541"/>
      <c r="Y15" s="541">
        <v>6</v>
      </c>
      <c r="Z15" s="541"/>
      <c r="AA15" s="541"/>
      <c r="AB15" s="541"/>
      <c r="AC15" s="542" t="e">
        <f>IF(NFI_Expiration=1,IF(#REF!&lt;VLOOKUP(L$5,NFI,5,0),1,0)*Table_NFI[[#This Row],[NFI Core Kit]],Table_NFI[NFI Core Kit])</f>
        <v>#REF!</v>
      </c>
      <c r="AD15" s="542" t="e">
        <f>IF(NFI_Expiration=1,IF(#REF!&lt;VLOOKUP(M$5,NFI,5,0),1,0)*Table_NFI[[#This Row],[Sanitary Kit]],Table_NFI[Sanitary Kit])</f>
        <v>#REF!</v>
      </c>
      <c r="AE15" s="542" t="e">
        <f>IF(NFI_Expiration=1,IF(#REF!&lt;VLOOKUP(N$5,NFI,5,0),1,0)*Table_NFI[[#This Row],[Mosquito net]],Table_NFI[Mosquito net])</f>
        <v>#REF!</v>
      </c>
      <c r="AF15" s="542"/>
      <c r="AG15" s="542"/>
      <c r="AH15" s="542"/>
      <c r="AI15" s="542"/>
      <c r="AJ15" s="542"/>
      <c r="AK15" s="542"/>
      <c r="AL15" s="542"/>
      <c r="AM15" s="542"/>
      <c r="AN15" s="542"/>
      <c r="AO15" s="542"/>
      <c r="AP15" s="542">
        <f>IF(Table_NFI[[#This Row],[Winter Clothes Adult]]+Table_NFI[[#This Row],[Winter Clothes Children]]+Table_NFI[[#This Row],[Winter Items Other]]+Table_NFI[[#This Row],[Winter Blanket]]&gt;0,1,0)</f>
        <v>0</v>
      </c>
      <c r="AQ15" s="542"/>
      <c r="AR15" s="542"/>
      <c r="AS15" s="542"/>
      <c r="AT15" s="205" t="str">
        <f>IFERROR(VLOOKUP(Table_NFI[[#This Row],[Location]],CL,2,0),"")</f>
        <v>MMR001CMP026</v>
      </c>
      <c r="AU15" s="183" t="s">
        <v>1239</v>
      </c>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row>
    <row r="16" spans="2:119" s="539" customFormat="1" ht="18.75" customHeight="1" x14ac:dyDescent="0.3">
      <c r="B16" s="540">
        <v>42755</v>
      </c>
      <c r="C16" s="540" t="str">
        <f>MONTH(Table_NFI[[#This Row],[Distribution Date]]) &amp; "/" &amp; YEAR(Table_NFI[[#This Row],[Distribution Date]])</f>
        <v>1/2017</v>
      </c>
      <c r="D16" s="198" t="s">
        <v>420</v>
      </c>
      <c r="E16" s="198" t="s">
        <v>462</v>
      </c>
      <c r="F16" s="198" t="s">
        <v>378</v>
      </c>
      <c r="G16" s="198" t="s">
        <v>309</v>
      </c>
      <c r="H16" s="198" t="s">
        <v>317</v>
      </c>
      <c r="I16" s="183"/>
      <c r="J16" s="541"/>
      <c r="K16" s="541"/>
      <c r="L16" s="541">
        <v>9</v>
      </c>
      <c r="M16" s="541">
        <v>9</v>
      </c>
      <c r="N16" s="541">
        <v>19</v>
      </c>
      <c r="O16" s="541">
        <v>9</v>
      </c>
      <c r="P16" s="541">
        <v>19</v>
      </c>
      <c r="Q16" s="541">
        <v>9</v>
      </c>
      <c r="R16" s="541"/>
      <c r="S16" s="541">
        <v>9</v>
      </c>
      <c r="T16" s="541">
        <v>19</v>
      </c>
      <c r="U16" s="541"/>
      <c r="V16" s="541"/>
      <c r="W16" s="541"/>
      <c r="X16" s="541"/>
      <c r="Y16" s="541">
        <v>9</v>
      </c>
      <c r="Z16" s="541"/>
      <c r="AA16" s="541"/>
      <c r="AB16" s="541">
        <v>10</v>
      </c>
      <c r="AC16" s="542" t="e">
        <f>IF(NFI_Expiration=1,IF(#REF!&lt;VLOOKUP(L$5,NFI,5,0),1,0)*Table_NFI[[#This Row],[NFI Core Kit]],Table_NFI[NFI Core Kit])</f>
        <v>#REF!</v>
      </c>
      <c r="AD16" s="542" t="e">
        <f>IF(NFI_Expiration=1,IF(#REF!&lt;VLOOKUP(M$5,NFI,5,0),1,0)*Table_NFI[[#This Row],[Sanitary Kit]],Table_NFI[Sanitary Kit])</f>
        <v>#REF!</v>
      </c>
      <c r="AE16" s="542" t="e">
        <f>IF(NFI_Expiration=1,IF(#REF!&lt;VLOOKUP(N$5,NFI,5,0),1,0)*Table_NFI[[#This Row],[Mosquito net]],Table_NFI[Mosquito net])</f>
        <v>#REF!</v>
      </c>
      <c r="AF16" s="542"/>
      <c r="AG16" s="542"/>
      <c r="AH16" s="542"/>
      <c r="AI16" s="542"/>
      <c r="AJ16" s="542"/>
      <c r="AK16" s="542"/>
      <c r="AL16" s="542"/>
      <c r="AM16" s="542"/>
      <c r="AN16" s="542"/>
      <c r="AO16" s="542"/>
      <c r="AP16" s="542">
        <f>IF(Table_NFI[[#This Row],[Winter Clothes Adult]]+Table_NFI[[#This Row],[Winter Clothes Children]]+Table_NFI[[#This Row],[Winter Items Other]]+Table_NFI[[#This Row],[Winter Blanket]]&gt;0,1,0)</f>
        <v>0</v>
      </c>
      <c r="AQ16" s="542"/>
      <c r="AR16" s="542"/>
      <c r="AS16" s="542"/>
      <c r="AT16" s="205" t="str">
        <f>IFERROR(VLOOKUP(Table_NFI[[#This Row],[Location]],CL,2,0),"")</f>
        <v>MMR001CMP032</v>
      </c>
      <c r="AU16" s="183" t="s">
        <v>1239</v>
      </c>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row>
    <row r="17" spans="2:119" s="539" customFormat="1" ht="18.75" customHeight="1" x14ac:dyDescent="0.3">
      <c r="B17" s="540">
        <v>42755</v>
      </c>
      <c r="C17" s="540" t="str">
        <f>MONTH(Table_NFI[[#This Row],[Distribution Date]]) &amp; "/" &amp; YEAR(Table_NFI[[#This Row],[Distribution Date]])</f>
        <v>1/2017</v>
      </c>
      <c r="D17" s="198" t="s">
        <v>420</v>
      </c>
      <c r="E17" s="198" t="s">
        <v>462</v>
      </c>
      <c r="F17" s="198" t="s">
        <v>378</v>
      </c>
      <c r="G17" s="198" t="s">
        <v>309</v>
      </c>
      <c r="H17" s="198" t="s">
        <v>315</v>
      </c>
      <c r="I17" s="183"/>
      <c r="J17" s="541"/>
      <c r="K17" s="541"/>
      <c r="L17" s="541">
        <v>6</v>
      </c>
      <c r="M17" s="541">
        <v>6</v>
      </c>
      <c r="N17" s="541">
        <v>17</v>
      </c>
      <c r="O17" s="541">
        <v>6</v>
      </c>
      <c r="P17" s="541">
        <v>17</v>
      </c>
      <c r="Q17" s="541">
        <v>6</v>
      </c>
      <c r="R17" s="541"/>
      <c r="S17" s="541">
        <v>6</v>
      </c>
      <c r="T17" s="541">
        <v>17</v>
      </c>
      <c r="U17" s="541"/>
      <c r="V17" s="541"/>
      <c r="W17" s="541"/>
      <c r="X17" s="541"/>
      <c r="Y17" s="541">
        <v>6</v>
      </c>
      <c r="Z17" s="541"/>
      <c r="AA17" s="541"/>
      <c r="AB17" s="541"/>
      <c r="AC17" s="542" t="e">
        <f>IF(NFI_Expiration=1,IF(#REF!&lt;VLOOKUP(L$5,NFI,5,0),1,0)*Table_NFI[[#This Row],[NFI Core Kit]],Table_NFI[NFI Core Kit])</f>
        <v>#REF!</v>
      </c>
      <c r="AD17" s="542" t="e">
        <f>IF(NFI_Expiration=1,IF(#REF!&lt;VLOOKUP(M$5,NFI,5,0),1,0)*Table_NFI[[#This Row],[Sanitary Kit]],Table_NFI[Sanitary Kit])</f>
        <v>#REF!</v>
      </c>
      <c r="AE17" s="542" t="e">
        <f>IF(NFI_Expiration=1,IF(#REF!&lt;VLOOKUP(N$5,NFI,5,0),1,0)*Table_NFI[[#This Row],[Mosquito net]],Table_NFI[Mosquito net])</f>
        <v>#REF!</v>
      </c>
      <c r="AF17" s="542"/>
      <c r="AG17" s="542"/>
      <c r="AH17" s="542"/>
      <c r="AI17" s="542"/>
      <c r="AJ17" s="542"/>
      <c r="AK17" s="542"/>
      <c r="AL17" s="542"/>
      <c r="AM17" s="542"/>
      <c r="AN17" s="542"/>
      <c r="AO17" s="542"/>
      <c r="AP17" s="542">
        <f>IF(Table_NFI[[#This Row],[Winter Clothes Adult]]+Table_NFI[[#This Row],[Winter Clothes Children]]+Table_NFI[[#This Row],[Winter Items Other]]+Table_NFI[[#This Row],[Winter Blanket]]&gt;0,1,0)</f>
        <v>0</v>
      </c>
      <c r="AQ17" s="542"/>
      <c r="AR17" s="542"/>
      <c r="AS17" s="542"/>
      <c r="AT17" s="205" t="str">
        <f>IFERROR(VLOOKUP(Table_NFI[[#This Row],[Location]],CL,2,0),"")</f>
        <v>MMR001CMP038</v>
      </c>
      <c r="AU17" s="183" t="s">
        <v>1239</v>
      </c>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row>
    <row r="18" spans="2:119" s="539" customFormat="1" ht="18.75" customHeight="1" x14ac:dyDescent="0.3">
      <c r="B18" s="540">
        <v>42755</v>
      </c>
      <c r="C18" s="540" t="str">
        <f>MONTH(Table_NFI[[#This Row],[Distribution Date]]) &amp; "/" &amp; YEAR(Table_NFI[[#This Row],[Distribution Date]])</f>
        <v>1/2017</v>
      </c>
      <c r="D18" s="198" t="s">
        <v>420</v>
      </c>
      <c r="E18" s="198" t="s">
        <v>462</v>
      </c>
      <c r="F18" s="198" t="s">
        <v>378</v>
      </c>
      <c r="G18" s="198" t="s">
        <v>309</v>
      </c>
      <c r="H18" s="198" t="s">
        <v>347</v>
      </c>
      <c r="I18" s="183"/>
      <c r="J18" s="541"/>
      <c r="K18" s="541"/>
      <c r="L18" s="541">
        <v>1</v>
      </c>
      <c r="M18" s="541">
        <v>1</v>
      </c>
      <c r="N18" s="541">
        <v>4</v>
      </c>
      <c r="O18" s="541">
        <v>1</v>
      </c>
      <c r="P18" s="541">
        <v>4</v>
      </c>
      <c r="Q18" s="541">
        <v>1</v>
      </c>
      <c r="R18" s="541"/>
      <c r="S18" s="541">
        <v>1</v>
      </c>
      <c r="T18" s="541">
        <v>4</v>
      </c>
      <c r="U18" s="541"/>
      <c r="V18" s="541"/>
      <c r="W18" s="541"/>
      <c r="X18" s="541"/>
      <c r="Y18" s="541">
        <v>1</v>
      </c>
      <c r="Z18" s="541"/>
      <c r="AA18" s="541"/>
      <c r="AB18" s="541"/>
      <c r="AC18" s="542" t="e">
        <f>IF(NFI_Expiration=1,IF(#REF!&lt;VLOOKUP(L$5,NFI,5,0),1,0)*Table_NFI[[#This Row],[NFI Core Kit]],Table_NFI[NFI Core Kit])</f>
        <v>#REF!</v>
      </c>
      <c r="AD18" s="542" t="e">
        <f>IF(NFI_Expiration=1,IF(#REF!&lt;VLOOKUP(M$5,NFI,5,0),1,0)*Table_NFI[[#This Row],[Sanitary Kit]],Table_NFI[Sanitary Kit])</f>
        <v>#REF!</v>
      </c>
      <c r="AE18" s="542" t="e">
        <f>IF(NFI_Expiration=1,IF(#REF!&lt;VLOOKUP(N$5,NFI,5,0),1,0)*Table_NFI[[#This Row],[Mosquito net]],Table_NFI[Mosquito net])</f>
        <v>#REF!</v>
      </c>
      <c r="AF18" s="542"/>
      <c r="AG18" s="542"/>
      <c r="AH18" s="542"/>
      <c r="AI18" s="542"/>
      <c r="AJ18" s="542"/>
      <c r="AK18" s="542"/>
      <c r="AL18" s="542"/>
      <c r="AM18" s="542"/>
      <c r="AN18" s="542"/>
      <c r="AO18" s="542"/>
      <c r="AP18" s="542">
        <f>IF(Table_NFI[[#This Row],[Winter Clothes Adult]]+Table_NFI[[#This Row],[Winter Clothes Children]]+Table_NFI[[#This Row],[Winter Items Other]]+Table_NFI[[#This Row],[Winter Blanket]]&gt;0,1,0)</f>
        <v>0</v>
      </c>
      <c r="AQ18" s="542"/>
      <c r="AR18" s="542"/>
      <c r="AS18" s="542"/>
      <c r="AT18" s="205" t="str">
        <f>IFERROR(VLOOKUP(Table_NFI[[#This Row],[Location]],CL,2,0),"")</f>
        <v>MMR001CMP037</v>
      </c>
      <c r="AU18" s="183" t="s">
        <v>1239</v>
      </c>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row>
    <row r="19" spans="2:119" s="539" customFormat="1" ht="18.75" customHeight="1" x14ac:dyDescent="0.3">
      <c r="B19" s="540">
        <v>42755</v>
      </c>
      <c r="C19" s="540" t="str">
        <f>MONTH(Table_NFI[[#This Row],[Distribution Date]]) &amp; "/" &amp; YEAR(Table_NFI[[#This Row],[Distribution Date]])</f>
        <v>1/2017</v>
      </c>
      <c r="D19" s="198" t="s">
        <v>420</v>
      </c>
      <c r="E19" s="198" t="s">
        <v>424</v>
      </c>
      <c r="F19" s="198" t="s">
        <v>378</v>
      </c>
      <c r="G19" s="198" t="s">
        <v>151</v>
      </c>
      <c r="H19" s="198" t="s">
        <v>802</v>
      </c>
      <c r="I19" s="183"/>
      <c r="J19" s="541"/>
      <c r="K19" s="541"/>
      <c r="L19" s="541">
        <v>11</v>
      </c>
      <c r="M19" s="541">
        <v>11</v>
      </c>
      <c r="N19" s="541">
        <v>32</v>
      </c>
      <c r="O19" s="541">
        <v>11</v>
      </c>
      <c r="P19" s="541">
        <v>32</v>
      </c>
      <c r="Q19" s="541">
        <v>11</v>
      </c>
      <c r="R19" s="541"/>
      <c r="S19" s="541">
        <v>11</v>
      </c>
      <c r="T19" s="541">
        <v>52</v>
      </c>
      <c r="U19" s="541"/>
      <c r="V19" s="541"/>
      <c r="W19" s="541"/>
      <c r="X19" s="541"/>
      <c r="Y19" s="541">
        <v>11</v>
      </c>
      <c r="Z19" s="541"/>
      <c r="AA19" s="541"/>
      <c r="AB19" s="541">
        <v>11</v>
      </c>
      <c r="AC19" s="542" t="e">
        <f>IF(NFI_Expiration=1,IF(#REF!&lt;VLOOKUP(L$5,NFI,5,0),1,0)*Table_NFI[[#This Row],[NFI Core Kit]],Table_NFI[NFI Core Kit])</f>
        <v>#REF!</v>
      </c>
      <c r="AD19" s="542" t="e">
        <f>IF(NFI_Expiration=1,IF(#REF!&lt;VLOOKUP(M$5,NFI,5,0),1,0)*Table_NFI[[#This Row],[Sanitary Kit]],Table_NFI[Sanitary Kit])</f>
        <v>#REF!</v>
      </c>
      <c r="AE19" s="542" t="e">
        <f>IF(NFI_Expiration=1,IF(#REF!&lt;VLOOKUP(N$5,NFI,5,0),1,0)*Table_NFI[[#This Row],[Mosquito net]],Table_NFI[Mosquito net])</f>
        <v>#REF!</v>
      </c>
      <c r="AF19" s="542"/>
      <c r="AG19" s="542"/>
      <c r="AH19" s="542"/>
      <c r="AI19" s="542"/>
      <c r="AJ19" s="542"/>
      <c r="AK19" s="542"/>
      <c r="AL19" s="542"/>
      <c r="AM19" s="542"/>
      <c r="AN19" s="542"/>
      <c r="AO19" s="542"/>
      <c r="AP19" s="542">
        <f>IF(Table_NFI[[#This Row],[Winter Clothes Adult]]+Table_NFI[[#This Row],[Winter Clothes Children]]+Table_NFI[[#This Row],[Winter Items Other]]+Table_NFI[[#This Row],[Winter Blanket]]&gt;0,1,0)</f>
        <v>0</v>
      </c>
      <c r="AQ19" s="542"/>
      <c r="AR19" s="542"/>
      <c r="AS19" s="542"/>
      <c r="AT19" s="205" t="str">
        <f>IFERROR(VLOOKUP(Table_NFI[[#This Row],[Location]],CL,2,0),"")</f>
        <v>MMR001CMP212</v>
      </c>
      <c r="AU19" s="183" t="s">
        <v>1239</v>
      </c>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row>
    <row r="20" spans="2:119" s="539" customFormat="1" ht="18.75" customHeight="1" x14ac:dyDescent="0.3">
      <c r="B20" s="540">
        <v>42758</v>
      </c>
      <c r="C20" s="540" t="str">
        <f>MONTH(Table_NFI[[#This Row],[Distribution Date]]) &amp; "/" &amp; YEAR(Table_NFI[[#This Row],[Distribution Date]])</f>
        <v>1/2017</v>
      </c>
      <c r="D20" s="197" t="s">
        <v>1383</v>
      </c>
      <c r="E20" s="197" t="s">
        <v>1383</v>
      </c>
      <c r="F20" s="198" t="s">
        <v>378</v>
      </c>
      <c r="G20" s="198" t="s">
        <v>309</v>
      </c>
      <c r="H20" s="198" t="s">
        <v>196</v>
      </c>
      <c r="I20" s="183"/>
      <c r="J20" s="541">
        <v>38</v>
      </c>
      <c r="K20" s="541"/>
      <c r="L20" s="541">
        <v>38</v>
      </c>
      <c r="M20" s="541">
        <v>342</v>
      </c>
      <c r="N20" s="541">
        <v>76</v>
      </c>
      <c r="O20" s="541"/>
      <c r="P20" s="541">
        <v>76</v>
      </c>
      <c r="Q20" s="541"/>
      <c r="R20" s="541"/>
      <c r="S20" s="541">
        <v>38</v>
      </c>
      <c r="T20" s="541">
        <v>76</v>
      </c>
      <c r="U20" s="541"/>
      <c r="V20" s="541"/>
      <c r="W20" s="541"/>
      <c r="X20" s="541"/>
      <c r="Y20" s="541">
        <v>38</v>
      </c>
      <c r="Z20" s="541"/>
      <c r="AA20" s="541"/>
      <c r="AB20" s="541"/>
      <c r="AC20" s="542"/>
      <c r="AD20" s="542"/>
      <c r="AE20" s="542"/>
      <c r="AF20" s="542"/>
      <c r="AG20" s="542"/>
      <c r="AH20" s="542"/>
      <c r="AI20" s="542"/>
      <c r="AJ20" s="542"/>
      <c r="AK20" s="542"/>
      <c r="AL20" s="542"/>
      <c r="AM20" s="542"/>
      <c r="AN20" s="542"/>
      <c r="AO20" s="542"/>
      <c r="AP20" s="542">
        <f>IF(Table_NFI[[#This Row],[Winter Clothes Adult]]+Table_NFI[[#This Row],[Winter Clothes Children]]+Table_NFI[[#This Row],[Winter Items Other]]+Table_NFI[[#This Row],[Winter Blanket]]&gt;0,1,0)</f>
        <v>0</v>
      </c>
      <c r="AQ20" s="542"/>
      <c r="AR20" s="542"/>
      <c r="AS20" s="542"/>
      <c r="AT20" s="205" t="str">
        <f>IFERROR(VLOOKUP(Table_NFI[[#This Row],[Location]],CL,2,0),"")</f>
        <v>MMR001CMP121</v>
      </c>
      <c r="AU20" s="199" t="s">
        <v>1258</v>
      </c>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row>
    <row r="21" spans="2:119" s="539" customFormat="1" ht="18.75" customHeight="1" x14ac:dyDescent="0.3">
      <c r="B21" s="540">
        <v>42758</v>
      </c>
      <c r="C21" s="540" t="str">
        <f>MONTH(Table_NFI[[#This Row],[Distribution Date]]) &amp; "/" &amp; YEAR(Table_NFI[[#This Row],[Distribution Date]])</f>
        <v>1/2017</v>
      </c>
      <c r="D21" s="198" t="s">
        <v>420</v>
      </c>
      <c r="E21" s="544" t="s">
        <v>1592</v>
      </c>
      <c r="F21" s="198" t="s">
        <v>378</v>
      </c>
      <c r="G21" s="198" t="s">
        <v>151</v>
      </c>
      <c r="H21" s="198" t="s">
        <v>801</v>
      </c>
      <c r="I21" s="183"/>
      <c r="J21" s="541"/>
      <c r="K21" s="541"/>
      <c r="L21" s="541">
        <v>24</v>
      </c>
      <c r="M21" s="541">
        <v>25</v>
      </c>
      <c r="N21" s="541">
        <v>45</v>
      </c>
      <c r="O21" s="541">
        <v>25</v>
      </c>
      <c r="P21" s="541">
        <v>45</v>
      </c>
      <c r="Q21" s="541">
        <v>25</v>
      </c>
      <c r="R21" s="541"/>
      <c r="S21" s="541">
        <v>25</v>
      </c>
      <c r="T21" s="541">
        <v>83</v>
      </c>
      <c r="U21" s="541"/>
      <c r="V21" s="541"/>
      <c r="W21" s="541"/>
      <c r="X21" s="541"/>
      <c r="Y21" s="541">
        <v>25</v>
      </c>
      <c r="Z21" s="541"/>
      <c r="AA21" s="541"/>
      <c r="AB21" s="541"/>
      <c r="AC21" s="542"/>
      <c r="AD21" s="542"/>
      <c r="AE21" s="542"/>
      <c r="AF21" s="542"/>
      <c r="AG21" s="542"/>
      <c r="AH21" s="542"/>
      <c r="AI21" s="542"/>
      <c r="AJ21" s="542"/>
      <c r="AK21" s="542"/>
      <c r="AL21" s="542"/>
      <c r="AM21" s="542"/>
      <c r="AN21" s="542"/>
      <c r="AO21" s="542"/>
      <c r="AP21" s="542">
        <f>IF(Table_NFI[[#This Row],[Winter Clothes Adult]]+Table_NFI[[#This Row],[Winter Clothes Children]]+Table_NFI[[#This Row],[Winter Items Other]]+Table_NFI[[#This Row],[Winter Blanket]]&gt;0,1,0)</f>
        <v>0</v>
      </c>
      <c r="AQ21" s="542"/>
      <c r="AR21" s="542"/>
      <c r="AS21" s="542"/>
      <c r="AT21" s="205" t="str">
        <f>IFERROR(VLOOKUP(Table_NFI[[#This Row],[Location]],CL,2,0),"")</f>
        <v>MMR001CMP213</v>
      </c>
      <c r="AU21" s="183" t="s">
        <v>1236</v>
      </c>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row>
    <row r="22" spans="2:119" s="539" customFormat="1" ht="18.75" customHeight="1" x14ac:dyDescent="0.3">
      <c r="B22" s="540">
        <v>42758</v>
      </c>
      <c r="C22" s="540" t="str">
        <f>MONTH(Table_NFI[[#This Row],[Distribution Date]]) &amp; "/" &amp; YEAR(Table_NFI[[#This Row],[Distribution Date]])</f>
        <v>1/2017</v>
      </c>
      <c r="D22" s="198" t="s">
        <v>420</v>
      </c>
      <c r="E22" s="544" t="s">
        <v>1592</v>
      </c>
      <c r="F22" s="198" t="s">
        <v>378</v>
      </c>
      <c r="G22" s="198" t="s">
        <v>151</v>
      </c>
      <c r="H22" s="198" t="s">
        <v>801</v>
      </c>
      <c r="I22" s="183"/>
      <c r="J22" s="541"/>
      <c r="K22" s="541"/>
      <c r="L22" s="541">
        <v>24</v>
      </c>
      <c r="M22" s="541">
        <v>25</v>
      </c>
      <c r="N22" s="541">
        <v>45</v>
      </c>
      <c r="O22" s="541">
        <v>25</v>
      </c>
      <c r="P22" s="541">
        <v>45</v>
      </c>
      <c r="Q22" s="541">
        <v>25</v>
      </c>
      <c r="R22" s="541"/>
      <c r="S22" s="541">
        <v>25</v>
      </c>
      <c r="T22" s="541">
        <v>83</v>
      </c>
      <c r="U22" s="541"/>
      <c r="V22" s="541"/>
      <c r="W22" s="541"/>
      <c r="X22" s="541"/>
      <c r="Y22" s="541"/>
      <c r="Z22" s="541"/>
      <c r="AA22" s="541"/>
      <c r="AB22" s="541"/>
      <c r="AC22" s="542"/>
      <c r="AD22" s="542"/>
      <c r="AE22" s="542"/>
      <c r="AF22" s="542"/>
      <c r="AG22" s="542"/>
      <c r="AH22" s="542"/>
      <c r="AI22" s="542"/>
      <c r="AJ22" s="542"/>
      <c r="AK22" s="542"/>
      <c r="AL22" s="542"/>
      <c r="AM22" s="542"/>
      <c r="AN22" s="542"/>
      <c r="AO22" s="542"/>
      <c r="AP22" s="542">
        <f>IF(Table_NFI[[#This Row],[Winter Clothes Adult]]+Table_NFI[[#This Row],[Winter Clothes Children]]+Table_NFI[[#This Row],[Winter Items Other]]+Table_NFI[[#This Row],[Winter Blanket]]&gt;0,1,0)</f>
        <v>0</v>
      </c>
      <c r="AQ22" s="542"/>
      <c r="AR22" s="542"/>
      <c r="AS22" s="542"/>
      <c r="AT22" s="205" t="str">
        <f>IFERROR(VLOOKUP(Table_NFI[[#This Row],[Location]],CL,2,0),"")</f>
        <v>MMR001CMP213</v>
      </c>
      <c r="AU22" s="183" t="s">
        <v>1236</v>
      </c>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row>
    <row r="23" spans="2:119" s="539" customFormat="1" ht="18.75" customHeight="1" x14ac:dyDescent="0.3">
      <c r="B23" s="540">
        <v>42761</v>
      </c>
      <c r="C23" s="540" t="str">
        <f>MONTH(Table_NFI[[#This Row],[Distribution Date]]) &amp; "/" &amp; YEAR(Table_NFI[[#This Row],[Distribution Date]])</f>
        <v>1/2017</v>
      </c>
      <c r="D23" s="198" t="s">
        <v>420</v>
      </c>
      <c r="E23" s="198" t="s">
        <v>424</v>
      </c>
      <c r="F23" s="198" t="s">
        <v>378</v>
      </c>
      <c r="G23" s="198" t="s">
        <v>309</v>
      </c>
      <c r="H23" s="198" t="s">
        <v>323</v>
      </c>
      <c r="I23" s="183"/>
      <c r="J23" s="541"/>
      <c r="K23" s="541"/>
      <c r="L23" s="541">
        <v>6</v>
      </c>
      <c r="M23" s="541">
        <v>6</v>
      </c>
      <c r="N23" s="541">
        <v>18</v>
      </c>
      <c r="O23" s="541">
        <v>6</v>
      </c>
      <c r="P23" s="541">
        <v>24</v>
      </c>
      <c r="Q23" s="541">
        <v>6</v>
      </c>
      <c r="R23" s="541"/>
      <c r="S23" s="541">
        <v>6</v>
      </c>
      <c r="T23" s="541">
        <v>24</v>
      </c>
      <c r="U23" s="541"/>
      <c r="V23" s="541"/>
      <c r="W23" s="541"/>
      <c r="X23" s="541"/>
      <c r="Y23" s="541">
        <v>6</v>
      </c>
      <c r="Z23" s="541"/>
      <c r="AA23" s="541"/>
      <c r="AB23" s="541">
        <v>6</v>
      </c>
      <c r="AC23" s="542"/>
      <c r="AD23" s="542"/>
      <c r="AE23" s="542"/>
      <c r="AF23" s="542"/>
      <c r="AG23" s="542"/>
      <c r="AH23" s="542"/>
      <c r="AI23" s="542"/>
      <c r="AJ23" s="542"/>
      <c r="AK23" s="542"/>
      <c r="AL23" s="542"/>
      <c r="AM23" s="542"/>
      <c r="AN23" s="542"/>
      <c r="AO23" s="542"/>
      <c r="AP23" s="542">
        <f>IF(Table_NFI[[#This Row],[Winter Clothes Adult]]+Table_NFI[[#This Row],[Winter Clothes Children]]+Table_NFI[[#This Row],[Winter Items Other]]+Table_NFI[[#This Row],[Winter Blanket]]&gt;0,1,0)</f>
        <v>0</v>
      </c>
      <c r="AQ23" s="542"/>
      <c r="AR23" s="542"/>
      <c r="AS23" s="542"/>
      <c r="AT23" s="205" t="str">
        <f>IFERROR(VLOOKUP(Table_NFI[[#This Row],[Location]],CL,2,0),"")</f>
        <v>MMR001CMP040</v>
      </c>
      <c r="AU23" s="183" t="s">
        <v>1239</v>
      </c>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row>
    <row r="24" spans="2:119" s="539" customFormat="1" ht="18.75" customHeight="1" x14ac:dyDescent="0.3">
      <c r="B24" s="540">
        <v>42763</v>
      </c>
      <c r="C24" s="540" t="str">
        <f>MONTH(Table_NFI[[#This Row],[Distribution Date]]) &amp; "/" &amp; YEAR(Table_NFI[[#This Row],[Distribution Date]])</f>
        <v>1/2017</v>
      </c>
      <c r="D24" s="198" t="s">
        <v>420</v>
      </c>
      <c r="E24" s="198" t="s">
        <v>1089</v>
      </c>
      <c r="F24" s="198" t="s">
        <v>378</v>
      </c>
      <c r="G24" s="198" t="s">
        <v>309</v>
      </c>
      <c r="H24" s="198" t="s">
        <v>329</v>
      </c>
      <c r="I24" s="183"/>
      <c r="J24" s="541"/>
      <c r="K24" s="541"/>
      <c r="L24" s="541"/>
      <c r="M24" s="541"/>
      <c r="N24" s="541"/>
      <c r="O24" s="541"/>
      <c r="P24" s="541"/>
      <c r="Q24" s="541"/>
      <c r="R24" s="541"/>
      <c r="S24" s="541"/>
      <c r="T24" s="541"/>
      <c r="U24" s="541"/>
      <c r="V24" s="541"/>
      <c r="W24" s="541"/>
      <c r="X24" s="541"/>
      <c r="Y24" s="541"/>
      <c r="Z24" s="541"/>
      <c r="AA24" s="541"/>
      <c r="AB24" s="541">
        <v>10</v>
      </c>
      <c r="AC24" s="542"/>
      <c r="AD24" s="542"/>
      <c r="AE24" s="542"/>
      <c r="AF24" s="542"/>
      <c r="AG24" s="542"/>
      <c r="AH24" s="542"/>
      <c r="AI24" s="542"/>
      <c r="AJ24" s="542"/>
      <c r="AK24" s="542"/>
      <c r="AL24" s="542"/>
      <c r="AM24" s="542"/>
      <c r="AN24" s="542"/>
      <c r="AO24" s="542"/>
      <c r="AP24" s="542">
        <f>IF(Table_NFI[[#This Row],[Winter Clothes Adult]]+Table_NFI[[#This Row],[Winter Clothes Children]]+Table_NFI[[#This Row],[Winter Items Other]]+Table_NFI[[#This Row],[Winter Blanket]]&gt;0,1,0)</f>
        <v>0</v>
      </c>
      <c r="AQ24" s="542"/>
      <c r="AR24" s="542"/>
      <c r="AS24" s="542"/>
      <c r="AT24" s="205" t="str">
        <f>IFERROR(VLOOKUP(Table_NFI[[#This Row],[Location]],CL,2,0),"")</f>
        <v>MMR001CMP029</v>
      </c>
      <c r="AU24" s="183" t="s">
        <v>1239</v>
      </c>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row>
    <row r="25" spans="2:119" s="539" customFormat="1" ht="18.75" customHeight="1" x14ac:dyDescent="0.3">
      <c r="B25" s="540">
        <v>42766</v>
      </c>
      <c r="C25" s="540" t="str">
        <f>MONTH(Table_NFI[[#This Row],[Distribution Date]]) &amp; "/" &amp; YEAR(Table_NFI[[#This Row],[Distribution Date]])</f>
        <v>1/2017</v>
      </c>
      <c r="D25" s="198" t="s">
        <v>420</v>
      </c>
      <c r="E25" s="198" t="s">
        <v>1089</v>
      </c>
      <c r="F25" s="198" t="s">
        <v>378</v>
      </c>
      <c r="G25" s="198" t="s">
        <v>237</v>
      </c>
      <c r="H25" s="198" t="s">
        <v>272</v>
      </c>
      <c r="I25" s="183"/>
      <c r="J25" s="541"/>
      <c r="K25" s="541"/>
      <c r="L25" s="541">
        <v>1</v>
      </c>
      <c r="M25" s="541">
        <v>1</v>
      </c>
      <c r="N25" s="541">
        <v>3</v>
      </c>
      <c r="O25" s="541">
        <v>1</v>
      </c>
      <c r="P25" s="541">
        <v>3</v>
      </c>
      <c r="Q25" s="541">
        <v>1</v>
      </c>
      <c r="R25" s="541"/>
      <c r="S25" s="541">
        <v>1</v>
      </c>
      <c r="T25" s="541">
        <v>3</v>
      </c>
      <c r="U25" s="541"/>
      <c r="V25" s="541"/>
      <c r="W25" s="541"/>
      <c r="X25" s="541"/>
      <c r="Y25" s="541">
        <v>1</v>
      </c>
      <c r="Z25" s="541"/>
      <c r="AA25" s="541"/>
      <c r="AB25" s="541"/>
      <c r="AC25" s="542"/>
      <c r="AD25" s="542"/>
      <c r="AE25" s="542"/>
      <c r="AF25" s="542"/>
      <c r="AG25" s="542"/>
      <c r="AH25" s="542"/>
      <c r="AI25" s="542"/>
      <c r="AJ25" s="542"/>
      <c r="AK25" s="542"/>
      <c r="AL25" s="542"/>
      <c r="AM25" s="542"/>
      <c r="AN25" s="542"/>
      <c r="AO25" s="542"/>
      <c r="AP25" s="542">
        <f>IF(Table_NFI[[#This Row],[Winter Clothes Adult]]+Table_NFI[[#This Row],[Winter Clothes Children]]+Table_NFI[[#This Row],[Winter Items Other]]+Table_NFI[[#This Row],[Winter Blanket]]&gt;0,1,0)</f>
        <v>0</v>
      </c>
      <c r="AQ25" s="542"/>
      <c r="AR25" s="542"/>
      <c r="AS25" s="542"/>
      <c r="AT25" s="205" t="str">
        <f>IFERROR(VLOOKUP(Table_NFI[[#This Row],[Location]],CL,2,0),"")</f>
        <v>MMR001CMP162</v>
      </c>
      <c r="AU25" s="183" t="s">
        <v>1237</v>
      </c>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row>
    <row r="26" spans="2:119" s="539" customFormat="1" ht="18.75" customHeight="1" x14ac:dyDescent="0.3">
      <c r="B26" s="540">
        <v>42766</v>
      </c>
      <c r="C26" s="540" t="str">
        <f>MONTH(Table_NFI[[#This Row],[Distribution Date]]) &amp; "/" &amp; YEAR(Table_NFI[[#This Row],[Distribution Date]])</f>
        <v>1/2017</v>
      </c>
      <c r="D26" s="198" t="s">
        <v>420</v>
      </c>
      <c r="E26" s="198" t="s">
        <v>1089</v>
      </c>
      <c r="F26" s="198" t="s">
        <v>378</v>
      </c>
      <c r="G26" s="198" t="s">
        <v>309</v>
      </c>
      <c r="H26" s="198" t="s">
        <v>329</v>
      </c>
      <c r="I26" s="183"/>
      <c r="J26" s="541"/>
      <c r="K26" s="541"/>
      <c r="L26" s="541">
        <v>22</v>
      </c>
      <c r="M26" s="541">
        <v>22</v>
      </c>
      <c r="N26" s="541">
        <v>76</v>
      </c>
      <c r="O26" s="541">
        <v>22</v>
      </c>
      <c r="P26" s="541">
        <v>76</v>
      </c>
      <c r="Q26" s="541">
        <v>22</v>
      </c>
      <c r="R26" s="541"/>
      <c r="S26" s="541">
        <v>22</v>
      </c>
      <c r="T26" s="541">
        <v>76</v>
      </c>
      <c r="U26" s="541"/>
      <c r="V26" s="541"/>
      <c r="W26" s="541"/>
      <c r="X26" s="541"/>
      <c r="Y26" s="541">
        <v>22</v>
      </c>
      <c r="Z26" s="541"/>
      <c r="AA26" s="541"/>
      <c r="AB26" s="541"/>
      <c r="AC26" s="542"/>
      <c r="AD26" s="542"/>
      <c r="AE26" s="542"/>
      <c r="AF26" s="542"/>
      <c r="AG26" s="542"/>
      <c r="AH26" s="542"/>
      <c r="AI26" s="542"/>
      <c r="AJ26" s="542"/>
      <c r="AK26" s="542"/>
      <c r="AL26" s="542"/>
      <c r="AM26" s="542"/>
      <c r="AN26" s="542"/>
      <c r="AO26" s="542"/>
      <c r="AP26" s="542">
        <f>IF(Table_NFI[[#This Row],[Winter Clothes Adult]]+Table_NFI[[#This Row],[Winter Clothes Children]]+Table_NFI[[#This Row],[Winter Items Other]]+Table_NFI[[#This Row],[Winter Blanket]]&gt;0,1,0)</f>
        <v>0</v>
      </c>
      <c r="AQ26" s="542"/>
      <c r="AR26" s="542"/>
      <c r="AS26" s="542"/>
      <c r="AT26" s="205" t="str">
        <f>IFERROR(VLOOKUP(Table_NFI[[#This Row],[Location]],CL,2,0),"")</f>
        <v>MMR001CMP029</v>
      </c>
      <c r="AU26" s="183" t="s">
        <v>1239</v>
      </c>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row>
    <row r="27" spans="2:119" s="539" customFormat="1" ht="18.75" customHeight="1" x14ac:dyDescent="0.3">
      <c r="B27" s="540">
        <v>42767</v>
      </c>
      <c r="C27" s="540" t="str">
        <f>MONTH(Table_NFI[[#This Row],[Distribution Date]]) &amp; "/" &amp; YEAR(Table_NFI[[#This Row],[Distribution Date]])</f>
        <v>2/2017</v>
      </c>
      <c r="D27" s="198" t="s">
        <v>420</v>
      </c>
      <c r="E27" s="198" t="s">
        <v>424</v>
      </c>
      <c r="F27" s="198" t="s">
        <v>378</v>
      </c>
      <c r="G27" s="198" t="s">
        <v>301</v>
      </c>
      <c r="H27" s="198" t="s">
        <v>305</v>
      </c>
      <c r="I27" s="183"/>
      <c r="J27" s="541"/>
      <c r="K27" s="541"/>
      <c r="L27" s="541"/>
      <c r="M27" s="541">
        <v>50</v>
      </c>
      <c r="N27" s="541"/>
      <c r="O27" s="541"/>
      <c r="P27" s="541"/>
      <c r="Q27" s="541"/>
      <c r="R27" s="541"/>
      <c r="S27" s="541"/>
      <c r="T27" s="541"/>
      <c r="U27" s="541"/>
      <c r="V27" s="541"/>
      <c r="W27" s="541"/>
      <c r="X27" s="541"/>
      <c r="Y27" s="541"/>
      <c r="Z27" s="541"/>
      <c r="AA27" s="541"/>
      <c r="AB27" s="541"/>
      <c r="AC27" s="542"/>
      <c r="AD27" s="542"/>
      <c r="AE27" s="542"/>
      <c r="AF27" s="542"/>
      <c r="AG27" s="542"/>
      <c r="AH27" s="542"/>
      <c r="AI27" s="542"/>
      <c r="AJ27" s="542"/>
      <c r="AK27" s="542"/>
      <c r="AL27" s="542"/>
      <c r="AM27" s="542"/>
      <c r="AN27" s="542"/>
      <c r="AO27" s="542"/>
      <c r="AP27" s="542">
        <f>IF(Table_NFI[[#This Row],[Winter Clothes Adult]]+Table_NFI[[#This Row],[Winter Clothes Children]]+Table_NFI[[#This Row],[Winter Items Other]]+Table_NFI[[#This Row],[Winter Blanket]]&gt;0,1,0)</f>
        <v>0</v>
      </c>
      <c r="AQ27" s="542"/>
      <c r="AR27" s="542"/>
      <c r="AS27" s="542"/>
      <c r="AT27" s="205" t="str">
        <f>IFERROR(VLOOKUP(Table_NFI[[#This Row],[Location]],CL,2,0),"")</f>
        <v>MMR001CMP067</v>
      </c>
      <c r="AU27" s="183" t="s">
        <v>1239</v>
      </c>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row>
    <row r="28" spans="2:119" s="539" customFormat="1" ht="18.75" customHeight="1" x14ac:dyDescent="0.3">
      <c r="B28" s="540">
        <v>42768</v>
      </c>
      <c r="C28" s="540" t="str">
        <f>MONTH(Table_NFI[[#This Row],[Distribution Date]]) &amp; "/" &amp; YEAR(Table_NFI[[#This Row],[Distribution Date]])</f>
        <v>2/2017</v>
      </c>
      <c r="D28" s="198" t="s">
        <v>420</v>
      </c>
      <c r="E28" s="544" t="s">
        <v>1592</v>
      </c>
      <c r="F28" s="198" t="s">
        <v>378</v>
      </c>
      <c r="G28" s="198" t="s">
        <v>151</v>
      </c>
      <c r="H28" s="198" t="s">
        <v>847</v>
      </c>
      <c r="I28" s="183"/>
      <c r="J28" s="541"/>
      <c r="K28" s="541"/>
      <c r="L28" s="541">
        <v>25</v>
      </c>
      <c r="M28" s="541">
        <v>25</v>
      </c>
      <c r="N28" s="541">
        <v>25</v>
      </c>
      <c r="O28" s="541">
        <v>25</v>
      </c>
      <c r="P28" s="541">
        <v>45</v>
      </c>
      <c r="Q28" s="541">
        <v>25</v>
      </c>
      <c r="R28" s="541"/>
      <c r="S28" s="541">
        <v>25</v>
      </c>
      <c r="T28" s="541">
        <v>83</v>
      </c>
      <c r="U28" s="541"/>
      <c r="V28" s="541"/>
      <c r="W28" s="541"/>
      <c r="X28" s="541"/>
      <c r="Y28" s="541">
        <v>25</v>
      </c>
      <c r="Z28" s="541"/>
      <c r="AA28" s="541"/>
      <c r="AB28" s="541"/>
      <c r="AC28" s="542"/>
      <c r="AD28" s="542"/>
      <c r="AE28" s="542"/>
      <c r="AF28" s="542"/>
      <c r="AG28" s="542"/>
      <c r="AH28" s="542"/>
      <c r="AI28" s="542"/>
      <c r="AJ28" s="542"/>
      <c r="AK28" s="542"/>
      <c r="AL28" s="542"/>
      <c r="AM28" s="542"/>
      <c r="AN28" s="542"/>
      <c r="AO28" s="542"/>
      <c r="AP28" s="542">
        <f>IF(Table_NFI[[#This Row],[Winter Clothes Adult]]+Table_NFI[[#This Row],[Winter Clothes Children]]+Table_NFI[[#This Row],[Winter Items Other]]+Table_NFI[[#This Row],[Winter Blanket]]&gt;0,1,0)</f>
        <v>0</v>
      </c>
      <c r="AQ28" s="542"/>
      <c r="AR28" s="542"/>
      <c r="AS28" s="542"/>
      <c r="AT28" s="205" t="str">
        <f>IFERROR(VLOOKUP(Table_NFI[[#This Row],[Location]],CL,2,0),"")</f>
        <v>MMR001CMP223</v>
      </c>
      <c r="AU28" s="183" t="s">
        <v>1239</v>
      </c>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row>
    <row r="29" spans="2:119" s="539" customFormat="1" ht="18.75" customHeight="1" x14ac:dyDescent="0.3">
      <c r="B29" s="540">
        <v>42775</v>
      </c>
      <c r="C29" s="540" t="str">
        <f>MONTH(Table_NFI[[#This Row],[Distribution Date]]) &amp; "/" &amp; YEAR(Table_NFI[[#This Row],[Distribution Date]])</f>
        <v>2/2017</v>
      </c>
      <c r="D29" s="198" t="s">
        <v>420</v>
      </c>
      <c r="E29" s="198" t="s">
        <v>424</v>
      </c>
      <c r="F29" s="198" t="s">
        <v>378</v>
      </c>
      <c r="G29" s="198" t="s">
        <v>309</v>
      </c>
      <c r="H29" s="198" t="s">
        <v>323</v>
      </c>
      <c r="I29" s="183"/>
      <c r="J29" s="541"/>
      <c r="K29" s="541"/>
      <c r="L29" s="541">
        <v>17</v>
      </c>
      <c r="M29" s="541">
        <v>17</v>
      </c>
      <c r="N29" s="541">
        <v>114</v>
      </c>
      <c r="O29" s="541">
        <v>17</v>
      </c>
      <c r="P29" s="541">
        <v>174</v>
      </c>
      <c r="Q29" s="541">
        <v>17</v>
      </c>
      <c r="R29" s="541"/>
      <c r="S29" s="541">
        <v>17</v>
      </c>
      <c r="T29" s="541">
        <v>188</v>
      </c>
      <c r="U29" s="541"/>
      <c r="V29" s="541"/>
      <c r="W29" s="541"/>
      <c r="X29" s="541"/>
      <c r="Y29" s="541">
        <v>17</v>
      </c>
      <c r="Z29" s="541"/>
      <c r="AA29" s="541"/>
      <c r="AB29" s="541">
        <v>49</v>
      </c>
      <c r="AC29" s="542"/>
      <c r="AD29" s="542"/>
      <c r="AE29" s="542"/>
      <c r="AF29" s="542"/>
      <c r="AG29" s="542"/>
      <c r="AH29" s="542"/>
      <c r="AI29" s="542"/>
      <c r="AJ29" s="542"/>
      <c r="AK29" s="542"/>
      <c r="AL29" s="542"/>
      <c r="AM29" s="542"/>
      <c r="AN29" s="542"/>
      <c r="AO29" s="542"/>
      <c r="AP29" s="542">
        <f>IF(Table_NFI[[#This Row],[Winter Clothes Adult]]+Table_NFI[[#This Row],[Winter Clothes Children]]+Table_NFI[[#This Row],[Winter Items Other]]+Table_NFI[[#This Row],[Winter Blanket]]&gt;0,1,0)</f>
        <v>0</v>
      </c>
      <c r="AQ29" s="542"/>
      <c r="AR29" s="542"/>
      <c r="AS29" s="542"/>
      <c r="AT29" s="205" t="str">
        <f>IFERROR(VLOOKUP(Table_NFI[[#This Row],[Location]],CL,2,0),"")</f>
        <v>MMR001CMP040</v>
      </c>
      <c r="AU29" s="183" t="s">
        <v>1239</v>
      </c>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row>
    <row r="30" spans="2:119" s="539" customFormat="1" ht="18.75" customHeight="1" x14ac:dyDescent="0.3">
      <c r="B30" s="540">
        <v>42776</v>
      </c>
      <c r="C30" s="540" t="str">
        <f>MONTH(Table_NFI[[#This Row],[Distribution Date]]) &amp; "/" &amp; YEAR(Table_NFI[[#This Row],[Distribution Date]])</f>
        <v>2/2017</v>
      </c>
      <c r="D30" s="198" t="s">
        <v>420</v>
      </c>
      <c r="E30" s="198" t="s">
        <v>424</v>
      </c>
      <c r="F30" s="198" t="s">
        <v>378</v>
      </c>
      <c r="G30" s="198" t="s">
        <v>237</v>
      </c>
      <c r="H30" s="198" t="s">
        <v>278</v>
      </c>
      <c r="I30" s="183"/>
      <c r="J30" s="541"/>
      <c r="K30" s="541"/>
      <c r="L30" s="541">
        <v>4</v>
      </c>
      <c r="M30" s="541">
        <v>4</v>
      </c>
      <c r="N30" s="541">
        <v>10</v>
      </c>
      <c r="O30" s="541">
        <v>4</v>
      </c>
      <c r="P30" s="541">
        <v>14</v>
      </c>
      <c r="Q30" s="541">
        <v>4</v>
      </c>
      <c r="R30" s="541"/>
      <c r="S30" s="541">
        <v>4</v>
      </c>
      <c r="T30" s="541">
        <v>14</v>
      </c>
      <c r="U30" s="541"/>
      <c r="V30" s="541"/>
      <c r="W30" s="541"/>
      <c r="X30" s="541"/>
      <c r="Y30" s="541">
        <v>4</v>
      </c>
      <c r="Z30" s="541"/>
      <c r="AA30" s="541"/>
      <c r="AB30" s="541"/>
      <c r="AC30" s="542"/>
      <c r="AD30" s="542"/>
      <c r="AE30" s="542"/>
      <c r="AF30" s="542"/>
      <c r="AG30" s="542"/>
      <c r="AH30" s="542"/>
      <c r="AI30" s="542"/>
      <c r="AJ30" s="542"/>
      <c r="AK30" s="542"/>
      <c r="AL30" s="542"/>
      <c r="AM30" s="542"/>
      <c r="AN30" s="542"/>
      <c r="AO30" s="542"/>
      <c r="AP30" s="542">
        <f>IF(Table_NFI[[#This Row],[Winter Clothes Adult]]+Table_NFI[[#This Row],[Winter Clothes Children]]+Table_NFI[[#This Row],[Winter Items Other]]+Table_NFI[[#This Row],[Winter Blanket]]&gt;0,1,0)</f>
        <v>0</v>
      </c>
      <c r="AQ30" s="542"/>
      <c r="AR30" s="542"/>
      <c r="AS30" s="542"/>
      <c r="AT30" s="205" t="str">
        <f>IFERROR(VLOOKUP(Table_NFI[[#This Row],[Location]],CL,2,0),"")</f>
        <v>MMR001CMP007</v>
      </c>
      <c r="AU30" s="183" t="s">
        <v>1239</v>
      </c>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row>
    <row r="31" spans="2:119" s="539" customFormat="1" ht="18.75" customHeight="1" x14ac:dyDescent="0.3">
      <c r="B31" s="540">
        <v>42776</v>
      </c>
      <c r="C31" s="540" t="str">
        <f>MONTH(Table_NFI[[#This Row],[Distribution Date]]) &amp; "/" &amp; YEAR(Table_NFI[[#This Row],[Distribution Date]])</f>
        <v>2/2017</v>
      </c>
      <c r="D31" s="198" t="s">
        <v>420</v>
      </c>
      <c r="E31" s="198" t="s">
        <v>424</v>
      </c>
      <c r="F31" s="198" t="s">
        <v>378</v>
      </c>
      <c r="G31" s="198" t="s">
        <v>237</v>
      </c>
      <c r="H31" s="198" t="s">
        <v>268</v>
      </c>
      <c r="I31" s="183"/>
      <c r="J31" s="541"/>
      <c r="K31" s="541"/>
      <c r="L31" s="541">
        <v>4</v>
      </c>
      <c r="M31" s="541">
        <v>4</v>
      </c>
      <c r="N31" s="541">
        <v>8</v>
      </c>
      <c r="O31" s="541">
        <v>4</v>
      </c>
      <c r="P31" s="541">
        <v>11</v>
      </c>
      <c r="Q31" s="541">
        <v>4</v>
      </c>
      <c r="R31" s="541"/>
      <c r="S31" s="541">
        <v>4</v>
      </c>
      <c r="T31" s="541">
        <v>11</v>
      </c>
      <c r="U31" s="541"/>
      <c r="V31" s="541"/>
      <c r="W31" s="541"/>
      <c r="X31" s="541"/>
      <c r="Y31" s="541">
        <v>4</v>
      </c>
      <c r="Z31" s="541"/>
      <c r="AA31" s="541"/>
      <c r="AB31" s="541"/>
      <c r="AC31" s="542"/>
      <c r="AD31" s="542"/>
      <c r="AE31" s="542"/>
      <c r="AF31" s="542"/>
      <c r="AG31" s="542"/>
      <c r="AH31" s="542"/>
      <c r="AI31" s="542"/>
      <c r="AJ31" s="542"/>
      <c r="AK31" s="542"/>
      <c r="AL31" s="542"/>
      <c r="AM31" s="542"/>
      <c r="AN31" s="542"/>
      <c r="AO31" s="542"/>
      <c r="AP31" s="542">
        <f>IF(Table_NFI[[#This Row],[Winter Clothes Adult]]+Table_NFI[[#This Row],[Winter Clothes Children]]+Table_NFI[[#This Row],[Winter Items Other]]+Table_NFI[[#This Row],[Winter Blanket]]&gt;0,1,0)</f>
        <v>0</v>
      </c>
      <c r="AQ31" s="542"/>
      <c r="AR31" s="542"/>
      <c r="AS31" s="542"/>
      <c r="AT31" s="205" t="str">
        <f>IFERROR(VLOOKUP(Table_NFI[[#This Row],[Location]],CL,2,0),"")</f>
        <v>MMR001CMP002</v>
      </c>
      <c r="AU31" s="183" t="s">
        <v>1239</v>
      </c>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row>
    <row r="32" spans="2:119" s="539" customFormat="1" ht="18.75" customHeight="1" x14ac:dyDescent="0.3">
      <c r="B32" s="540">
        <v>42776</v>
      </c>
      <c r="C32" s="540" t="str">
        <f>MONTH(Table_NFI[[#This Row],[Distribution Date]]) &amp; "/" &amp; YEAR(Table_NFI[[#This Row],[Distribution Date]])</f>
        <v>2/2017</v>
      </c>
      <c r="D32" s="198" t="s">
        <v>420</v>
      </c>
      <c r="E32" s="198" t="s">
        <v>424</v>
      </c>
      <c r="F32" s="198" t="s">
        <v>378</v>
      </c>
      <c r="G32" s="198" t="s">
        <v>237</v>
      </c>
      <c r="H32" s="198" t="s">
        <v>250</v>
      </c>
      <c r="I32" s="183"/>
      <c r="J32" s="541"/>
      <c r="K32" s="541"/>
      <c r="L32" s="541">
        <v>1</v>
      </c>
      <c r="M32" s="541">
        <v>1</v>
      </c>
      <c r="N32" s="541">
        <v>2</v>
      </c>
      <c r="O32" s="541">
        <v>1</v>
      </c>
      <c r="P32" s="541">
        <v>3</v>
      </c>
      <c r="Q32" s="541">
        <v>1</v>
      </c>
      <c r="R32" s="541"/>
      <c r="S32" s="541">
        <v>1</v>
      </c>
      <c r="T32" s="541">
        <v>3</v>
      </c>
      <c r="U32" s="541"/>
      <c r="V32" s="541"/>
      <c r="W32" s="541"/>
      <c r="X32" s="541"/>
      <c r="Y32" s="541">
        <v>1</v>
      </c>
      <c r="Z32" s="541"/>
      <c r="AA32" s="541"/>
      <c r="AB32" s="541"/>
      <c r="AC32" s="542"/>
      <c r="AD32" s="542"/>
      <c r="AE32" s="542"/>
      <c r="AF32" s="542"/>
      <c r="AG32" s="542"/>
      <c r="AH32" s="542"/>
      <c r="AI32" s="542"/>
      <c r="AJ32" s="542"/>
      <c r="AK32" s="542"/>
      <c r="AL32" s="542"/>
      <c r="AM32" s="542"/>
      <c r="AN32" s="542"/>
      <c r="AO32" s="542"/>
      <c r="AP32" s="542">
        <f>IF(Table_NFI[[#This Row],[Winter Clothes Adult]]+Table_NFI[[#This Row],[Winter Clothes Children]]+Table_NFI[[#This Row],[Winter Items Other]]+Table_NFI[[#This Row],[Winter Blanket]]&gt;0,1,0)</f>
        <v>0</v>
      </c>
      <c r="AQ32" s="542"/>
      <c r="AR32" s="542"/>
      <c r="AS32" s="542"/>
      <c r="AT32" s="205" t="str">
        <f>IFERROR(VLOOKUP(Table_NFI[[#This Row],[Location]],CL,2,0),"")</f>
        <v>MMR001CMP003</v>
      </c>
      <c r="AU32" s="183" t="s">
        <v>1239</v>
      </c>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row>
    <row r="33" spans="2:119" s="539" customFormat="1" ht="18.75" customHeight="1" x14ac:dyDescent="0.3">
      <c r="B33" s="540">
        <v>42776</v>
      </c>
      <c r="C33" s="540" t="str">
        <f>MONTH(Table_NFI[[#This Row],[Distribution Date]]) &amp; "/" &amp; YEAR(Table_NFI[[#This Row],[Distribution Date]])</f>
        <v>2/2017</v>
      </c>
      <c r="D33" s="198" t="s">
        <v>420</v>
      </c>
      <c r="E33" s="198" t="s">
        <v>424</v>
      </c>
      <c r="F33" s="198" t="s">
        <v>378</v>
      </c>
      <c r="G33" s="198" t="s">
        <v>237</v>
      </c>
      <c r="H33" s="198" t="s">
        <v>274</v>
      </c>
      <c r="I33" s="183"/>
      <c r="J33" s="541"/>
      <c r="K33" s="541"/>
      <c r="L33" s="541">
        <v>1</v>
      </c>
      <c r="M33" s="541">
        <v>1</v>
      </c>
      <c r="N33" s="541">
        <v>3</v>
      </c>
      <c r="O33" s="541">
        <v>1</v>
      </c>
      <c r="P33" s="541">
        <v>4</v>
      </c>
      <c r="Q33" s="541">
        <v>1</v>
      </c>
      <c r="R33" s="541"/>
      <c r="S33" s="541">
        <v>1</v>
      </c>
      <c r="T33" s="541">
        <v>4</v>
      </c>
      <c r="U33" s="541"/>
      <c r="V33" s="541"/>
      <c r="W33" s="541"/>
      <c r="X33" s="541"/>
      <c r="Y33" s="541">
        <v>1</v>
      </c>
      <c r="Z33" s="541"/>
      <c r="AA33" s="541"/>
      <c r="AB33" s="541"/>
      <c r="AC33" s="542"/>
      <c r="AD33" s="542"/>
      <c r="AE33" s="542"/>
      <c r="AF33" s="542"/>
      <c r="AG33" s="542"/>
      <c r="AH33" s="542"/>
      <c r="AI33" s="542"/>
      <c r="AJ33" s="542"/>
      <c r="AK33" s="542"/>
      <c r="AL33" s="542"/>
      <c r="AM33" s="542"/>
      <c r="AN33" s="542"/>
      <c r="AO33" s="542"/>
      <c r="AP33" s="542">
        <f>IF(Table_NFI[[#This Row],[Winter Clothes Adult]]+Table_NFI[[#This Row],[Winter Clothes Children]]+Table_NFI[[#This Row],[Winter Items Other]]+Table_NFI[[#This Row],[Winter Blanket]]&gt;0,1,0)</f>
        <v>0</v>
      </c>
      <c r="AQ33" s="542"/>
      <c r="AR33" s="542"/>
      <c r="AS33" s="542"/>
      <c r="AT33" s="205" t="str">
        <f>IFERROR(VLOOKUP(Table_NFI[[#This Row],[Location]],CL,2,0),"")</f>
        <v>MMR001CMP005</v>
      </c>
      <c r="AU33" s="183" t="s">
        <v>1239</v>
      </c>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row>
    <row r="34" spans="2:119" s="539" customFormat="1" ht="18.75" customHeight="1" x14ac:dyDescent="0.3">
      <c r="B34" s="540">
        <v>42776</v>
      </c>
      <c r="C34" s="540" t="str">
        <f>MONTH(Table_NFI[[#This Row],[Distribution Date]]) &amp; "/" &amp; YEAR(Table_NFI[[#This Row],[Distribution Date]])</f>
        <v>2/2017</v>
      </c>
      <c r="D34" s="198" t="s">
        <v>420</v>
      </c>
      <c r="E34" s="198" t="s">
        <v>462</v>
      </c>
      <c r="F34" s="198" t="s">
        <v>378</v>
      </c>
      <c r="G34" s="198" t="s">
        <v>5</v>
      </c>
      <c r="H34" s="198" t="s">
        <v>8</v>
      </c>
      <c r="I34" s="183"/>
      <c r="J34" s="541"/>
      <c r="K34" s="541"/>
      <c r="L34" s="541"/>
      <c r="M34" s="541"/>
      <c r="N34" s="541"/>
      <c r="O34" s="541">
        <v>8</v>
      </c>
      <c r="P34" s="541"/>
      <c r="Q34" s="541"/>
      <c r="R34" s="541"/>
      <c r="S34" s="541"/>
      <c r="T34" s="541"/>
      <c r="U34" s="541"/>
      <c r="V34" s="541"/>
      <c r="W34" s="541"/>
      <c r="X34" s="541"/>
      <c r="Y34" s="541"/>
      <c r="Z34" s="541"/>
      <c r="AA34" s="541"/>
      <c r="AB34" s="541"/>
      <c r="AC34" s="542"/>
      <c r="AD34" s="542"/>
      <c r="AE34" s="542"/>
      <c r="AF34" s="542"/>
      <c r="AG34" s="542"/>
      <c r="AH34" s="542"/>
      <c r="AI34" s="542"/>
      <c r="AJ34" s="542"/>
      <c r="AK34" s="542"/>
      <c r="AL34" s="542"/>
      <c r="AM34" s="542"/>
      <c r="AN34" s="542"/>
      <c r="AO34" s="542"/>
      <c r="AP34" s="542">
        <f>IF(Table_NFI[[#This Row],[Winter Clothes Adult]]+Table_NFI[[#This Row],[Winter Clothes Children]]+Table_NFI[[#This Row],[Winter Items Other]]+Table_NFI[[#This Row],[Winter Blanket]]&gt;0,1,0)</f>
        <v>0</v>
      </c>
      <c r="AQ34" s="542"/>
      <c r="AR34" s="542"/>
      <c r="AS34" s="542"/>
      <c r="AT34" s="205" t="str">
        <f>IFERROR(VLOOKUP(Table_NFI[[#This Row],[Location]],CL,2,0),"")</f>
        <v>MMR001CMP051</v>
      </c>
      <c r="AU34" s="183" t="s">
        <v>1239</v>
      </c>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row>
    <row r="35" spans="2:119" s="539" customFormat="1" ht="18.75" customHeight="1" x14ac:dyDescent="0.3">
      <c r="B35" s="540">
        <v>42779</v>
      </c>
      <c r="C35" s="540" t="str">
        <f>MONTH(Table_NFI[[#This Row],[Distribution Date]]) &amp; "/" &amp; YEAR(Table_NFI[[#This Row],[Distribution Date]])</f>
        <v>2/2017</v>
      </c>
      <c r="D35" s="198" t="s">
        <v>420</v>
      </c>
      <c r="E35" s="198" t="s">
        <v>424</v>
      </c>
      <c r="F35" s="198" t="s">
        <v>378</v>
      </c>
      <c r="G35" s="198" t="s">
        <v>237</v>
      </c>
      <c r="H35" s="198" t="s">
        <v>240</v>
      </c>
      <c r="I35" s="183"/>
      <c r="J35" s="541"/>
      <c r="K35" s="541"/>
      <c r="L35" s="541">
        <v>3</v>
      </c>
      <c r="M35" s="541">
        <v>3</v>
      </c>
      <c r="N35" s="541">
        <v>5</v>
      </c>
      <c r="O35" s="541">
        <v>3</v>
      </c>
      <c r="P35" s="541">
        <v>8</v>
      </c>
      <c r="Q35" s="541">
        <v>3</v>
      </c>
      <c r="R35" s="541"/>
      <c r="S35" s="541">
        <v>3</v>
      </c>
      <c r="T35" s="541">
        <v>8</v>
      </c>
      <c r="U35" s="541"/>
      <c r="V35" s="541"/>
      <c r="W35" s="541"/>
      <c r="X35" s="541"/>
      <c r="Y35" s="541">
        <v>3</v>
      </c>
      <c r="Z35" s="541"/>
      <c r="AA35" s="541"/>
      <c r="AB35" s="541"/>
      <c r="AC35" s="542"/>
      <c r="AD35" s="542"/>
      <c r="AE35" s="542"/>
      <c r="AF35" s="542"/>
      <c r="AG35" s="542"/>
      <c r="AH35" s="542"/>
      <c r="AI35" s="542"/>
      <c r="AJ35" s="542"/>
      <c r="AK35" s="542"/>
      <c r="AL35" s="542"/>
      <c r="AM35" s="542"/>
      <c r="AN35" s="542"/>
      <c r="AO35" s="542"/>
      <c r="AP35" s="542">
        <f>IF(Table_NFI[[#This Row],[Winter Clothes Adult]]+Table_NFI[[#This Row],[Winter Clothes Children]]+Table_NFI[[#This Row],[Winter Items Other]]+Table_NFI[[#This Row],[Winter Blanket]]&gt;0,1,0)</f>
        <v>0</v>
      </c>
      <c r="AQ35" s="542"/>
      <c r="AR35" s="542"/>
      <c r="AS35" s="542"/>
      <c r="AT35" s="205" t="str">
        <f>IFERROR(VLOOKUP(Table_NFI[[#This Row],[Location]],CL,2,0),"")</f>
        <v>MMR001CMP015</v>
      </c>
      <c r="AU35" s="183" t="s">
        <v>1239</v>
      </c>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row>
    <row r="36" spans="2:119" s="539" customFormat="1" ht="18.75" customHeight="1" x14ac:dyDescent="0.3">
      <c r="B36" s="540">
        <v>42779</v>
      </c>
      <c r="C36" s="540" t="str">
        <f>MONTH(Table_NFI[[#This Row],[Distribution Date]]) &amp; "/" &amp; YEAR(Table_NFI[[#This Row],[Distribution Date]])</f>
        <v>2/2017</v>
      </c>
      <c r="D36" s="198" t="s">
        <v>420</v>
      </c>
      <c r="E36" s="198" t="s">
        <v>424</v>
      </c>
      <c r="F36" s="198" t="s">
        <v>378</v>
      </c>
      <c r="G36" s="198" t="s">
        <v>237</v>
      </c>
      <c r="H36" s="198" t="s">
        <v>252</v>
      </c>
      <c r="I36" s="183"/>
      <c r="J36" s="541"/>
      <c r="K36" s="541"/>
      <c r="L36" s="541">
        <v>1</v>
      </c>
      <c r="M36" s="541">
        <v>1</v>
      </c>
      <c r="N36" s="541">
        <v>2</v>
      </c>
      <c r="O36" s="541">
        <v>1</v>
      </c>
      <c r="P36" s="541">
        <v>3</v>
      </c>
      <c r="Q36" s="541">
        <v>1</v>
      </c>
      <c r="R36" s="541"/>
      <c r="S36" s="541">
        <v>1</v>
      </c>
      <c r="T36" s="541">
        <v>3</v>
      </c>
      <c r="U36" s="541"/>
      <c r="V36" s="541"/>
      <c r="W36" s="541"/>
      <c r="X36" s="541"/>
      <c r="Y36" s="541">
        <v>1</v>
      </c>
      <c r="Z36" s="541"/>
      <c r="AA36" s="541"/>
      <c r="AB36" s="541"/>
      <c r="AC36" s="542"/>
      <c r="AD36" s="542"/>
      <c r="AE36" s="542"/>
      <c r="AF36" s="542"/>
      <c r="AG36" s="542"/>
      <c r="AH36" s="542"/>
      <c r="AI36" s="542"/>
      <c r="AJ36" s="542"/>
      <c r="AK36" s="542"/>
      <c r="AL36" s="542"/>
      <c r="AM36" s="542"/>
      <c r="AN36" s="542"/>
      <c r="AO36" s="542"/>
      <c r="AP36" s="542">
        <f>IF(Table_NFI[[#This Row],[Winter Clothes Adult]]+Table_NFI[[#This Row],[Winter Clothes Children]]+Table_NFI[[#This Row],[Winter Items Other]]+Table_NFI[[#This Row],[Winter Blanket]]&gt;0,1,0)</f>
        <v>0</v>
      </c>
      <c r="AQ36" s="542"/>
      <c r="AR36" s="542"/>
      <c r="AS36" s="542"/>
      <c r="AT36" s="205" t="str">
        <f>IFERROR(VLOOKUP(Table_NFI[[#This Row],[Location]],CL,2,0),"")</f>
        <v>MMR001CMP018</v>
      </c>
      <c r="AU36" s="183" t="s">
        <v>1239</v>
      </c>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row>
    <row r="37" spans="2:119" s="539" customFormat="1" ht="18.75" customHeight="1" x14ac:dyDescent="0.3">
      <c r="B37" s="540">
        <v>42779</v>
      </c>
      <c r="C37" s="540" t="str">
        <f>MONTH(Table_NFI[[#This Row],[Distribution Date]]) &amp; "/" &amp; YEAR(Table_NFI[[#This Row],[Distribution Date]])</f>
        <v>2/2017</v>
      </c>
      <c r="D37" s="198" t="s">
        <v>420</v>
      </c>
      <c r="E37" s="198" t="s">
        <v>424</v>
      </c>
      <c r="F37" s="198" t="s">
        <v>378</v>
      </c>
      <c r="G37" s="198" t="s">
        <v>237</v>
      </c>
      <c r="H37" s="198" t="s">
        <v>256</v>
      </c>
      <c r="I37" s="183"/>
      <c r="J37" s="541"/>
      <c r="K37" s="541"/>
      <c r="L37" s="541">
        <v>3</v>
      </c>
      <c r="M37" s="541">
        <v>3</v>
      </c>
      <c r="N37" s="541">
        <v>9</v>
      </c>
      <c r="O37" s="541">
        <v>3</v>
      </c>
      <c r="P37" s="541">
        <v>17</v>
      </c>
      <c r="Q37" s="541">
        <v>3</v>
      </c>
      <c r="R37" s="541"/>
      <c r="S37" s="541">
        <v>3</v>
      </c>
      <c r="T37" s="541">
        <v>17</v>
      </c>
      <c r="U37" s="541"/>
      <c r="V37" s="541"/>
      <c r="W37" s="541"/>
      <c r="X37" s="541"/>
      <c r="Y37" s="541">
        <v>3</v>
      </c>
      <c r="Z37" s="541"/>
      <c r="AA37" s="541"/>
      <c r="AB37" s="541"/>
      <c r="AC37" s="542"/>
      <c r="AD37" s="542"/>
      <c r="AE37" s="542"/>
      <c r="AF37" s="542"/>
      <c r="AG37" s="542"/>
      <c r="AH37" s="542"/>
      <c r="AI37" s="542"/>
      <c r="AJ37" s="542"/>
      <c r="AK37" s="542"/>
      <c r="AL37" s="542"/>
      <c r="AM37" s="542"/>
      <c r="AN37" s="542"/>
      <c r="AO37" s="542"/>
      <c r="AP37" s="542">
        <f>IF(Table_NFI[[#This Row],[Winter Clothes Adult]]+Table_NFI[[#This Row],[Winter Clothes Children]]+Table_NFI[[#This Row],[Winter Items Other]]+Table_NFI[[#This Row],[Winter Blanket]]&gt;0,1,0)</f>
        <v>0</v>
      </c>
      <c r="AQ37" s="542"/>
      <c r="AR37" s="542"/>
      <c r="AS37" s="542"/>
      <c r="AT37" s="205" t="str">
        <f>IFERROR(VLOOKUP(Table_NFI[[#This Row],[Location]],CL,2,0),"")</f>
        <v>MMR001CMP013</v>
      </c>
      <c r="AU37" s="183" t="s">
        <v>1239</v>
      </c>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row>
    <row r="38" spans="2:119" s="539" customFormat="1" ht="18.75" customHeight="1" x14ac:dyDescent="0.3">
      <c r="B38" s="540">
        <v>42779</v>
      </c>
      <c r="C38" s="540" t="str">
        <f>MONTH(Table_NFI[[#This Row],[Distribution Date]]) &amp; "/" &amp; YEAR(Table_NFI[[#This Row],[Distribution Date]])</f>
        <v>2/2017</v>
      </c>
      <c r="D38" s="198" t="s">
        <v>420</v>
      </c>
      <c r="E38" s="198" t="s">
        <v>424</v>
      </c>
      <c r="F38" s="198" t="s">
        <v>378</v>
      </c>
      <c r="G38" s="198" t="s">
        <v>237</v>
      </c>
      <c r="H38" s="198" t="s">
        <v>260</v>
      </c>
      <c r="I38" s="183"/>
      <c r="J38" s="541"/>
      <c r="K38" s="541"/>
      <c r="L38" s="541">
        <v>1</v>
      </c>
      <c r="M38" s="541">
        <v>1</v>
      </c>
      <c r="N38" s="541">
        <v>2</v>
      </c>
      <c r="O38" s="541">
        <v>1</v>
      </c>
      <c r="P38" s="541">
        <v>3</v>
      </c>
      <c r="Q38" s="541">
        <v>1</v>
      </c>
      <c r="R38" s="541"/>
      <c r="S38" s="541">
        <v>1</v>
      </c>
      <c r="T38" s="541">
        <v>3</v>
      </c>
      <c r="U38" s="541"/>
      <c r="V38" s="541"/>
      <c r="W38" s="541"/>
      <c r="X38" s="541"/>
      <c r="Y38" s="541">
        <v>1</v>
      </c>
      <c r="Z38" s="541"/>
      <c r="AA38" s="541"/>
      <c r="AB38" s="541"/>
      <c r="AC38" s="542"/>
      <c r="AD38" s="542"/>
      <c r="AE38" s="542"/>
      <c r="AF38" s="542"/>
      <c r="AG38" s="542"/>
      <c r="AH38" s="542"/>
      <c r="AI38" s="542"/>
      <c r="AJ38" s="542"/>
      <c r="AK38" s="542"/>
      <c r="AL38" s="542"/>
      <c r="AM38" s="542"/>
      <c r="AN38" s="542"/>
      <c r="AO38" s="542"/>
      <c r="AP38" s="542">
        <f>IF(Table_NFI[[#This Row],[Winter Clothes Adult]]+Table_NFI[[#This Row],[Winter Clothes Children]]+Table_NFI[[#This Row],[Winter Items Other]]+Table_NFI[[#This Row],[Winter Blanket]]&gt;0,1,0)</f>
        <v>0</v>
      </c>
      <c r="AQ38" s="542"/>
      <c r="AR38" s="542"/>
      <c r="AS38" s="542"/>
      <c r="AT38" s="205" t="str">
        <f>IFERROR(VLOOKUP(Table_NFI[[#This Row],[Location]],CL,2,0),"")</f>
        <v>MMR001CMP008</v>
      </c>
      <c r="AU38" s="183" t="s">
        <v>1239</v>
      </c>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row>
    <row r="39" spans="2:119" s="539" customFormat="1" ht="18.75" customHeight="1" x14ac:dyDescent="0.3">
      <c r="B39" s="540">
        <v>42779</v>
      </c>
      <c r="C39" s="540" t="str">
        <f>MONTH(Table_NFI[[#This Row],[Distribution Date]]) &amp; "/" &amp; YEAR(Table_NFI[[#This Row],[Distribution Date]])</f>
        <v>2/2017</v>
      </c>
      <c r="D39" s="198" t="s">
        <v>420</v>
      </c>
      <c r="E39" s="198" t="s">
        <v>424</v>
      </c>
      <c r="F39" s="198" t="s">
        <v>378</v>
      </c>
      <c r="G39" s="198" t="s">
        <v>237</v>
      </c>
      <c r="H39" s="198" t="s">
        <v>258</v>
      </c>
      <c r="I39" s="183"/>
      <c r="J39" s="541"/>
      <c r="K39" s="541"/>
      <c r="L39" s="541">
        <v>1</v>
      </c>
      <c r="M39" s="541">
        <v>1</v>
      </c>
      <c r="N39" s="541">
        <v>2</v>
      </c>
      <c r="O39" s="541">
        <v>1</v>
      </c>
      <c r="P39" s="541">
        <v>3</v>
      </c>
      <c r="Q39" s="541">
        <v>1</v>
      </c>
      <c r="R39" s="541"/>
      <c r="S39" s="541">
        <v>1</v>
      </c>
      <c r="T39" s="541">
        <v>3</v>
      </c>
      <c r="U39" s="541"/>
      <c r="V39" s="541"/>
      <c r="W39" s="541"/>
      <c r="X39" s="541"/>
      <c r="Y39" s="541">
        <v>1</v>
      </c>
      <c r="Z39" s="541"/>
      <c r="AA39" s="541"/>
      <c r="AB39" s="541"/>
      <c r="AC39" s="542"/>
      <c r="AD39" s="542"/>
      <c r="AE39" s="542"/>
      <c r="AF39" s="542"/>
      <c r="AG39" s="542"/>
      <c r="AH39" s="542"/>
      <c r="AI39" s="542"/>
      <c r="AJ39" s="542"/>
      <c r="AK39" s="542"/>
      <c r="AL39" s="542"/>
      <c r="AM39" s="542"/>
      <c r="AN39" s="542"/>
      <c r="AO39" s="542"/>
      <c r="AP39" s="542">
        <f>IF(Table_NFI[[#This Row],[Winter Clothes Adult]]+Table_NFI[[#This Row],[Winter Clothes Children]]+Table_NFI[[#This Row],[Winter Items Other]]+Table_NFI[[#This Row],[Winter Blanket]]&gt;0,1,0)</f>
        <v>0</v>
      </c>
      <c r="AQ39" s="542"/>
      <c r="AR39" s="542"/>
      <c r="AS39" s="542"/>
      <c r="AT39" s="205" t="str">
        <f>IFERROR(VLOOKUP(Table_NFI[[#This Row],[Location]],CL,2,0),"")</f>
        <v>MMR001CMP016</v>
      </c>
      <c r="AU39" s="183" t="s">
        <v>1239</v>
      </c>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row>
    <row r="40" spans="2:119" s="539" customFormat="1" ht="18.75" customHeight="1" x14ac:dyDescent="0.3">
      <c r="B40" s="540">
        <v>42780</v>
      </c>
      <c r="C40" s="540" t="str">
        <f>MONTH(Table_NFI[[#This Row],[Distribution Date]]) &amp; "/" &amp; YEAR(Table_NFI[[#This Row],[Distribution Date]])</f>
        <v>2/2017</v>
      </c>
      <c r="D40" s="198" t="s">
        <v>420</v>
      </c>
      <c r="E40" s="198" t="s">
        <v>424</v>
      </c>
      <c r="F40" s="198" t="s">
        <v>378</v>
      </c>
      <c r="G40" s="198" t="s">
        <v>151</v>
      </c>
      <c r="H40" s="198" t="s">
        <v>811</v>
      </c>
      <c r="I40" s="183"/>
      <c r="J40" s="541"/>
      <c r="K40" s="541"/>
      <c r="L40" s="541">
        <v>4</v>
      </c>
      <c r="M40" s="541">
        <v>4</v>
      </c>
      <c r="N40" s="541">
        <v>7</v>
      </c>
      <c r="O40" s="541">
        <v>4</v>
      </c>
      <c r="P40" s="541">
        <v>7</v>
      </c>
      <c r="Q40" s="541">
        <v>4</v>
      </c>
      <c r="R40" s="541"/>
      <c r="S40" s="541">
        <v>4</v>
      </c>
      <c r="T40" s="541">
        <v>14</v>
      </c>
      <c r="U40" s="541"/>
      <c r="V40" s="541"/>
      <c r="W40" s="541"/>
      <c r="X40" s="541"/>
      <c r="Y40" s="541">
        <v>4</v>
      </c>
      <c r="Z40" s="541"/>
      <c r="AA40" s="541"/>
      <c r="AB40" s="541"/>
      <c r="AC40" s="542"/>
      <c r="AD40" s="542"/>
      <c r="AE40" s="542"/>
      <c r="AF40" s="542"/>
      <c r="AG40" s="542"/>
      <c r="AH40" s="542"/>
      <c r="AI40" s="542"/>
      <c r="AJ40" s="542"/>
      <c r="AK40" s="542"/>
      <c r="AL40" s="542"/>
      <c r="AM40" s="542"/>
      <c r="AN40" s="542"/>
      <c r="AO40" s="542"/>
      <c r="AP40" s="542">
        <f>IF(Table_NFI[[#This Row],[Winter Clothes Adult]]+Table_NFI[[#This Row],[Winter Clothes Children]]+Table_NFI[[#This Row],[Winter Items Other]]+Table_NFI[[#This Row],[Winter Blanket]]&gt;0,1,0)</f>
        <v>0</v>
      </c>
      <c r="AQ40" s="542"/>
      <c r="AR40" s="542"/>
      <c r="AS40" s="542"/>
      <c r="AT40" s="205" t="str">
        <f>IFERROR(VLOOKUP(Table_NFI[[#This Row],[Location]],CL,2,0),"")</f>
        <v>MMR001CMP218</v>
      </c>
      <c r="AU40" s="183" t="s">
        <v>1239</v>
      </c>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row>
    <row r="41" spans="2:119" s="539" customFormat="1" ht="18.75" customHeight="1" x14ac:dyDescent="0.3">
      <c r="B41" s="540">
        <v>42780</v>
      </c>
      <c r="C41" s="540" t="str">
        <f>MONTH(Table_NFI[[#This Row],[Distribution Date]]) &amp; "/" &amp; YEAR(Table_NFI[[#This Row],[Distribution Date]])</f>
        <v>2/2017</v>
      </c>
      <c r="D41" s="197" t="s">
        <v>1383</v>
      </c>
      <c r="E41" s="197" t="s">
        <v>1383</v>
      </c>
      <c r="F41" s="544" t="s">
        <v>378</v>
      </c>
      <c r="G41" s="198" t="s">
        <v>151</v>
      </c>
      <c r="H41" s="198" t="s">
        <v>811</v>
      </c>
      <c r="I41" s="183"/>
      <c r="J41" s="541">
        <v>2</v>
      </c>
      <c r="K41" s="541"/>
      <c r="L41" s="541"/>
      <c r="M41" s="541">
        <v>18</v>
      </c>
      <c r="N41" s="541"/>
      <c r="O41" s="541"/>
      <c r="P41" s="541"/>
      <c r="Q41" s="541"/>
      <c r="R41" s="541"/>
      <c r="S41" s="541">
        <v>2</v>
      </c>
      <c r="T41" s="541"/>
      <c r="U41" s="541"/>
      <c r="V41" s="541"/>
      <c r="W41" s="541"/>
      <c r="X41" s="541"/>
      <c r="Y41" s="541">
        <v>2</v>
      </c>
      <c r="Z41" s="541"/>
      <c r="AA41" s="541"/>
      <c r="AB41" s="541"/>
      <c r="AC41" s="542"/>
      <c r="AD41" s="542"/>
      <c r="AE41" s="542"/>
      <c r="AF41" s="542"/>
      <c r="AG41" s="542"/>
      <c r="AH41" s="542"/>
      <c r="AI41" s="542"/>
      <c r="AJ41" s="542"/>
      <c r="AK41" s="542"/>
      <c r="AL41" s="542"/>
      <c r="AM41" s="542"/>
      <c r="AN41" s="542"/>
      <c r="AO41" s="542"/>
      <c r="AP41" s="542">
        <f>IF(Table_NFI[[#This Row],[Winter Clothes Adult]]+Table_NFI[[#This Row],[Winter Clothes Children]]+Table_NFI[[#This Row],[Winter Items Other]]+Table_NFI[[#This Row],[Winter Blanket]]&gt;0,1,0)</f>
        <v>0</v>
      </c>
      <c r="AQ41" s="542"/>
      <c r="AR41" s="542"/>
      <c r="AS41" s="542"/>
      <c r="AT41" s="205" t="str">
        <f>IFERROR(VLOOKUP(Table_NFI[[#This Row],[Location]],CL,2,0),"")</f>
        <v>MMR001CMP218</v>
      </c>
      <c r="AU41" s="183" t="s">
        <v>1259</v>
      </c>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row>
    <row r="42" spans="2:119" s="539" customFormat="1" ht="18.75" customHeight="1" x14ac:dyDescent="0.3">
      <c r="B42" s="540">
        <v>42780</v>
      </c>
      <c r="C42" s="540" t="str">
        <f>MONTH(Table_NFI[[#This Row],[Distribution Date]]) &amp; "/" &amp; YEAR(Table_NFI[[#This Row],[Distribution Date]])</f>
        <v>2/2017</v>
      </c>
      <c r="D42" s="198" t="s">
        <v>420</v>
      </c>
      <c r="E42" s="544" t="s">
        <v>1592</v>
      </c>
      <c r="F42" s="198" t="s">
        <v>378</v>
      </c>
      <c r="G42" s="198" t="s">
        <v>151</v>
      </c>
      <c r="H42" s="198" t="s">
        <v>847</v>
      </c>
      <c r="I42" s="183"/>
      <c r="J42" s="541"/>
      <c r="K42" s="541"/>
      <c r="L42" s="541">
        <v>1</v>
      </c>
      <c r="M42" s="541">
        <v>1</v>
      </c>
      <c r="N42" s="541">
        <v>2</v>
      </c>
      <c r="O42" s="541">
        <v>1</v>
      </c>
      <c r="P42" s="541">
        <v>2</v>
      </c>
      <c r="Q42" s="541">
        <v>1</v>
      </c>
      <c r="R42" s="541"/>
      <c r="S42" s="541">
        <v>1</v>
      </c>
      <c r="T42" s="541">
        <v>3</v>
      </c>
      <c r="U42" s="541"/>
      <c r="V42" s="541"/>
      <c r="W42" s="541"/>
      <c r="X42" s="541"/>
      <c r="Y42" s="541">
        <v>1</v>
      </c>
      <c r="Z42" s="541"/>
      <c r="AA42" s="541"/>
      <c r="AB42" s="541"/>
      <c r="AC42" s="542"/>
      <c r="AD42" s="542"/>
      <c r="AE42" s="542"/>
      <c r="AF42" s="542"/>
      <c r="AG42" s="542"/>
      <c r="AH42" s="542"/>
      <c r="AI42" s="542"/>
      <c r="AJ42" s="542"/>
      <c r="AK42" s="542"/>
      <c r="AL42" s="542"/>
      <c r="AM42" s="542"/>
      <c r="AN42" s="542"/>
      <c r="AO42" s="542"/>
      <c r="AP42" s="542">
        <f>IF(Table_NFI[[#This Row],[Winter Clothes Adult]]+Table_NFI[[#This Row],[Winter Clothes Children]]+Table_NFI[[#This Row],[Winter Items Other]]+Table_NFI[[#This Row],[Winter Blanket]]&gt;0,1,0)</f>
        <v>0</v>
      </c>
      <c r="AQ42" s="542"/>
      <c r="AR42" s="542"/>
      <c r="AS42" s="542"/>
      <c r="AT42" s="205" t="str">
        <f>IFERROR(VLOOKUP(Table_NFI[[#This Row],[Location]],CL,2,0),"")</f>
        <v>MMR001CMP223</v>
      </c>
      <c r="AU42" s="183" t="s">
        <v>1239</v>
      </c>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row>
    <row r="43" spans="2:119" s="539" customFormat="1" ht="18.75" customHeight="1" x14ac:dyDescent="0.3">
      <c r="B43" s="540">
        <v>42782</v>
      </c>
      <c r="C43" s="540" t="str">
        <f>MONTH(Table_NFI[[#This Row],[Distribution Date]]) &amp; "/" &amp; YEAR(Table_NFI[[#This Row],[Distribution Date]])</f>
        <v>2/2017</v>
      </c>
      <c r="D43" s="198" t="s">
        <v>420</v>
      </c>
      <c r="E43" s="198" t="s">
        <v>424</v>
      </c>
      <c r="F43" s="198" t="s">
        <v>378</v>
      </c>
      <c r="G43" s="198" t="s">
        <v>480</v>
      </c>
      <c r="H43" s="198" t="s">
        <v>1158</v>
      </c>
      <c r="I43" s="183"/>
      <c r="J43" s="541"/>
      <c r="K43" s="541"/>
      <c r="L43" s="541"/>
      <c r="M43" s="541"/>
      <c r="N43" s="541"/>
      <c r="O43" s="541"/>
      <c r="P43" s="541"/>
      <c r="Q43" s="541"/>
      <c r="R43" s="541"/>
      <c r="S43" s="541"/>
      <c r="T43" s="541"/>
      <c r="U43" s="541">
        <v>62</v>
      </c>
      <c r="V43" s="541">
        <v>33</v>
      </c>
      <c r="W43" s="541"/>
      <c r="X43" s="541"/>
      <c r="Y43" s="541"/>
      <c r="Z43" s="541"/>
      <c r="AA43" s="541"/>
      <c r="AB43" s="541"/>
      <c r="AC43" s="542"/>
      <c r="AD43" s="542"/>
      <c r="AE43" s="542"/>
      <c r="AF43" s="542"/>
      <c r="AG43" s="542"/>
      <c r="AH43" s="542"/>
      <c r="AI43" s="542"/>
      <c r="AJ43" s="542"/>
      <c r="AK43" s="542"/>
      <c r="AL43" s="542"/>
      <c r="AM43" s="542"/>
      <c r="AN43" s="542"/>
      <c r="AO43" s="542"/>
      <c r="AP43" s="542">
        <f>IF(Table_NFI[[#This Row],[Winter Clothes Adult]]+Table_NFI[[#This Row],[Winter Clothes Children]]+Table_NFI[[#This Row],[Winter Items Other]]+Table_NFI[[#This Row],[Winter Blanket]]&gt;0,1,0)</f>
        <v>1</v>
      </c>
      <c r="AQ43" s="542"/>
      <c r="AR43" s="542"/>
      <c r="AS43" s="542"/>
      <c r="AT43" s="205" t="str">
        <f>IFERROR(VLOOKUP(Table_NFI[[#This Row],[Location]],CL,2,0),"")</f>
        <v>MMR001CMP244</v>
      </c>
      <c r="AU43" s="183" t="s">
        <v>1239</v>
      </c>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row>
    <row r="44" spans="2:119" s="539" customFormat="1" ht="18.75" customHeight="1" x14ac:dyDescent="0.3">
      <c r="B44" s="540">
        <v>42795</v>
      </c>
      <c r="C44" s="540" t="str">
        <f>MONTH(Table_NFI[[#This Row],[Distribution Date]]) &amp; "/" &amp; YEAR(Table_NFI[[#This Row],[Distribution Date]])</f>
        <v>3/2017</v>
      </c>
      <c r="D44" s="197" t="s">
        <v>1383</v>
      </c>
      <c r="E44" s="197" t="s">
        <v>1383</v>
      </c>
      <c r="F44" s="198" t="s">
        <v>378</v>
      </c>
      <c r="G44" s="198" t="s">
        <v>309</v>
      </c>
      <c r="H44" s="198" t="s">
        <v>1255</v>
      </c>
      <c r="I44" s="183"/>
      <c r="J44" s="541">
        <v>55</v>
      </c>
      <c r="K44" s="541"/>
      <c r="L44" s="541"/>
      <c r="M44" s="541">
        <v>495</v>
      </c>
      <c r="N44" s="541"/>
      <c r="O44" s="541"/>
      <c r="P44" s="541"/>
      <c r="Q44" s="541"/>
      <c r="R44" s="541"/>
      <c r="S44" s="541">
        <v>55</v>
      </c>
      <c r="T44" s="541"/>
      <c r="U44" s="541"/>
      <c r="V44" s="541"/>
      <c r="W44" s="541"/>
      <c r="X44" s="541"/>
      <c r="Y44" s="541">
        <v>55</v>
      </c>
      <c r="Z44" s="541"/>
      <c r="AA44" s="541"/>
      <c r="AB44" s="541"/>
      <c r="AC44" s="542"/>
      <c r="AD44" s="542"/>
      <c r="AE44" s="542"/>
      <c r="AF44" s="542"/>
      <c r="AG44" s="542"/>
      <c r="AH44" s="542"/>
      <c r="AI44" s="542"/>
      <c r="AJ44" s="542"/>
      <c r="AK44" s="542"/>
      <c r="AL44" s="542"/>
      <c r="AM44" s="542"/>
      <c r="AN44" s="542"/>
      <c r="AO44" s="542"/>
      <c r="AP44" s="542">
        <f>IF(Table_NFI[[#This Row],[Winter Clothes Adult]]+Table_NFI[[#This Row],[Winter Clothes Children]]+Table_NFI[[#This Row],[Winter Items Other]]+Table_NFI[[#This Row],[Winter Blanket]]&gt;0,1,0)</f>
        <v>0</v>
      </c>
      <c r="AQ44" s="542"/>
      <c r="AR44" s="542"/>
      <c r="AS44" s="542"/>
      <c r="AT44" s="205" t="str">
        <f>IFERROR(VLOOKUP(Table_NFI[[#This Row],[Location]],CL,2,0),"")</f>
        <v>MMR001CMP248</v>
      </c>
      <c r="AU44" s="183" t="s">
        <v>1258</v>
      </c>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row>
    <row r="45" spans="2:119" s="539" customFormat="1" ht="18.75" customHeight="1" x14ac:dyDescent="0.3">
      <c r="B45" s="540">
        <v>42795</v>
      </c>
      <c r="C45" s="540" t="str">
        <f>MONTH(Table_NFI[[#This Row],[Distribution Date]]) &amp; "/" &amp; YEAR(Table_NFI[[#This Row],[Distribution Date]])</f>
        <v>3/2017</v>
      </c>
      <c r="D45" s="197" t="s">
        <v>1383</v>
      </c>
      <c r="E45" s="197" t="s">
        <v>1383</v>
      </c>
      <c r="F45" s="198" t="s">
        <v>378</v>
      </c>
      <c r="G45" s="198" t="s">
        <v>309</v>
      </c>
      <c r="H45" s="198" t="s">
        <v>1260</v>
      </c>
      <c r="I45" s="183"/>
      <c r="J45" s="541">
        <v>91</v>
      </c>
      <c r="K45" s="541"/>
      <c r="L45" s="541">
        <v>92</v>
      </c>
      <c r="M45" s="541">
        <v>546</v>
      </c>
      <c r="N45" s="541">
        <v>184</v>
      </c>
      <c r="O45" s="541">
        <v>170</v>
      </c>
      <c r="P45" s="541">
        <v>184</v>
      </c>
      <c r="Q45" s="541"/>
      <c r="R45" s="541"/>
      <c r="S45" s="541">
        <v>91</v>
      </c>
      <c r="T45" s="541">
        <v>184</v>
      </c>
      <c r="U45" s="541"/>
      <c r="V45" s="541"/>
      <c r="W45" s="541"/>
      <c r="X45" s="541"/>
      <c r="Y45" s="541">
        <v>91</v>
      </c>
      <c r="Z45" s="541"/>
      <c r="AA45" s="541">
        <v>85</v>
      </c>
      <c r="AB45" s="541"/>
      <c r="AC45" s="542"/>
      <c r="AD45" s="542"/>
      <c r="AE45" s="542"/>
      <c r="AF45" s="542"/>
      <c r="AG45" s="542"/>
      <c r="AH45" s="542"/>
      <c r="AI45" s="542"/>
      <c r="AJ45" s="542"/>
      <c r="AK45" s="542"/>
      <c r="AL45" s="542"/>
      <c r="AM45" s="542"/>
      <c r="AN45" s="542"/>
      <c r="AO45" s="542"/>
      <c r="AP45" s="542">
        <f>IF(Table_NFI[[#This Row],[Winter Clothes Adult]]+Table_NFI[[#This Row],[Winter Clothes Children]]+Table_NFI[[#This Row],[Winter Items Other]]+Table_NFI[[#This Row],[Winter Blanket]]&gt;0,1,0)</f>
        <v>0</v>
      </c>
      <c r="AQ45" s="542"/>
      <c r="AR45" s="542"/>
      <c r="AS45" s="542"/>
      <c r="AT45" s="205" t="str">
        <f>IFERROR(VLOOKUP(Table_NFI[[#This Row],[Location]],CL,2,0),"")</f>
        <v>MMR001CMP258</v>
      </c>
      <c r="AU45" s="183" t="s">
        <v>1263</v>
      </c>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row>
    <row r="46" spans="2:119" s="539" customFormat="1" ht="18.75" customHeight="1" x14ac:dyDescent="0.3">
      <c r="B46" s="540">
        <v>42808</v>
      </c>
      <c r="C46" s="540" t="str">
        <f>MONTH(Table_NFI[[#This Row],[Distribution Date]]) &amp; "/" &amp; YEAR(Table_NFI[[#This Row],[Distribution Date]])</f>
        <v>3/2017</v>
      </c>
      <c r="D46" s="197" t="s">
        <v>1383</v>
      </c>
      <c r="E46" s="197" t="s">
        <v>1383</v>
      </c>
      <c r="F46" s="544" t="s">
        <v>378</v>
      </c>
      <c r="G46" s="197" t="s">
        <v>185</v>
      </c>
      <c r="H46" s="198" t="s">
        <v>194</v>
      </c>
      <c r="I46" s="183"/>
      <c r="J46" s="541"/>
      <c r="K46" s="541"/>
      <c r="L46" s="541">
        <v>8</v>
      </c>
      <c r="M46" s="541"/>
      <c r="N46" s="541">
        <v>16</v>
      </c>
      <c r="O46" s="541"/>
      <c r="P46" s="541">
        <v>16</v>
      </c>
      <c r="Q46" s="541"/>
      <c r="R46" s="541"/>
      <c r="S46" s="541"/>
      <c r="T46" s="541">
        <v>16</v>
      </c>
      <c r="U46" s="541"/>
      <c r="V46" s="541"/>
      <c r="W46" s="541"/>
      <c r="X46" s="541"/>
      <c r="Y46" s="541"/>
      <c r="Z46" s="541"/>
      <c r="AA46" s="541"/>
      <c r="AB46" s="541"/>
      <c r="AC46" s="542"/>
      <c r="AD46" s="542"/>
      <c r="AE46" s="542"/>
      <c r="AF46" s="542"/>
      <c r="AG46" s="542"/>
      <c r="AH46" s="542"/>
      <c r="AI46" s="542"/>
      <c r="AJ46" s="542"/>
      <c r="AK46" s="542"/>
      <c r="AL46" s="542"/>
      <c r="AM46" s="542"/>
      <c r="AN46" s="542"/>
      <c r="AO46" s="542"/>
      <c r="AP46" s="542">
        <f>IF(Table_NFI[[#This Row],[Winter Clothes Adult]]+Table_NFI[[#This Row],[Winter Clothes Children]]+Table_NFI[[#This Row],[Winter Items Other]]+Table_NFI[[#This Row],[Winter Blanket]]&gt;0,1,0)</f>
        <v>0</v>
      </c>
      <c r="AQ46" s="542"/>
      <c r="AR46" s="542"/>
      <c r="AS46" s="542"/>
      <c r="AT46" s="205" t="str">
        <f>IFERROR(VLOOKUP(Table_NFI[[#This Row],[Location]],CL,2,0),"")</f>
        <v>MMR001CMP122</v>
      </c>
      <c r="AU46" s="183" t="s">
        <v>1258</v>
      </c>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row>
    <row r="47" spans="2:119" s="539" customFormat="1" ht="18.75" customHeight="1" x14ac:dyDescent="0.3">
      <c r="B47" s="540">
        <v>42808</v>
      </c>
      <c r="C47" s="540" t="str">
        <f>MONTH(Table_NFI[[#This Row],[Distribution Date]]) &amp; "/" &amp; YEAR(Table_NFI[[#This Row],[Distribution Date]])</f>
        <v>3/2017</v>
      </c>
      <c r="D47" s="197" t="s">
        <v>1383</v>
      </c>
      <c r="E47" s="197" t="s">
        <v>1383</v>
      </c>
      <c r="F47" s="198" t="s">
        <v>378</v>
      </c>
      <c r="G47" s="198" t="s">
        <v>309</v>
      </c>
      <c r="H47" s="198" t="s">
        <v>196</v>
      </c>
      <c r="I47" s="183"/>
      <c r="J47" s="541"/>
      <c r="K47" s="541"/>
      <c r="L47" s="541">
        <v>6</v>
      </c>
      <c r="M47" s="541"/>
      <c r="N47" s="541">
        <v>12</v>
      </c>
      <c r="O47" s="541"/>
      <c r="P47" s="541">
        <v>12</v>
      </c>
      <c r="Q47" s="541"/>
      <c r="R47" s="541"/>
      <c r="S47" s="541"/>
      <c r="T47" s="541">
        <v>12</v>
      </c>
      <c r="U47" s="541"/>
      <c r="V47" s="541"/>
      <c r="W47" s="541"/>
      <c r="X47" s="541"/>
      <c r="Y47" s="541"/>
      <c r="Z47" s="541"/>
      <c r="AA47" s="541"/>
      <c r="AB47" s="541"/>
      <c r="AC47" s="542"/>
      <c r="AD47" s="542"/>
      <c r="AE47" s="542"/>
      <c r="AF47" s="542"/>
      <c r="AG47" s="542"/>
      <c r="AH47" s="542"/>
      <c r="AI47" s="542"/>
      <c r="AJ47" s="542"/>
      <c r="AK47" s="542"/>
      <c r="AL47" s="542"/>
      <c r="AM47" s="542"/>
      <c r="AN47" s="542"/>
      <c r="AO47" s="542"/>
      <c r="AP47" s="542">
        <f>IF(Table_NFI[[#This Row],[Winter Clothes Adult]]+Table_NFI[[#This Row],[Winter Clothes Children]]+Table_NFI[[#This Row],[Winter Items Other]]+Table_NFI[[#This Row],[Winter Blanket]]&gt;0,1,0)</f>
        <v>0</v>
      </c>
      <c r="AQ47" s="542"/>
      <c r="AR47" s="542"/>
      <c r="AS47" s="542"/>
      <c r="AT47" s="205" t="str">
        <f>IFERROR(VLOOKUP(Table_NFI[[#This Row],[Location]],CL,2,0),"")</f>
        <v>MMR001CMP121</v>
      </c>
      <c r="AU47" s="183" t="s">
        <v>1258</v>
      </c>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row>
    <row r="48" spans="2:119" s="539" customFormat="1" ht="18.75" customHeight="1" x14ac:dyDescent="0.3">
      <c r="B48" s="540">
        <v>42809</v>
      </c>
      <c r="C48" s="540" t="str">
        <f>MONTH(Table_NFI[[#This Row],[Distribution Date]]) &amp; "/" &amp; YEAR(Table_NFI[[#This Row],[Distribution Date]])</f>
        <v>3/2017</v>
      </c>
      <c r="D48" s="197" t="s">
        <v>420</v>
      </c>
      <c r="E48" s="198" t="s">
        <v>462</v>
      </c>
      <c r="F48" s="198" t="s">
        <v>378</v>
      </c>
      <c r="G48" s="198" t="s">
        <v>27</v>
      </c>
      <c r="H48" s="198" t="s">
        <v>28</v>
      </c>
      <c r="I48" s="183"/>
      <c r="J48" s="541"/>
      <c r="K48" s="541"/>
      <c r="L48" s="541"/>
      <c r="M48" s="541"/>
      <c r="N48" s="541"/>
      <c r="O48" s="541"/>
      <c r="P48" s="541"/>
      <c r="Q48" s="541"/>
      <c r="R48" s="541"/>
      <c r="S48" s="541"/>
      <c r="T48" s="541"/>
      <c r="U48" s="541">
        <v>79</v>
      </c>
      <c r="V48" s="541">
        <v>152</v>
      </c>
      <c r="W48" s="541"/>
      <c r="X48" s="541"/>
      <c r="Y48" s="541"/>
      <c r="Z48" s="541"/>
      <c r="AA48" s="541"/>
      <c r="AB48" s="541"/>
      <c r="AC48" s="542"/>
      <c r="AD48" s="542"/>
      <c r="AE48" s="542"/>
      <c r="AF48" s="542"/>
      <c r="AG48" s="542"/>
      <c r="AH48" s="542"/>
      <c r="AI48" s="542"/>
      <c r="AJ48" s="542"/>
      <c r="AK48" s="542"/>
      <c r="AL48" s="542"/>
      <c r="AM48" s="542"/>
      <c r="AN48" s="542"/>
      <c r="AO48" s="542"/>
      <c r="AP48" s="542">
        <f>IF(Table_NFI[[#This Row],[Winter Clothes Adult]]+Table_NFI[[#This Row],[Winter Clothes Children]]+Table_NFI[[#This Row],[Winter Items Other]]+Table_NFI[[#This Row],[Winter Blanket]]&gt;0,1,0)</f>
        <v>1</v>
      </c>
      <c r="AQ48" s="542"/>
      <c r="AR48" s="542"/>
      <c r="AS48" s="542"/>
      <c r="AT48" s="205" t="str">
        <f>IFERROR(VLOOKUP(Table_NFI[[#This Row],[Location]],CL,2,0),"")</f>
        <v>MMR001CMP042</v>
      </c>
      <c r="AU48" s="199" t="s">
        <v>1240</v>
      </c>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row>
    <row r="49" spans="2:120" s="539" customFormat="1" ht="18.75" customHeight="1" x14ac:dyDescent="0.3">
      <c r="B49" s="540">
        <v>42809</v>
      </c>
      <c r="C49" s="540" t="str">
        <f>MONTH(Table_NFI[[#This Row],[Distribution Date]]) &amp; "/" &amp; YEAR(Table_NFI[[#This Row],[Distribution Date]])</f>
        <v>3/2017</v>
      </c>
      <c r="D49" s="197" t="s">
        <v>1383</v>
      </c>
      <c r="E49" s="197" t="s">
        <v>1383</v>
      </c>
      <c r="F49" s="198" t="s">
        <v>378</v>
      </c>
      <c r="G49" s="198" t="s">
        <v>309</v>
      </c>
      <c r="H49" s="198" t="s">
        <v>351</v>
      </c>
      <c r="I49" s="183"/>
      <c r="J49" s="541"/>
      <c r="K49" s="541"/>
      <c r="L49" s="541">
        <v>6</v>
      </c>
      <c r="M49" s="541"/>
      <c r="N49" s="541">
        <v>12</v>
      </c>
      <c r="O49" s="541"/>
      <c r="P49" s="541">
        <v>12</v>
      </c>
      <c r="Q49" s="541"/>
      <c r="R49" s="541"/>
      <c r="S49" s="541"/>
      <c r="T49" s="541">
        <v>12</v>
      </c>
      <c r="U49" s="541"/>
      <c r="V49" s="541"/>
      <c r="W49" s="541"/>
      <c r="X49" s="541"/>
      <c r="Y49" s="541"/>
      <c r="Z49" s="541"/>
      <c r="AA49" s="541"/>
      <c r="AB49" s="541"/>
      <c r="AC49" s="542"/>
      <c r="AD49" s="542"/>
      <c r="AE49" s="542"/>
      <c r="AF49" s="542"/>
      <c r="AG49" s="542"/>
      <c r="AH49" s="542"/>
      <c r="AI49" s="542"/>
      <c r="AJ49" s="542"/>
      <c r="AK49" s="542"/>
      <c r="AL49" s="542"/>
      <c r="AM49" s="542"/>
      <c r="AN49" s="542"/>
      <c r="AO49" s="542"/>
      <c r="AP49" s="542">
        <f>IF(Table_NFI[[#This Row],[Winter Clothes Adult]]+Table_NFI[[#This Row],[Winter Clothes Children]]+Table_NFI[[#This Row],[Winter Items Other]]+Table_NFI[[#This Row],[Winter Blanket]]&gt;0,1,0)</f>
        <v>0</v>
      </c>
      <c r="AQ49" s="542"/>
      <c r="AR49" s="542"/>
      <c r="AS49" s="542"/>
      <c r="AT49" s="205" t="str">
        <f>IFERROR(VLOOKUP(Table_NFI[[#This Row],[Location]],CL,2,0),"")</f>
        <v>MMR001CMP116</v>
      </c>
      <c r="AU49" s="183" t="s">
        <v>1258</v>
      </c>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row>
    <row r="50" spans="2:120" s="539" customFormat="1" ht="18.75" customHeight="1" x14ac:dyDescent="0.3">
      <c r="B50" s="540">
        <v>42810</v>
      </c>
      <c r="C50" s="540" t="str">
        <f>MONTH(Table_NFI[[#This Row],[Distribution Date]]) &amp; "/" &amp; YEAR(Table_NFI[[#This Row],[Distribution Date]])</f>
        <v>3/2017</v>
      </c>
      <c r="D50" s="197" t="s">
        <v>420</v>
      </c>
      <c r="E50" s="198" t="s">
        <v>462</v>
      </c>
      <c r="F50" s="198" t="s">
        <v>378</v>
      </c>
      <c r="G50" s="198" t="s">
        <v>27</v>
      </c>
      <c r="H50" s="198" t="s">
        <v>363</v>
      </c>
      <c r="I50" s="183"/>
      <c r="J50" s="541"/>
      <c r="K50" s="541"/>
      <c r="L50" s="541"/>
      <c r="M50" s="541"/>
      <c r="N50" s="541"/>
      <c r="O50" s="541"/>
      <c r="P50" s="541"/>
      <c r="Q50" s="541"/>
      <c r="R50" s="541"/>
      <c r="S50" s="541"/>
      <c r="T50" s="541"/>
      <c r="U50" s="541">
        <v>97</v>
      </c>
      <c r="V50" s="541">
        <v>203</v>
      </c>
      <c r="W50" s="541"/>
      <c r="X50" s="541"/>
      <c r="Y50" s="541"/>
      <c r="Z50" s="541"/>
      <c r="AA50" s="541"/>
      <c r="AB50" s="541"/>
      <c r="AC50" s="542"/>
      <c r="AD50" s="542"/>
      <c r="AE50" s="542"/>
      <c r="AF50" s="542"/>
      <c r="AG50" s="542"/>
      <c r="AH50" s="542"/>
      <c r="AI50" s="542"/>
      <c r="AJ50" s="542"/>
      <c r="AK50" s="542"/>
      <c r="AL50" s="542"/>
      <c r="AM50" s="542"/>
      <c r="AN50" s="542"/>
      <c r="AO50" s="542"/>
      <c r="AP50" s="542">
        <f>IF(Table_NFI[[#This Row],[Winter Clothes Adult]]+Table_NFI[[#This Row],[Winter Clothes Children]]+Table_NFI[[#This Row],[Winter Items Other]]+Table_NFI[[#This Row],[Winter Blanket]]&gt;0,1,0)</f>
        <v>1</v>
      </c>
      <c r="AQ50" s="542"/>
      <c r="AR50" s="542"/>
      <c r="AS50" s="542"/>
      <c r="AT50" s="205" t="str">
        <f>IFERROR(VLOOKUP(Table_NFI[[#This Row],[Location]],CL,2,0),"")</f>
        <v>MMR001CMP195</v>
      </c>
      <c r="AU50" s="545" t="s">
        <v>1240</v>
      </c>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row>
    <row r="51" spans="2:120" s="539" customFormat="1" ht="18.75" customHeight="1" x14ac:dyDescent="0.3">
      <c r="B51" s="540">
        <v>42813</v>
      </c>
      <c r="C51" s="540" t="str">
        <f>MONTH(Table_NFI[[#This Row],[Distribution Date]]) &amp; "/" &amp; YEAR(Table_NFI[[#This Row],[Distribution Date]])</f>
        <v>3/2017</v>
      </c>
      <c r="D51" s="198" t="s">
        <v>420</v>
      </c>
      <c r="E51" s="198" t="s">
        <v>424</v>
      </c>
      <c r="F51" s="198" t="s">
        <v>378</v>
      </c>
      <c r="G51" s="198" t="s">
        <v>746</v>
      </c>
      <c r="H51" s="198" t="s">
        <v>1066</v>
      </c>
      <c r="I51" s="183"/>
      <c r="J51" s="541"/>
      <c r="K51" s="541"/>
      <c r="L51" s="541"/>
      <c r="M51" s="541"/>
      <c r="N51" s="541"/>
      <c r="O51" s="541"/>
      <c r="P51" s="541">
        <v>292</v>
      </c>
      <c r="Q51" s="541"/>
      <c r="R51" s="541"/>
      <c r="S51" s="541"/>
      <c r="T51" s="541"/>
      <c r="U51" s="541"/>
      <c r="V51" s="541"/>
      <c r="W51" s="541"/>
      <c r="X51" s="541"/>
      <c r="Y51" s="541"/>
      <c r="Z51" s="541"/>
      <c r="AA51" s="541"/>
      <c r="AB51" s="541"/>
      <c r="AC51" s="542"/>
      <c r="AD51" s="542"/>
      <c r="AE51" s="542"/>
      <c r="AF51" s="542"/>
      <c r="AG51" s="542"/>
      <c r="AH51" s="542"/>
      <c r="AI51" s="542"/>
      <c r="AJ51" s="542"/>
      <c r="AK51" s="542"/>
      <c r="AL51" s="542"/>
      <c r="AM51" s="542"/>
      <c r="AN51" s="542"/>
      <c r="AO51" s="542"/>
      <c r="AP51" s="542">
        <f>IF(Table_NFI[[#This Row],[Winter Clothes Adult]]+Table_NFI[[#This Row],[Winter Clothes Children]]+Table_NFI[[#This Row],[Winter Items Other]]+Table_NFI[[#This Row],[Winter Blanket]]&gt;0,1,0)</f>
        <v>0</v>
      </c>
      <c r="AQ51" s="542"/>
      <c r="AR51" s="542"/>
      <c r="AS51" s="542"/>
      <c r="AT51" s="205" t="str">
        <f>IFERROR(VLOOKUP(Table_NFI[[#This Row],[Location]],CL,2,0),"")</f>
        <v>MMR001CMP238</v>
      </c>
      <c r="AU51" s="183" t="s">
        <v>1253</v>
      </c>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row>
    <row r="52" spans="2:120" s="539" customFormat="1" ht="18.75" customHeight="1" x14ac:dyDescent="0.3">
      <c r="B52" s="540">
        <v>42814</v>
      </c>
      <c r="C52" s="540" t="str">
        <f>MONTH(Table_NFI[[#This Row],[Distribution Date]]) &amp; "/" &amp; YEAR(Table_NFI[[#This Row],[Distribution Date]])</f>
        <v>3/2017</v>
      </c>
      <c r="D52" s="198" t="s">
        <v>420</v>
      </c>
      <c r="E52" s="198" t="s">
        <v>424</v>
      </c>
      <c r="F52" s="198" t="s">
        <v>378</v>
      </c>
      <c r="G52" s="198" t="s">
        <v>746</v>
      </c>
      <c r="H52" s="198" t="s">
        <v>1068</v>
      </c>
      <c r="I52" s="183"/>
      <c r="J52" s="541"/>
      <c r="K52" s="541"/>
      <c r="L52" s="541"/>
      <c r="M52" s="541"/>
      <c r="N52" s="541"/>
      <c r="O52" s="541"/>
      <c r="P52" s="541">
        <v>134</v>
      </c>
      <c r="Q52" s="541"/>
      <c r="R52" s="541"/>
      <c r="S52" s="541"/>
      <c r="T52" s="541"/>
      <c r="U52" s="541"/>
      <c r="V52" s="541"/>
      <c r="W52" s="541"/>
      <c r="X52" s="541"/>
      <c r="Y52" s="541"/>
      <c r="Z52" s="541"/>
      <c r="AA52" s="541"/>
      <c r="AB52" s="541"/>
      <c r="AC52" s="542"/>
      <c r="AD52" s="542"/>
      <c r="AE52" s="542"/>
      <c r="AF52" s="542"/>
      <c r="AG52" s="542"/>
      <c r="AH52" s="542"/>
      <c r="AI52" s="542"/>
      <c r="AJ52" s="542"/>
      <c r="AK52" s="542"/>
      <c r="AL52" s="542"/>
      <c r="AM52" s="542"/>
      <c r="AN52" s="542"/>
      <c r="AO52" s="542"/>
      <c r="AP52" s="542">
        <f>IF(Table_NFI[[#This Row],[Winter Clothes Adult]]+Table_NFI[[#This Row],[Winter Clothes Children]]+Table_NFI[[#This Row],[Winter Items Other]]+Table_NFI[[#This Row],[Winter Blanket]]&gt;0,1,0)</f>
        <v>0</v>
      </c>
      <c r="AQ52" s="542"/>
      <c r="AR52" s="542"/>
      <c r="AS52" s="542"/>
      <c r="AT52" s="205" t="str">
        <f>IFERROR(VLOOKUP(Table_NFI[[#This Row],[Location]],CL,2,0),"")</f>
        <v>MMR001CMP239</v>
      </c>
      <c r="AU52" s="183" t="s">
        <v>1253</v>
      </c>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row>
    <row r="53" spans="2:120" s="183" customFormat="1" ht="18.75" customHeight="1" x14ac:dyDescent="0.3">
      <c r="B53" s="540">
        <v>42823</v>
      </c>
      <c r="C53" s="540" t="str">
        <f>MONTH(Table_NFI[[#This Row],[Distribution Date]]) &amp; "/" &amp; YEAR(Table_NFI[[#This Row],[Distribution Date]])</f>
        <v>3/2017</v>
      </c>
      <c r="D53" s="197" t="s">
        <v>420</v>
      </c>
      <c r="E53" s="198" t="s">
        <v>462</v>
      </c>
      <c r="F53" s="198" t="s">
        <v>378</v>
      </c>
      <c r="G53" s="198" t="s">
        <v>309</v>
      </c>
      <c r="H53" s="198" t="s">
        <v>342</v>
      </c>
      <c r="J53" s="541"/>
      <c r="K53" s="541"/>
      <c r="L53" s="541">
        <v>5</v>
      </c>
      <c r="M53" s="541">
        <v>5</v>
      </c>
      <c r="N53" s="541">
        <v>10</v>
      </c>
      <c r="O53" s="541">
        <v>5</v>
      </c>
      <c r="P53" s="541">
        <v>10</v>
      </c>
      <c r="Q53" s="541">
        <v>5</v>
      </c>
      <c r="R53" s="541"/>
      <c r="S53" s="541">
        <v>5</v>
      </c>
      <c r="T53" s="541">
        <v>28</v>
      </c>
      <c r="U53" s="541"/>
      <c r="V53" s="541"/>
      <c r="W53" s="541"/>
      <c r="X53" s="541"/>
      <c r="Y53" s="541">
        <v>5</v>
      </c>
      <c r="Z53" s="541"/>
      <c r="AA53" s="541"/>
      <c r="AB53" s="541"/>
      <c r="AC53" s="542"/>
      <c r="AD53" s="542"/>
      <c r="AE53" s="542"/>
      <c r="AF53" s="542"/>
      <c r="AG53" s="542"/>
      <c r="AH53" s="542"/>
      <c r="AI53" s="542"/>
      <c r="AJ53" s="542"/>
      <c r="AK53" s="542"/>
      <c r="AL53" s="542"/>
      <c r="AM53" s="542"/>
      <c r="AN53" s="542"/>
      <c r="AO53" s="542"/>
      <c r="AP53" s="542">
        <f>IF(Table_NFI[[#This Row],[Winter Clothes Adult]]+Table_NFI[[#This Row],[Winter Clothes Children]]+Table_NFI[[#This Row],[Winter Items Other]]+Table_NFI[[#This Row],[Winter Blanket]]&gt;0,1,0)</f>
        <v>0</v>
      </c>
      <c r="AQ53" s="542"/>
      <c r="AR53" s="542"/>
      <c r="AS53" s="542"/>
      <c r="AT53" s="205" t="str">
        <f>IFERROR(VLOOKUP(Table_NFI[[#This Row],[Location]],CL,2,0),"")</f>
        <v>MMR001CMP033</v>
      </c>
      <c r="AU53" s="183" t="s">
        <v>1240</v>
      </c>
    </row>
    <row r="54" spans="2:120" s="183" customFormat="1" ht="18.75" customHeight="1" x14ac:dyDescent="0.3">
      <c r="B54" s="540">
        <v>42825</v>
      </c>
      <c r="C54" s="540" t="str">
        <f>MONTH(Table_NFI[[#This Row],[Distribution Date]]) &amp; "/" &amp; YEAR(Table_NFI[[#This Row],[Distribution Date]])</f>
        <v>3/2017</v>
      </c>
      <c r="D54" s="198" t="s">
        <v>1261</v>
      </c>
      <c r="E54" s="198" t="s">
        <v>1261</v>
      </c>
      <c r="F54" s="198" t="s">
        <v>506</v>
      </c>
      <c r="G54" s="198" t="s">
        <v>146</v>
      </c>
      <c r="H54" s="198" t="s">
        <v>368</v>
      </c>
      <c r="J54" s="541"/>
      <c r="K54" s="541"/>
      <c r="L54" s="541"/>
      <c r="M54" s="541"/>
      <c r="N54" s="541"/>
      <c r="O54" s="541"/>
      <c r="P54" s="541"/>
      <c r="Q54" s="541"/>
      <c r="R54" s="541"/>
      <c r="S54" s="541"/>
      <c r="T54" s="541"/>
      <c r="U54" s="541">
        <v>540</v>
      </c>
      <c r="V54" s="541"/>
      <c r="W54" s="541"/>
      <c r="X54" s="541">
        <v>135</v>
      </c>
      <c r="Y54" s="541"/>
      <c r="Z54" s="541"/>
      <c r="AA54" s="541"/>
      <c r="AB54" s="541"/>
      <c r="AC54" s="542"/>
      <c r="AD54" s="542"/>
      <c r="AE54" s="542"/>
      <c r="AF54" s="542"/>
      <c r="AG54" s="542"/>
      <c r="AH54" s="542"/>
      <c r="AI54" s="542"/>
      <c r="AJ54" s="542"/>
      <c r="AK54" s="542"/>
      <c r="AL54" s="542"/>
      <c r="AM54" s="542"/>
      <c r="AN54" s="542"/>
      <c r="AO54" s="542"/>
      <c r="AP54" s="542">
        <f>IF(Table_NFI[[#This Row],[Winter Clothes Adult]]+Table_NFI[[#This Row],[Winter Clothes Children]]+Table_NFI[[#This Row],[Winter Items Other]]+Table_NFI[[#This Row],[Winter Blanket]]&gt;0,1,0)</f>
        <v>1</v>
      </c>
      <c r="AQ54" s="542"/>
      <c r="AR54" s="542"/>
      <c r="AS54" s="542"/>
      <c r="AT54" s="205" t="str">
        <f>IFERROR(VLOOKUP(Table_NFI[[#This Row],[Location]],CL,2,0),"")</f>
        <v>MMR015CMP017</v>
      </c>
      <c r="AU54" s="183" t="s">
        <v>1262</v>
      </c>
    </row>
    <row r="55" spans="2:120" s="183" customFormat="1" ht="18.75" customHeight="1" x14ac:dyDescent="0.3">
      <c r="B55" s="540">
        <v>42829</v>
      </c>
      <c r="C55" s="540" t="str">
        <f>MONTH(Table_NFI[[#This Row],[Distribution Date]]) &amp; "/" &amp; YEAR(Table_NFI[[#This Row],[Distribution Date]])</f>
        <v>4/2017</v>
      </c>
      <c r="D55" s="197" t="s">
        <v>1261</v>
      </c>
      <c r="E55" s="198" t="s">
        <v>1261</v>
      </c>
      <c r="F55" s="198" t="s">
        <v>378</v>
      </c>
      <c r="G55" s="198" t="s">
        <v>151</v>
      </c>
      <c r="H55" s="198" t="s">
        <v>847</v>
      </c>
      <c r="J55" s="541"/>
      <c r="K55" s="541"/>
      <c r="L55" s="541"/>
      <c r="M55" s="541"/>
      <c r="N55" s="541"/>
      <c r="O55" s="541"/>
      <c r="P55" s="541"/>
      <c r="Q55" s="541"/>
      <c r="R55" s="541"/>
      <c r="S55" s="541"/>
      <c r="T55" s="541"/>
      <c r="U55" s="541">
        <v>144</v>
      </c>
      <c r="V55" s="541"/>
      <c r="W55" s="541"/>
      <c r="X55" s="541">
        <v>36</v>
      </c>
      <c r="Y55" s="541"/>
      <c r="Z55" s="541"/>
      <c r="AA55" s="541"/>
      <c r="AB55" s="541"/>
      <c r="AC55" s="542"/>
      <c r="AD55" s="542"/>
      <c r="AE55" s="542"/>
      <c r="AF55" s="542"/>
      <c r="AG55" s="542"/>
      <c r="AH55" s="542"/>
      <c r="AI55" s="542"/>
      <c r="AJ55" s="542"/>
      <c r="AK55" s="542"/>
      <c r="AL55" s="542"/>
      <c r="AM55" s="542"/>
      <c r="AN55" s="542"/>
      <c r="AO55" s="542"/>
      <c r="AP55" s="542">
        <f>IF(Table_NFI[[#This Row],[Winter Clothes Adult]]+Table_NFI[[#This Row],[Winter Clothes Children]]+Table_NFI[[#This Row],[Winter Items Other]]+Table_NFI[[#This Row],[Winter Blanket]]&gt;0,1,0)</f>
        <v>1</v>
      </c>
      <c r="AQ55" s="542"/>
      <c r="AR55" s="542"/>
      <c r="AS55" s="542"/>
      <c r="AT55" s="205" t="str">
        <f>IFERROR(VLOOKUP(Table_NFI[[#This Row],[Location]],CL,2,0),"")</f>
        <v>MMR001CMP223</v>
      </c>
      <c r="AU55" s="183" t="s">
        <v>1262</v>
      </c>
    </row>
    <row r="56" spans="2:120" s="183" customFormat="1" ht="18.75" customHeight="1" x14ac:dyDescent="0.3">
      <c r="B56" s="540">
        <v>42838</v>
      </c>
      <c r="C56" s="540" t="str">
        <f>MONTH(Table_NFI[[#This Row],[Distribution Date]]) &amp; "/" &amp; YEAR(Table_NFI[[#This Row],[Distribution Date]])</f>
        <v>4/2017</v>
      </c>
      <c r="D56" s="198" t="s">
        <v>420</v>
      </c>
      <c r="E56" s="198" t="s">
        <v>462</v>
      </c>
      <c r="F56" s="198" t="s">
        <v>378</v>
      </c>
      <c r="G56" s="198" t="s">
        <v>309</v>
      </c>
      <c r="H56" s="198" t="s">
        <v>317</v>
      </c>
      <c r="J56" s="541"/>
      <c r="K56" s="541"/>
      <c r="L56" s="541">
        <v>17</v>
      </c>
      <c r="M56" s="541">
        <v>17</v>
      </c>
      <c r="N56" s="541">
        <v>58</v>
      </c>
      <c r="O56" s="541">
        <v>17</v>
      </c>
      <c r="P56" s="541">
        <v>58</v>
      </c>
      <c r="Q56" s="541">
        <v>17</v>
      </c>
      <c r="R56" s="541"/>
      <c r="S56" s="541">
        <v>17</v>
      </c>
      <c r="T56" s="541">
        <v>76</v>
      </c>
      <c r="U56" s="541"/>
      <c r="V56" s="541"/>
      <c r="W56" s="541"/>
      <c r="X56" s="541"/>
      <c r="Y56" s="541">
        <v>17</v>
      </c>
      <c r="Z56" s="541"/>
      <c r="AA56" s="541"/>
      <c r="AB56" s="541">
        <v>15</v>
      </c>
      <c r="AC56" s="542"/>
      <c r="AD56" s="542"/>
      <c r="AE56" s="542"/>
      <c r="AF56" s="542"/>
      <c r="AG56" s="542"/>
      <c r="AH56" s="542"/>
      <c r="AI56" s="542"/>
      <c r="AJ56" s="542"/>
      <c r="AK56" s="542"/>
      <c r="AL56" s="542"/>
      <c r="AM56" s="542"/>
      <c r="AN56" s="542"/>
      <c r="AO56" s="542"/>
      <c r="AP56" s="542">
        <f>IF(Table_NFI[[#This Row],[Winter Clothes Adult]]+Table_NFI[[#This Row],[Winter Clothes Children]]+Table_NFI[[#This Row],[Winter Items Other]]+Table_NFI[[#This Row],[Winter Blanket]]&gt;0,1,0)</f>
        <v>0</v>
      </c>
      <c r="AQ56" s="542"/>
      <c r="AR56" s="542"/>
      <c r="AS56" s="542"/>
      <c r="AT56" s="205" t="str">
        <f>IFERROR(VLOOKUP(Table_NFI[[#This Row],[Location]],CL,2,0),"")</f>
        <v>MMR001CMP032</v>
      </c>
      <c r="AU56" s="183" t="s">
        <v>1254</v>
      </c>
    </row>
    <row r="57" spans="2:120" s="183" customFormat="1" ht="18.75" customHeight="1" x14ac:dyDescent="0.3">
      <c r="B57" s="540">
        <v>42852</v>
      </c>
      <c r="C57" s="540" t="str">
        <f>MONTH(Table_NFI[[#This Row],[Distribution Date]]) &amp; "/" &amp; YEAR(Table_NFI[[#This Row],[Distribution Date]])</f>
        <v>4/2017</v>
      </c>
      <c r="D57" s="197" t="s">
        <v>1383</v>
      </c>
      <c r="E57" s="197" t="s">
        <v>1383</v>
      </c>
      <c r="F57" s="198" t="s">
        <v>378</v>
      </c>
      <c r="G57" s="198" t="s">
        <v>309</v>
      </c>
      <c r="H57" s="198" t="s">
        <v>317</v>
      </c>
      <c r="J57" s="541">
        <v>10</v>
      </c>
      <c r="K57" s="541"/>
      <c r="L57" s="541"/>
      <c r="M57" s="541">
        <v>90</v>
      </c>
      <c r="N57" s="541"/>
      <c r="O57" s="541"/>
      <c r="P57" s="541"/>
      <c r="Q57" s="541"/>
      <c r="R57" s="541"/>
      <c r="S57" s="541">
        <v>10</v>
      </c>
      <c r="T57" s="541"/>
      <c r="U57" s="541"/>
      <c r="V57" s="541"/>
      <c r="W57" s="541"/>
      <c r="X57" s="541"/>
      <c r="Y57" s="541">
        <v>10</v>
      </c>
      <c r="Z57" s="541"/>
      <c r="AA57" s="541"/>
      <c r="AB57" s="541"/>
      <c r="AC57" s="542"/>
      <c r="AD57" s="542"/>
      <c r="AE57" s="542"/>
      <c r="AF57" s="542"/>
      <c r="AG57" s="542"/>
      <c r="AH57" s="542"/>
      <c r="AI57" s="542"/>
      <c r="AJ57" s="542"/>
      <c r="AK57" s="542"/>
      <c r="AL57" s="542"/>
      <c r="AM57" s="542"/>
      <c r="AN57" s="542"/>
      <c r="AO57" s="542"/>
      <c r="AP57" s="542">
        <f>IF(Table_NFI[[#This Row],[Winter Clothes Adult]]+Table_NFI[[#This Row],[Winter Clothes Children]]+Table_NFI[[#This Row],[Winter Items Other]]+Table_NFI[[#This Row],[Winter Blanket]]&gt;0,1,0)</f>
        <v>0</v>
      </c>
      <c r="AQ57" s="542"/>
      <c r="AR57" s="542"/>
      <c r="AS57" s="542"/>
      <c r="AT57" s="205" t="str">
        <f>IFERROR(VLOOKUP(Table_NFI[[#This Row],[Location]],CL,2,0),"")</f>
        <v>MMR001CMP032</v>
      </c>
      <c r="AU57" s="183" t="s">
        <v>1258</v>
      </c>
    </row>
    <row r="58" spans="2:120" ht="18.75" customHeight="1" x14ac:dyDescent="0.3">
      <c r="B58" s="540">
        <v>42860</v>
      </c>
      <c r="C58" s="540" t="str">
        <f>MONTH(Table_NFI[[#This Row],[Distribution Date]]) &amp; "/" &amp; YEAR(Table_NFI[[#This Row],[Distribution Date]])</f>
        <v>5/2017</v>
      </c>
      <c r="D58" s="198" t="s">
        <v>420</v>
      </c>
      <c r="E58" s="198" t="s">
        <v>462</v>
      </c>
      <c r="F58" s="198" t="s">
        <v>378</v>
      </c>
      <c r="G58" s="198" t="s">
        <v>309</v>
      </c>
      <c r="H58" s="198" t="s">
        <v>312</v>
      </c>
      <c r="I58" s="183"/>
      <c r="J58" s="541"/>
      <c r="K58" s="541"/>
      <c r="L58" s="541">
        <v>3</v>
      </c>
      <c r="M58" s="541">
        <v>3</v>
      </c>
      <c r="N58" s="541">
        <v>9</v>
      </c>
      <c r="O58" s="541">
        <v>3</v>
      </c>
      <c r="P58" s="541">
        <v>10</v>
      </c>
      <c r="Q58" s="541">
        <v>5</v>
      </c>
      <c r="R58" s="541"/>
      <c r="S58" s="541">
        <v>5</v>
      </c>
      <c r="T58" s="541">
        <v>28</v>
      </c>
      <c r="U58" s="541"/>
      <c r="V58" s="541"/>
      <c r="W58" s="541"/>
      <c r="X58" s="541"/>
      <c r="Y58" s="541"/>
      <c r="Z58" s="541"/>
      <c r="AA58" s="541"/>
      <c r="AB58" s="541"/>
      <c r="AC58" s="542"/>
      <c r="AD58" s="542"/>
      <c r="AE58" s="542"/>
      <c r="AF58" s="542"/>
      <c r="AG58" s="542"/>
      <c r="AH58" s="542"/>
      <c r="AI58" s="542"/>
      <c r="AJ58" s="542"/>
      <c r="AK58" s="542"/>
      <c r="AL58" s="542"/>
      <c r="AM58" s="542"/>
      <c r="AN58" s="542"/>
      <c r="AO58" s="542"/>
      <c r="AP58" s="542">
        <f>IF(Table_NFI[[#This Row],[Winter Clothes Adult]]+Table_NFI[[#This Row],[Winter Clothes Children]]+Table_NFI[[#This Row],[Winter Items Other]]+Table_NFI[[#This Row],[Winter Blanket]]&gt;0,1,0)</f>
        <v>0</v>
      </c>
      <c r="AQ58" s="542"/>
      <c r="AR58" s="542"/>
      <c r="AS58" s="542"/>
      <c r="AT58" s="205" t="str">
        <f>IFERROR(VLOOKUP(Table_NFI[[#This Row],[Location]],CL,2,0),"")</f>
        <v>MMR001CMP028</v>
      </c>
      <c r="AU58" s="183"/>
      <c r="AV58" s="183"/>
      <c r="DP58" s="534"/>
    </row>
    <row r="59" spans="2:120" ht="18.75" customHeight="1" x14ac:dyDescent="0.3">
      <c r="B59" s="540">
        <v>42860</v>
      </c>
      <c r="C59" s="540" t="str">
        <f>MONTH(Table_NFI[[#This Row],[Distribution Date]]) &amp; "/" &amp; YEAR(Table_NFI[[#This Row],[Distribution Date]])</f>
        <v>5/2017</v>
      </c>
      <c r="D59" s="198" t="s">
        <v>420</v>
      </c>
      <c r="E59" s="198" t="s">
        <v>462</v>
      </c>
      <c r="F59" s="198" t="s">
        <v>378</v>
      </c>
      <c r="G59" s="198" t="s">
        <v>309</v>
      </c>
      <c r="H59" s="198" t="s">
        <v>347</v>
      </c>
      <c r="I59" s="183"/>
      <c r="J59" s="541"/>
      <c r="K59" s="541"/>
      <c r="L59" s="541">
        <v>1</v>
      </c>
      <c r="M59" s="541">
        <v>1</v>
      </c>
      <c r="N59" s="541">
        <v>3</v>
      </c>
      <c r="O59" s="541">
        <v>1</v>
      </c>
      <c r="P59" s="541">
        <v>3</v>
      </c>
      <c r="Q59" s="541">
        <v>1</v>
      </c>
      <c r="R59" s="541"/>
      <c r="S59" s="541">
        <v>1</v>
      </c>
      <c r="T59" s="541">
        <v>3</v>
      </c>
      <c r="U59" s="541"/>
      <c r="V59" s="541"/>
      <c r="W59" s="541"/>
      <c r="X59" s="541"/>
      <c r="Y59" s="541"/>
      <c r="Z59" s="541"/>
      <c r="AA59" s="541"/>
      <c r="AB59" s="541"/>
      <c r="AC59" s="542"/>
      <c r="AD59" s="542"/>
      <c r="AE59" s="542"/>
      <c r="AF59" s="542"/>
      <c r="AG59" s="542"/>
      <c r="AH59" s="542"/>
      <c r="AI59" s="542"/>
      <c r="AJ59" s="542"/>
      <c r="AK59" s="542"/>
      <c r="AL59" s="542"/>
      <c r="AM59" s="542"/>
      <c r="AN59" s="542"/>
      <c r="AO59" s="542"/>
      <c r="AP59" s="542">
        <f>IF(Table_NFI[[#This Row],[Winter Clothes Adult]]+Table_NFI[[#This Row],[Winter Clothes Children]]+Table_NFI[[#This Row],[Winter Items Other]]+Table_NFI[[#This Row],[Winter Blanket]]&gt;0,1,0)</f>
        <v>0</v>
      </c>
      <c r="AQ59" s="542"/>
      <c r="AR59" s="542"/>
      <c r="AS59" s="542"/>
      <c r="AT59" s="205" t="str">
        <f>IFERROR(VLOOKUP(Table_NFI[[#This Row],[Location]],CL,2,0),"")</f>
        <v>MMR001CMP037</v>
      </c>
      <c r="AU59" s="183"/>
      <c r="AV59" s="183"/>
      <c r="DP59" s="534"/>
    </row>
    <row r="60" spans="2:120" ht="18.75" customHeight="1" x14ac:dyDescent="0.3">
      <c r="B60" s="540">
        <v>42860</v>
      </c>
      <c r="C60" s="540" t="str">
        <f>MONTH(Table_NFI[[#This Row],[Distribution Date]]) &amp; "/" &amp; YEAR(Table_NFI[[#This Row],[Distribution Date]])</f>
        <v>5/2017</v>
      </c>
      <c r="D60" s="198" t="s">
        <v>420</v>
      </c>
      <c r="E60" s="198" t="s">
        <v>462</v>
      </c>
      <c r="F60" s="198" t="s">
        <v>378</v>
      </c>
      <c r="G60" s="198" t="s">
        <v>309</v>
      </c>
      <c r="H60" s="198" t="s">
        <v>342</v>
      </c>
      <c r="I60" s="183"/>
      <c r="J60" s="541"/>
      <c r="K60" s="541"/>
      <c r="L60" s="541">
        <v>1</v>
      </c>
      <c r="M60" s="541">
        <v>1</v>
      </c>
      <c r="N60" s="541">
        <v>2</v>
      </c>
      <c r="O60" s="541">
        <v>1</v>
      </c>
      <c r="P60" s="541">
        <v>2</v>
      </c>
      <c r="Q60" s="541">
        <v>1</v>
      </c>
      <c r="R60" s="541"/>
      <c r="S60" s="541">
        <v>1</v>
      </c>
      <c r="T60" s="541">
        <v>3</v>
      </c>
      <c r="U60" s="541"/>
      <c r="V60" s="541"/>
      <c r="W60" s="541"/>
      <c r="X60" s="541"/>
      <c r="Y60" s="541"/>
      <c r="Z60" s="541"/>
      <c r="AA60" s="541"/>
      <c r="AB60" s="541"/>
      <c r="AC60" s="542"/>
      <c r="AD60" s="542"/>
      <c r="AE60" s="542"/>
      <c r="AF60" s="542"/>
      <c r="AG60" s="542"/>
      <c r="AH60" s="542"/>
      <c r="AI60" s="542"/>
      <c r="AJ60" s="542"/>
      <c r="AK60" s="542"/>
      <c r="AL60" s="542"/>
      <c r="AM60" s="542"/>
      <c r="AN60" s="542"/>
      <c r="AO60" s="542"/>
      <c r="AP60" s="542">
        <f>IF(Table_NFI[[#This Row],[Winter Clothes Adult]]+Table_NFI[[#This Row],[Winter Clothes Children]]+Table_NFI[[#This Row],[Winter Items Other]]+Table_NFI[[#This Row],[Winter Blanket]]&gt;0,1,0)</f>
        <v>0</v>
      </c>
      <c r="AQ60" s="542"/>
      <c r="AR60" s="542"/>
      <c r="AS60" s="542"/>
      <c r="AT60" s="205" t="str">
        <f>IFERROR(VLOOKUP(Table_NFI[[#This Row],[Location]],CL,2,0),"")</f>
        <v>MMR001CMP033</v>
      </c>
      <c r="AU60" s="183"/>
      <c r="AV60" s="183"/>
      <c r="DP60" s="534"/>
    </row>
    <row r="61" spans="2:120" ht="18.75" customHeight="1" x14ac:dyDescent="0.3">
      <c r="B61" s="540">
        <v>42860</v>
      </c>
      <c r="C61" s="540" t="str">
        <f>MONTH(Table_NFI[[#This Row],[Distribution Date]]) &amp; "/" &amp; YEAR(Table_NFI[[#This Row],[Distribution Date]])</f>
        <v>5/2017</v>
      </c>
      <c r="D61" s="198" t="s">
        <v>420</v>
      </c>
      <c r="E61" s="198" t="s">
        <v>462</v>
      </c>
      <c r="F61" s="198" t="s">
        <v>378</v>
      </c>
      <c r="G61" s="198" t="s">
        <v>309</v>
      </c>
      <c r="H61" s="198" t="s">
        <v>315</v>
      </c>
      <c r="I61" s="183"/>
      <c r="J61" s="541"/>
      <c r="K61" s="541"/>
      <c r="L61" s="541">
        <v>2</v>
      </c>
      <c r="M61" s="541">
        <v>2</v>
      </c>
      <c r="N61" s="541">
        <v>7</v>
      </c>
      <c r="O61" s="541">
        <v>6</v>
      </c>
      <c r="P61" s="541">
        <v>7</v>
      </c>
      <c r="Q61" s="541">
        <v>2</v>
      </c>
      <c r="R61" s="541"/>
      <c r="S61" s="541">
        <v>2</v>
      </c>
      <c r="T61" s="541">
        <v>9</v>
      </c>
      <c r="U61" s="541"/>
      <c r="V61" s="541"/>
      <c r="W61" s="541"/>
      <c r="X61" s="541"/>
      <c r="Y61" s="541"/>
      <c r="Z61" s="541"/>
      <c r="AA61" s="541"/>
      <c r="AB61" s="541"/>
      <c r="AC61" s="542"/>
      <c r="AD61" s="542"/>
      <c r="AE61" s="542"/>
      <c r="AF61" s="542"/>
      <c r="AG61" s="542"/>
      <c r="AH61" s="542"/>
      <c r="AI61" s="542"/>
      <c r="AJ61" s="542"/>
      <c r="AK61" s="542"/>
      <c r="AL61" s="542"/>
      <c r="AM61" s="542"/>
      <c r="AN61" s="542"/>
      <c r="AO61" s="542"/>
      <c r="AP61" s="542">
        <f>IF(Table_NFI[[#This Row],[Winter Clothes Adult]]+Table_NFI[[#This Row],[Winter Clothes Children]]+Table_NFI[[#This Row],[Winter Items Other]]+Table_NFI[[#This Row],[Winter Blanket]]&gt;0,1,0)</f>
        <v>0</v>
      </c>
      <c r="AQ61" s="542"/>
      <c r="AR61" s="542"/>
      <c r="AS61" s="542"/>
      <c r="AT61" s="205" t="str">
        <f>IFERROR(VLOOKUP(Table_NFI[[#This Row],[Location]],CL,2,0),"")</f>
        <v>MMR001CMP038</v>
      </c>
      <c r="AU61" s="183"/>
      <c r="AV61" s="183"/>
      <c r="DP61" s="534"/>
    </row>
    <row r="62" spans="2:120" ht="18.75" customHeight="1" x14ac:dyDescent="0.3">
      <c r="B62" s="540">
        <v>42865</v>
      </c>
      <c r="C62" s="540" t="str">
        <f>MONTH(Table_NFI[[#This Row],[Distribution Date]]) &amp; "/" &amp; YEAR(Table_NFI[[#This Row],[Distribution Date]])</f>
        <v>5/2017</v>
      </c>
      <c r="D62" s="198" t="s">
        <v>1261</v>
      </c>
      <c r="E62" s="198" t="s">
        <v>1261</v>
      </c>
      <c r="F62" s="198" t="s">
        <v>378</v>
      </c>
      <c r="G62" s="198" t="s">
        <v>5</v>
      </c>
      <c r="H62" s="198" t="s">
        <v>1274</v>
      </c>
      <c r="I62" s="183"/>
      <c r="J62" s="541"/>
      <c r="K62" s="541"/>
      <c r="L62" s="541"/>
      <c r="M62" s="541"/>
      <c r="N62" s="541">
        <v>54</v>
      </c>
      <c r="O62" s="541">
        <v>6</v>
      </c>
      <c r="P62" s="541">
        <v>108</v>
      </c>
      <c r="Q62" s="541">
        <v>54</v>
      </c>
      <c r="R62" s="541"/>
      <c r="S62" s="541"/>
      <c r="T62" s="541">
        <v>54</v>
      </c>
      <c r="U62" s="541"/>
      <c r="V62" s="541"/>
      <c r="W62" s="541"/>
      <c r="X62" s="541"/>
      <c r="Y62" s="541"/>
      <c r="Z62" s="541"/>
      <c r="AA62" s="541"/>
      <c r="AB62" s="541"/>
      <c r="AC62" s="542"/>
      <c r="AD62" s="542"/>
      <c r="AE62" s="542"/>
      <c r="AF62" s="542"/>
      <c r="AG62" s="542"/>
      <c r="AH62" s="542"/>
      <c r="AI62" s="542"/>
      <c r="AJ62" s="542"/>
      <c r="AK62" s="542"/>
      <c r="AL62" s="542"/>
      <c r="AM62" s="542"/>
      <c r="AN62" s="542"/>
      <c r="AO62" s="542"/>
      <c r="AP62" s="542">
        <f>IF(Table_NFI[[#This Row],[Winter Clothes Adult]]+Table_NFI[[#This Row],[Winter Clothes Children]]+Table_NFI[[#This Row],[Winter Items Other]]+Table_NFI[[#This Row],[Winter Blanket]]&gt;0,1,0)</f>
        <v>0</v>
      </c>
      <c r="AQ62" s="542"/>
      <c r="AR62" s="542"/>
      <c r="AS62" s="542"/>
      <c r="AT62" s="205" t="str">
        <f>IFERROR(VLOOKUP(Table_NFI[[#This Row],[Location]],CL,2,0),"")</f>
        <v/>
      </c>
      <c r="AU62" s="183" t="s">
        <v>1275</v>
      </c>
      <c r="AV62" s="183"/>
      <c r="DP62" s="534"/>
    </row>
    <row r="63" spans="2:120" ht="18.75" customHeight="1" x14ac:dyDescent="0.3">
      <c r="B63" s="540">
        <v>42867</v>
      </c>
      <c r="C63" s="540" t="str">
        <f>MONTH(Table_NFI[[#This Row],[Distribution Date]]) &amp; "/" &amp; YEAR(Table_NFI[[#This Row],[Distribution Date]])</f>
        <v>5/2017</v>
      </c>
      <c r="D63" s="197" t="s">
        <v>1261</v>
      </c>
      <c r="E63" s="198" t="s">
        <v>1261</v>
      </c>
      <c r="F63" s="198" t="s">
        <v>378</v>
      </c>
      <c r="G63" s="198" t="s">
        <v>151</v>
      </c>
      <c r="H63" s="197" t="s">
        <v>801</v>
      </c>
      <c r="I63" s="199"/>
      <c r="J63" s="541"/>
      <c r="K63" s="541"/>
      <c r="L63" s="541"/>
      <c r="M63" s="541"/>
      <c r="N63" s="541"/>
      <c r="O63" s="541"/>
      <c r="P63" s="541">
        <v>350</v>
      </c>
      <c r="Q63" s="541">
        <v>38</v>
      </c>
      <c r="R63" s="541"/>
      <c r="S63" s="541"/>
      <c r="T63" s="541">
        <v>175</v>
      </c>
      <c r="U63" s="541"/>
      <c r="V63" s="541"/>
      <c r="W63" s="541"/>
      <c r="X63" s="541"/>
      <c r="Y63" s="541"/>
      <c r="Z63" s="541"/>
      <c r="AA63" s="541"/>
      <c r="AB63" s="541"/>
      <c r="AC63" s="542"/>
      <c r="AD63" s="542"/>
      <c r="AE63" s="542"/>
      <c r="AF63" s="542"/>
      <c r="AG63" s="542"/>
      <c r="AH63" s="542"/>
      <c r="AI63" s="542"/>
      <c r="AJ63" s="542"/>
      <c r="AK63" s="542"/>
      <c r="AL63" s="542"/>
      <c r="AM63" s="542"/>
      <c r="AN63" s="542"/>
      <c r="AO63" s="542"/>
      <c r="AP63" s="542">
        <f>IF(Table_NFI[[#This Row],[Winter Clothes Adult]]+Table_NFI[[#This Row],[Winter Clothes Children]]+Table_NFI[[#This Row],[Winter Items Other]]+Table_NFI[[#This Row],[Winter Blanket]]&gt;0,1,0)</f>
        <v>0</v>
      </c>
      <c r="AQ63" s="542"/>
      <c r="AR63" s="542"/>
      <c r="AS63" s="542"/>
      <c r="AT63" s="205" t="str">
        <f>IFERROR(VLOOKUP(Table_NFI[[#This Row],[Location]],CL,2,0),"")</f>
        <v>MMR001CMP213</v>
      </c>
      <c r="AU63" s="199"/>
      <c r="AV63" s="183"/>
      <c r="DP63" s="534"/>
    </row>
    <row r="64" spans="2:120" ht="18.75" customHeight="1" x14ac:dyDescent="0.3">
      <c r="B64" s="540">
        <v>42880</v>
      </c>
      <c r="C64" s="540" t="str">
        <f>MONTH(Table_NFI[[#This Row],[Distribution Date]]) &amp; "/" &amp; YEAR(Table_NFI[[#This Row],[Distribution Date]])</f>
        <v>5/2017</v>
      </c>
      <c r="D64" s="197" t="s">
        <v>1261</v>
      </c>
      <c r="E64" s="198" t="s">
        <v>1261</v>
      </c>
      <c r="F64" s="197" t="s">
        <v>506</v>
      </c>
      <c r="G64" s="197" t="s">
        <v>719</v>
      </c>
      <c r="H64" s="197" t="s">
        <v>1060</v>
      </c>
      <c r="I64" s="199"/>
      <c r="J64" s="541"/>
      <c r="K64" s="541"/>
      <c r="L64" s="541"/>
      <c r="M64" s="541"/>
      <c r="N64" s="541">
        <v>57</v>
      </c>
      <c r="O64" s="541"/>
      <c r="P64" s="541"/>
      <c r="Q64" s="541">
        <v>57</v>
      </c>
      <c r="R64" s="541"/>
      <c r="S64" s="541"/>
      <c r="T64" s="541">
        <v>57</v>
      </c>
      <c r="U64" s="541"/>
      <c r="V64" s="541"/>
      <c r="W64" s="541"/>
      <c r="X64" s="541"/>
      <c r="Y64" s="541"/>
      <c r="Z64" s="541"/>
      <c r="AA64" s="541"/>
      <c r="AB64" s="541"/>
      <c r="AC64" s="542"/>
      <c r="AD64" s="542"/>
      <c r="AE64" s="542"/>
      <c r="AF64" s="542"/>
      <c r="AG64" s="542"/>
      <c r="AH64" s="542"/>
      <c r="AI64" s="542"/>
      <c r="AJ64" s="542"/>
      <c r="AK64" s="542"/>
      <c r="AL64" s="542"/>
      <c r="AM64" s="542"/>
      <c r="AN64" s="542"/>
      <c r="AO64" s="542"/>
      <c r="AP64" s="542">
        <f>IF(Table_NFI[[#This Row],[Winter Clothes Adult]]+Table_NFI[[#This Row],[Winter Clothes Children]]+Table_NFI[[#This Row],[Winter Items Other]]+Table_NFI[[#This Row],[Winter Blanket]]&gt;0,1,0)</f>
        <v>0</v>
      </c>
      <c r="AQ64" s="542"/>
      <c r="AR64" s="542"/>
      <c r="AS64" s="542"/>
      <c r="AT64" s="205" t="str">
        <f>IFERROR(VLOOKUP(Table_NFI[[#This Row],[Location]],CL,2,0),"")</f>
        <v>MMR015CMP218</v>
      </c>
      <c r="AU64" s="199" t="s">
        <v>1276</v>
      </c>
      <c r="AV64" s="183"/>
      <c r="DP64" s="534"/>
    </row>
    <row r="65" spans="2:120" ht="18.75" customHeight="1" x14ac:dyDescent="0.3">
      <c r="B65" s="540">
        <v>42881</v>
      </c>
      <c r="C65" s="540" t="str">
        <f>MONTH(Table_NFI[[#This Row],[Distribution Date]]) &amp; "/" &amp; YEAR(Table_NFI[[#This Row],[Distribution Date]])</f>
        <v>5/2017</v>
      </c>
      <c r="D65" s="197" t="s">
        <v>1261</v>
      </c>
      <c r="E65" s="198" t="s">
        <v>1261</v>
      </c>
      <c r="F65" s="197" t="s">
        <v>506</v>
      </c>
      <c r="G65" s="197" t="s">
        <v>146</v>
      </c>
      <c r="H65" s="197" t="s">
        <v>1232</v>
      </c>
      <c r="I65" s="197"/>
      <c r="J65" s="541"/>
      <c r="K65" s="541"/>
      <c r="L65" s="541"/>
      <c r="M65" s="541"/>
      <c r="N65" s="541">
        <v>46</v>
      </c>
      <c r="O65" s="541">
        <v>12</v>
      </c>
      <c r="P65" s="541">
        <v>92</v>
      </c>
      <c r="Q65" s="541">
        <v>46</v>
      </c>
      <c r="R65" s="541"/>
      <c r="S65" s="541"/>
      <c r="T65" s="541">
        <v>46</v>
      </c>
      <c r="U65" s="541"/>
      <c r="V65" s="541"/>
      <c r="W65" s="541"/>
      <c r="X65" s="541"/>
      <c r="Y65" s="541"/>
      <c r="Z65" s="541"/>
      <c r="AA65" s="541"/>
      <c r="AB65" s="541"/>
      <c r="AC65" s="542"/>
      <c r="AD65" s="542"/>
      <c r="AE65" s="542"/>
      <c r="AF65" s="542"/>
      <c r="AG65" s="542"/>
      <c r="AH65" s="542"/>
      <c r="AI65" s="542"/>
      <c r="AJ65" s="542"/>
      <c r="AK65" s="542"/>
      <c r="AL65" s="542"/>
      <c r="AM65" s="542"/>
      <c r="AN65" s="542"/>
      <c r="AO65" s="542"/>
      <c r="AP65" s="542">
        <f>IF(Table_NFI[[#This Row],[Winter Clothes Adult]]+Table_NFI[[#This Row],[Winter Clothes Children]]+Table_NFI[[#This Row],[Winter Items Other]]+Table_NFI[[#This Row],[Winter Blanket]]&gt;0,1,0)</f>
        <v>0</v>
      </c>
      <c r="AQ65" s="542"/>
      <c r="AR65" s="542"/>
      <c r="AS65" s="542"/>
      <c r="AT65" s="205" t="str">
        <f>IFERROR(VLOOKUP(Table_NFI[[#This Row],[Location]],CL,2,0),"")</f>
        <v>MMR015CMP245</v>
      </c>
      <c r="AU65" s="199" t="s">
        <v>1276</v>
      </c>
      <c r="AV65" s="183"/>
      <c r="DP65" s="534"/>
    </row>
    <row r="66" spans="2:120" ht="18.75" customHeight="1" x14ac:dyDescent="0.3">
      <c r="B66" s="540">
        <v>42882</v>
      </c>
      <c r="C66" s="540" t="str">
        <f>MONTH(Table_NFI[[#This Row],[Distribution Date]]) &amp; "/" &amp; YEAR(Table_NFI[[#This Row],[Distribution Date]])</f>
        <v>5/2017</v>
      </c>
      <c r="D66" s="198" t="s">
        <v>1261</v>
      </c>
      <c r="E66" s="198" t="s">
        <v>1261</v>
      </c>
      <c r="F66" s="198" t="s">
        <v>506</v>
      </c>
      <c r="G66" s="198" t="s">
        <v>146</v>
      </c>
      <c r="H66" s="197" t="s">
        <v>1241</v>
      </c>
      <c r="I66" s="197"/>
      <c r="J66" s="541"/>
      <c r="K66" s="541"/>
      <c r="L66" s="541"/>
      <c r="M66" s="541"/>
      <c r="N66" s="541">
        <v>24</v>
      </c>
      <c r="O66" s="541">
        <v>9</v>
      </c>
      <c r="P66" s="541">
        <v>48</v>
      </c>
      <c r="Q66" s="541">
        <v>24</v>
      </c>
      <c r="R66" s="541"/>
      <c r="S66" s="541"/>
      <c r="T66" s="541">
        <v>24</v>
      </c>
      <c r="U66" s="541"/>
      <c r="V66" s="541"/>
      <c r="W66" s="541"/>
      <c r="X66" s="541"/>
      <c r="Y66" s="541"/>
      <c r="Z66" s="541"/>
      <c r="AA66" s="541"/>
      <c r="AB66" s="541"/>
      <c r="AC66" s="542"/>
      <c r="AD66" s="542"/>
      <c r="AE66" s="542"/>
      <c r="AF66" s="542"/>
      <c r="AG66" s="542"/>
      <c r="AH66" s="542"/>
      <c r="AI66" s="542"/>
      <c r="AJ66" s="542"/>
      <c r="AK66" s="542"/>
      <c r="AL66" s="542"/>
      <c r="AM66" s="542"/>
      <c r="AN66" s="542"/>
      <c r="AO66" s="542"/>
      <c r="AP66" s="542">
        <f>IF(Table_NFI[[#This Row],[Winter Clothes Adult]]+Table_NFI[[#This Row],[Winter Clothes Children]]+Table_NFI[[#This Row],[Winter Items Other]]+Table_NFI[[#This Row],[Winter Blanket]]&gt;0,1,0)</f>
        <v>0</v>
      </c>
      <c r="AQ66" s="542"/>
      <c r="AR66" s="542"/>
      <c r="AS66" s="542"/>
      <c r="AT66" s="205" t="str">
        <f>IFERROR(VLOOKUP(Table_NFI[[#This Row],[Location]],CL,2,0),"")</f>
        <v>MMR015CMP246</v>
      </c>
      <c r="AU66" s="199" t="s">
        <v>1276</v>
      </c>
      <c r="AV66" s="183"/>
      <c r="DP66" s="534"/>
    </row>
    <row r="67" spans="2:120" ht="18.75" customHeight="1" x14ac:dyDescent="0.3">
      <c r="B67" s="540">
        <v>42882</v>
      </c>
      <c r="C67" s="540" t="str">
        <f>MONTH(Table_NFI[[#This Row],[Distribution Date]]) &amp; "/" &amp; YEAR(Table_NFI[[#This Row],[Distribution Date]])</f>
        <v>5/2017</v>
      </c>
      <c r="D67" s="198" t="s">
        <v>1261</v>
      </c>
      <c r="E67" s="198" t="s">
        <v>1261</v>
      </c>
      <c r="F67" s="198" t="s">
        <v>506</v>
      </c>
      <c r="G67" s="198" t="s">
        <v>146</v>
      </c>
      <c r="H67" s="197" t="s">
        <v>1232</v>
      </c>
      <c r="I67" s="199"/>
      <c r="J67" s="541"/>
      <c r="K67" s="541"/>
      <c r="L67" s="541"/>
      <c r="M67" s="541"/>
      <c r="N67" s="541"/>
      <c r="O67" s="541">
        <v>24</v>
      </c>
      <c r="P67" s="541"/>
      <c r="Q67" s="541"/>
      <c r="R67" s="541"/>
      <c r="S67" s="541"/>
      <c r="T67" s="541"/>
      <c r="U67" s="541"/>
      <c r="V67" s="541"/>
      <c r="W67" s="541"/>
      <c r="X67" s="541"/>
      <c r="Y67" s="541"/>
      <c r="Z67" s="541"/>
      <c r="AA67" s="541"/>
      <c r="AB67" s="541"/>
      <c r="AC67" s="542"/>
      <c r="AD67" s="542"/>
      <c r="AE67" s="542"/>
      <c r="AF67" s="542"/>
      <c r="AG67" s="542"/>
      <c r="AH67" s="542"/>
      <c r="AI67" s="542"/>
      <c r="AJ67" s="542"/>
      <c r="AK67" s="542"/>
      <c r="AL67" s="542"/>
      <c r="AM67" s="542"/>
      <c r="AN67" s="542"/>
      <c r="AO67" s="542"/>
      <c r="AP67" s="542">
        <f>IF(Table_NFI[[#This Row],[Winter Clothes Adult]]+Table_NFI[[#This Row],[Winter Clothes Children]]+Table_NFI[[#This Row],[Winter Items Other]]+Table_NFI[[#This Row],[Winter Blanket]]&gt;0,1,0)</f>
        <v>0</v>
      </c>
      <c r="AQ67" s="542"/>
      <c r="AR67" s="542"/>
      <c r="AS67" s="542"/>
      <c r="AT67" s="205" t="str">
        <f>IFERROR(VLOOKUP(Table_NFI[[#This Row],[Location]],CL,2,0),"")</f>
        <v>MMR015CMP245</v>
      </c>
      <c r="AU67" s="199"/>
      <c r="AV67" s="183"/>
      <c r="DP67" s="534"/>
    </row>
    <row r="68" spans="2:120" ht="18.75" customHeight="1" x14ac:dyDescent="0.3">
      <c r="B68" s="540">
        <v>42883</v>
      </c>
      <c r="C68" s="540" t="str">
        <f>MONTH(Table_NFI[[#This Row],[Distribution Date]]) &amp; "/" &amp; YEAR(Table_NFI[[#This Row],[Distribution Date]])</f>
        <v>5/2017</v>
      </c>
      <c r="D68" s="198" t="s">
        <v>1261</v>
      </c>
      <c r="E68" s="198" t="s">
        <v>1261</v>
      </c>
      <c r="F68" s="198" t="s">
        <v>506</v>
      </c>
      <c r="G68" s="198" t="s">
        <v>146</v>
      </c>
      <c r="H68" s="197" t="s">
        <v>1618</v>
      </c>
      <c r="I68" s="197"/>
      <c r="J68" s="541"/>
      <c r="K68" s="541"/>
      <c r="L68" s="541"/>
      <c r="M68" s="541"/>
      <c r="N68" s="541">
        <v>143</v>
      </c>
      <c r="O68" s="541">
        <v>62</v>
      </c>
      <c r="P68" s="541">
        <v>286</v>
      </c>
      <c r="Q68" s="541">
        <v>143</v>
      </c>
      <c r="R68" s="541"/>
      <c r="S68" s="541"/>
      <c r="T68" s="541">
        <v>143</v>
      </c>
      <c r="U68" s="541"/>
      <c r="V68" s="541"/>
      <c r="W68" s="541"/>
      <c r="X68" s="541"/>
      <c r="Y68" s="541"/>
      <c r="Z68" s="541"/>
      <c r="AA68" s="541"/>
      <c r="AB68" s="541"/>
      <c r="AC68" s="542"/>
      <c r="AD68" s="542"/>
      <c r="AE68" s="542"/>
      <c r="AF68" s="542"/>
      <c r="AG68" s="542"/>
      <c r="AH68" s="542"/>
      <c r="AI68" s="542"/>
      <c r="AJ68" s="542"/>
      <c r="AK68" s="542"/>
      <c r="AL68" s="542"/>
      <c r="AM68" s="542"/>
      <c r="AN68" s="542"/>
      <c r="AO68" s="542"/>
      <c r="AP68" s="542">
        <f>IF(Table_NFI[[#This Row],[Winter Clothes Adult]]+Table_NFI[[#This Row],[Winter Clothes Children]]+Table_NFI[[#This Row],[Winter Items Other]]+Table_NFI[[#This Row],[Winter Blanket]]&gt;0,1,0)</f>
        <v>0</v>
      </c>
      <c r="AQ68" s="542"/>
      <c r="AR68" s="542"/>
      <c r="AS68" s="542"/>
      <c r="AT68" s="205" t="str">
        <f>IFERROR(VLOOKUP(Table_NFI[[#This Row],[Location]],CL,2,0),"")</f>
        <v>MMR015CMP220</v>
      </c>
      <c r="AU68" s="199" t="s">
        <v>1276</v>
      </c>
      <c r="AV68" s="183"/>
      <c r="DP68" s="534"/>
    </row>
    <row r="69" spans="2:120" ht="18.75" customHeight="1" x14ac:dyDescent="0.3">
      <c r="B69" s="540">
        <v>42885</v>
      </c>
      <c r="C69" s="540" t="str">
        <f>MONTH(Table_NFI[[#This Row],[Distribution Date]]) &amp; "/" &amp; YEAR(Table_NFI[[#This Row],[Distribution Date]])</f>
        <v>5/2017</v>
      </c>
      <c r="D69" s="198" t="s">
        <v>1261</v>
      </c>
      <c r="E69" s="198" t="s">
        <v>1261</v>
      </c>
      <c r="F69" s="198" t="s">
        <v>506</v>
      </c>
      <c r="G69" s="198" t="s">
        <v>297</v>
      </c>
      <c r="H69" s="197" t="s">
        <v>759</v>
      </c>
      <c r="I69" s="197"/>
      <c r="J69" s="541"/>
      <c r="K69" s="541"/>
      <c r="L69" s="541"/>
      <c r="M69" s="541"/>
      <c r="N69" s="541">
        <v>46</v>
      </c>
      <c r="O69" s="541">
        <v>9</v>
      </c>
      <c r="P69" s="541">
        <v>46</v>
      </c>
      <c r="Q69" s="541">
        <v>46</v>
      </c>
      <c r="R69" s="541"/>
      <c r="S69" s="541"/>
      <c r="T69" s="541">
        <v>46</v>
      </c>
      <c r="U69" s="541"/>
      <c r="V69" s="541"/>
      <c r="W69" s="541"/>
      <c r="X69" s="541"/>
      <c r="Y69" s="541"/>
      <c r="Z69" s="541"/>
      <c r="AA69" s="541"/>
      <c r="AB69" s="541"/>
      <c r="AC69" s="542"/>
      <c r="AD69" s="542"/>
      <c r="AE69" s="542"/>
      <c r="AF69" s="542"/>
      <c r="AG69" s="542"/>
      <c r="AH69" s="542"/>
      <c r="AI69" s="542"/>
      <c r="AJ69" s="542"/>
      <c r="AK69" s="542"/>
      <c r="AL69" s="542"/>
      <c r="AM69" s="542"/>
      <c r="AN69" s="542"/>
      <c r="AO69" s="542"/>
      <c r="AP69" s="542">
        <f>IF(Table_NFI[[#This Row],[Winter Clothes Adult]]+Table_NFI[[#This Row],[Winter Clothes Children]]+Table_NFI[[#This Row],[Winter Items Other]]+Table_NFI[[#This Row],[Winter Blanket]]&gt;0,1,0)</f>
        <v>0</v>
      </c>
      <c r="AQ69" s="542"/>
      <c r="AR69" s="542"/>
      <c r="AS69" s="542"/>
      <c r="AT69" s="205" t="str">
        <f>IFERROR(VLOOKUP(Table_NFI[[#This Row],[Location]],CL,2,0),"")</f>
        <v>MMR015CMP014</v>
      </c>
      <c r="AU69" s="199" t="s">
        <v>1276</v>
      </c>
      <c r="AV69" s="183"/>
      <c r="DP69" s="534"/>
    </row>
    <row r="70" spans="2:120" ht="18.75" customHeight="1" x14ac:dyDescent="0.3">
      <c r="B70" s="540">
        <v>42885</v>
      </c>
      <c r="C70" s="540" t="str">
        <f>MONTH(Table_NFI[[#This Row],[Distribution Date]]) &amp; "/" &amp; YEAR(Table_NFI[[#This Row],[Distribution Date]])</f>
        <v>5/2017</v>
      </c>
      <c r="D70" s="198" t="s">
        <v>1261</v>
      </c>
      <c r="E70" s="198" t="s">
        <v>1261</v>
      </c>
      <c r="F70" s="198" t="s">
        <v>506</v>
      </c>
      <c r="G70" s="198" t="s">
        <v>297</v>
      </c>
      <c r="H70" s="197" t="s">
        <v>1191</v>
      </c>
      <c r="I70" s="197"/>
      <c r="J70" s="541"/>
      <c r="K70" s="541"/>
      <c r="L70" s="541"/>
      <c r="M70" s="541"/>
      <c r="N70" s="541">
        <v>25</v>
      </c>
      <c r="O70" s="541">
        <v>5</v>
      </c>
      <c r="P70" s="541">
        <v>25</v>
      </c>
      <c r="Q70" s="541">
        <v>25</v>
      </c>
      <c r="R70" s="541"/>
      <c r="S70" s="541"/>
      <c r="T70" s="541">
        <v>25</v>
      </c>
      <c r="U70" s="541"/>
      <c r="V70" s="541"/>
      <c r="W70" s="541"/>
      <c r="X70" s="541"/>
      <c r="Y70" s="541"/>
      <c r="Z70" s="541"/>
      <c r="AA70" s="541"/>
      <c r="AB70" s="541"/>
      <c r="AC70" s="542"/>
      <c r="AD70" s="542"/>
      <c r="AE70" s="542"/>
      <c r="AF70" s="542"/>
      <c r="AG70" s="542"/>
      <c r="AH70" s="542"/>
      <c r="AI70" s="542"/>
      <c r="AJ70" s="542"/>
      <c r="AK70" s="542"/>
      <c r="AL70" s="542"/>
      <c r="AM70" s="542"/>
      <c r="AN70" s="542"/>
      <c r="AO70" s="542"/>
      <c r="AP70" s="542">
        <f>IF(Table_NFI[[#This Row],[Winter Clothes Adult]]+Table_NFI[[#This Row],[Winter Clothes Children]]+Table_NFI[[#This Row],[Winter Items Other]]+Table_NFI[[#This Row],[Winter Blanket]]&gt;0,1,0)</f>
        <v>0</v>
      </c>
      <c r="AQ70" s="542"/>
      <c r="AR70" s="542"/>
      <c r="AS70" s="542"/>
      <c r="AT70" s="205" t="str">
        <f>IFERROR(VLOOKUP(Table_NFI[[#This Row],[Location]],CL,2,0),"")</f>
        <v>MMR015CMP232</v>
      </c>
      <c r="AU70" s="199" t="s">
        <v>1276</v>
      </c>
      <c r="AV70" s="183"/>
      <c r="DP70" s="534"/>
    </row>
    <row r="71" spans="2:120" ht="18.75" customHeight="1" x14ac:dyDescent="0.3">
      <c r="B71" s="540">
        <v>42885</v>
      </c>
      <c r="C71" s="540" t="str">
        <f>MONTH(Table_NFI[[#This Row],[Distribution Date]]) &amp; "/" &amp; YEAR(Table_NFI[[#This Row],[Distribution Date]])</f>
        <v>5/2017</v>
      </c>
      <c r="D71" s="198" t="s">
        <v>1261</v>
      </c>
      <c r="E71" s="198" t="s">
        <v>1261</v>
      </c>
      <c r="F71" s="198" t="s">
        <v>506</v>
      </c>
      <c r="G71" s="198" t="s">
        <v>297</v>
      </c>
      <c r="H71" s="197" t="s">
        <v>1137</v>
      </c>
      <c r="I71" s="197"/>
      <c r="J71" s="541"/>
      <c r="K71" s="541"/>
      <c r="L71" s="541"/>
      <c r="M71" s="541"/>
      <c r="N71" s="541">
        <v>16</v>
      </c>
      <c r="O71" s="541">
        <v>3</v>
      </c>
      <c r="P71" s="541">
        <v>16</v>
      </c>
      <c r="Q71" s="541">
        <v>16</v>
      </c>
      <c r="R71" s="541"/>
      <c r="S71" s="541"/>
      <c r="T71" s="541">
        <v>16</v>
      </c>
      <c r="U71" s="541"/>
      <c r="V71" s="541"/>
      <c r="W71" s="541"/>
      <c r="X71" s="541"/>
      <c r="Y71" s="541"/>
      <c r="Z71" s="541"/>
      <c r="AA71" s="541"/>
      <c r="AB71" s="541"/>
      <c r="AC71" s="542"/>
      <c r="AD71" s="542"/>
      <c r="AE71" s="542"/>
      <c r="AF71" s="542"/>
      <c r="AG71" s="542"/>
      <c r="AH71" s="542"/>
      <c r="AI71" s="542"/>
      <c r="AJ71" s="542"/>
      <c r="AK71" s="542"/>
      <c r="AL71" s="542"/>
      <c r="AM71" s="542"/>
      <c r="AN71" s="542"/>
      <c r="AO71" s="542"/>
      <c r="AP71" s="542">
        <f>IF(Table_NFI[[#This Row],[Winter Clothes Adult]]+Table_NFI[[#This Row],[Winter Clothes Children]]+Table_NFI[[#This Row],[Winter Items Other]]+Table_NFI[[#This Row],[Winter Blanket]]&gt;0,1,0)</f>
        <v>0</v>
      </c>
      <c r="AQ71" s="542"/>
      <c r="AR71" s="542"/>
      <c r="AS71" s="542"/>
      <c r="AT71" s="205" t="str">
        <f>IFERROR(VLOOKUP(Table_NFI[[#This Row],[Location]],CL,2,0),"")</f>
        <v>MMR015CMP221</v>
      </c>
      <c r="AU71" s="199" t="s">
        <v>1276</v>
      </c>
      <c r="AV71" s="183"/>
      <c r="DP71" s="534"/>
    </row>
    <row r="72" spans="2:120" ht="18.75" customHeight="1" x14ac:dyDescent="0.3">
      <c r="B72" s="540">
        <v>42885</v>
      </c>
      <c r="C72" s="540" t="str">
        <f>MONTH(Table_NFI[[#This Row],[Distribution Date]]) &amp; "/" &amp; YEAR(Table_NFI[[#This Row],[Distribution Date]])</f>
        <v>5/2017</v>
      </c>
      <c r="D72" s="198" t="s">
        <v>1261</v>
      </c>
      <c r="E72" s="198" t="s">
        <v>1261</v>
      </c>
      <c r="F72" s="198" t="s">
        <v>506</v>
      </c>
      <c r="G72" s="198" t="s">
        <v>297</v>
      </c>
      <c r="H72" s="197" t="s">
        <v>1278</v>
      </c>
      <c r="I72" s="197"/>
      <c r="J72" s="541"/>
      <c r="K72" s="541"/>
      <c r="L72" s="541"/>
      <c r="M72" s="541"/>
      <c r="N72" s="541">
        <v>60</v>
      </c>
      <c r="O72" s="541"/>
      <c r="P72" s="541">
        <v>60</v>
      </c>
      <c r="Q72" s="541">
        <v>60</v>
      </c>
      <c r="R72" s="541"/>
      <c r="S72" s="541"/>
      <c r="T72" s="541">
        <v>60</v>
      </c>
      <c r="U72" s="541"/>
      <c r="V72" s="541"/>
      <c r="W72" s="541"/>
      <c r="X72" s="541"/>
      <c r="Y72" s="541"/>
      <c r="Z72" s="541"/>
      <c r="AA72" s="541"/>
      <c r="AB72" s="541"/>
      <c r="AC72" s="542"/>
      <c r="AD72" s="542"/>
      <c r="AE72" s="542"/>
      <c r="AF72" s="542"/>
      <c r="AG72" s="542"/>
      <c r="AH72" s="542"/>
      <c r="AI72" s="542"/>
      <c r="AJ72" s="542"/>
      <c r="AK72" s="542"/>
      <c r="AL72" s="542"/>
      <c r="AM72" s="542"/>
      <c r="AN72" s="542"/>
      <c r="AO72" s="542"/>
      <c r="AP72" s="542">
        <f>IF(Table_NFI[[#This Row],[Winter Clothes Adult]]+Table_NFI[[#This Row],[Winter Clothes Children]]+Table_NFI[[#This Row],[Winter Items Other]]+Table_NFI[[#This Row],[Winter Blanket]]&gt;0,1,0)</f>
        <v>0</v>
      </c>
      <c r="AQ72" s="542"/>
      <c r="AR72" s="542"/>
      <c r="AS72" s="542"/>
      <c r="AT72" s="205" t="str">
        <f>IFERROR(VLOOKUP(Table_NFI[[#This Row],[Location]],CL,2,0),"")</f>
        <v>MMR015CMP248</v>
      </c>
      <c r="AU72" s="199" t="s">
        <v>1276</v>
      </c>
      <c r="AV72" s="183"/>
      <c r="DP72" s="534"/>
    </row>
    <row r="73" spans="2:120" ht="18.75" customHeight="1" x14ac:dyDescent="0.3">
      <c r="B73" s="546">
        <v>42893</v>
      </c>
      <c r="C73" s="546" t="str">
        <f>MONTH(Table_NFI[[#This Row],[Distribution Date]]) &amp; "/" &amp; YEAR(Table_NFI[[#This Row],[Distribution Date]])</f>
        <v>6/2017</v>
      </c>
      <c r="D73" s="544" t="s">
        <v>1261</v>
      </c>
      <c r="E73" s="544" t="s">
        <v>424</v>
      </c>
      <c r="F73" s="544" t="s">
        <v>378</v>
      </c>
      <c r="G73" s="544" t="s">
        <v>5</v>
      </c>
      <c r="H73" s="544" t="s">
        <v>12</v>
      </c>
      <c r="I73" s="547"/>
      <c r="J73" s="548"/>
      <c r="K73" s="548"/>
      <c r="L73" s="548"/>
      <c r="M73" s="548"/>
      <c r="N73" s="548">
        <v>79</v>
      </c>
      <c r="O73" s="548"/>
      <c r="P73" s="548">
        <v>158</v>
      </c>
      <c r="Q73" s="548">
        <v>79</v>
      </c>
      <c r="R73" s="548"/>
      <c r="S73" s="548"/>
      <c r="T73" s="548">
        <v>79</v>
      </c>
      <c r="U73" s="548"/>
      <c r="V73" s="548"/>
      <c r="W73" s="548"/>
      <c r="X73" s="548"/>
      <c r="Y73" s="548"/>
      <c r="Z73" s="548"/>
      <c r="AA73" s="548"/>
      <c r="AB73" s="548"/>
      <c r="AC73" s="549"/>
      <c r="AD73" s="549"/>
      <c r="AE73" s="549"/>
      <c r="AF73" s="549"/>
      <c r="AG73" s="549"/>
      <c r="AH73" s="549"/>
      <c r="AI73" s="549"/>
      <c r="AJ73" s="549"/>
      <c r="AK73" s="549"/>
      <c r="AL73" s="549"/>
      <c r="AM73" s="549"/>
      <c r="AN73" s="549"/>
      <c r="AO73" s="549"/>
      <c r="AP73" s="549">
        <f>IF(Table_NFI[[#This Row],[Winter Clothes Adult]]+Table_NFI[[#This Row],[Winter Clothes Children]]+Table_NFI[[#This Row],[Winter Items Other]]+Table_NFI[[#This Row],[Winter Blanket]]&gt;0,1,0)</f>
        <v>0</v>
      </c>
      <c r="AQ73" s="549"/>
      <c r="AR73" s="549"/>
      <c r="AS73" s="549"/>
      <c r="AT73" s="550" t="str">
        <f>IFERROR(VLOOKUP(Table_NFI[[#This Row],[Location]],CL,2,0),"")</f>
        <v>MMR001CMP163</v>
      </c>
      <c r="AU73" s="551"/>
      <c r="AV73" s="183"/>
      <c r="DP73" s="534"/>
    </row>
    <row r="74" spans="2:120" ht="18.75" customHeight="1" x14ac:dyDescent="0.3">
      <c r="B74" s="546">
        <v>42900</v>
      </c>
      <c r="C74" s="546" t="str">
        <f>MONTH(Table_NFI[[#This Row],[Distribution Date]]) &amp; "/" &amp; YEAR(Table_NFI[[#This Row],[Distribution Date]])</f>
        <v>6/2017</v>
      </c>
      <c r="D74" s="544" t="s">
        <v>1261</v>
      </c>
      <c r="E74" s="544" t="s">
        <v>424</v>
      </c>
      <c r="F74" s="198" t="s">
        <v>378</v>
      </c>
      <c r="G74" s="198" t="s">
        <v>151</v>
      </c>
      <c r="H74" s="544" t="s">
        <v>911</v>
      </c>
      <c r="I74" s="547"/>
      <c r="J74" s="548"/>
      <c r="K74" s="548"/>
      <c r="L74" s="548"/>
      <c r="M74" s="548"/>
      <c r="N74" s="548">
        <v>143</v>
      </c>
      <c r="O74" s="548"/>
      <c r="P74" s="548">
        <v>27</v>
      </c>
      <c r="Q74" s="548">
        <v>83</v>
      </c>
      <c r="R74" s="548"/>
      <c r="S74" s="548"/>
      <c r="T74" s="548">
        <v>143</v>
      </c>
      <c r="U74" s="548"/>
      <c r="V74" s="548"/>
      <c r="W74" s="548"/>
      <c r="X74" s="548"/>
      <c r="Y74" s="548"/>
      <c r="Z74" s="548">
        <v>167</v>
      </c>
      <c r="AA74" s="548"/>
      <c r="AB74" s="548"/>
      <c r="AC74" s="549"/>
      <c r="AD74" s="549"/>
      <c r="AE74" s="549"/>
      <c r="AF74" s="549"/>
      <c r="AG74" s="549"/>
      <c r="AH74" s="549"/>
      <c r="AI74" s="549"/>
      <c r="AJ74" s="549"/>
      <c r="AK74" s="549"/>
      <c r="AL74" s="549"/>
      <c r="AM74" s="549"/>
      <c r="AN74" s="549"/>
      <c r="AO74" s="549"/>
      <c r="AP74" s="549">
        <f>IF(Table_NFI[[#This Row],[Winter Clothes Adult]]+Table_NFI[[#This Row],[Winter Clothes Children]]+Table_NFI[[#This Row],[Winter Items Other]]+Table_NFI[[#This Row],[Winter Blanket]]&gt;0,1,0)</f>
        <v>0</v>
      </c>
      <c r="AQ74" s="549"/>
      <c r="AR74" s="549"/>
      <c r="AS74" s="549"/>
      <c r="AT74" s="550" t="str">
        <f>IFERROR(VLOOKUP(Table_NFI[[#This Row],[Location]],CL,2,0),"")</f>
        <v>MMR001CMP228</v>
      </c>
      <c r="AU74" s="551"/>
      <c r="AV74" s="183"/>
      <c r="DP74" s="534"/>
    </row>
    <row r="75" spans="2:120" ht="18.75" customHeight="1" x14ac:dyDescent="0.3">
      <c r="B75" s="546">
        <v>42900</v>
      </c>
      <c r="C75" s="546" t="str">
        <f>MONTH(Table_NFI[[#This Row],[Distribution Date]]) &amp; "/" &amp; YEAR(Table_NFI[[#This Row],[Distribution Date]])</f>
        <v>6/2017</v>
      </c>
      <c r="D75" s="544" t="s">
        <v>1261</v>
      </c>
      <c r="E75" s="544" t="s">
        <v>424</v>
      </c>
      <c r="F75" s="198" t="s">
        <v>378</v>
      </c>
      <c r="G75" s="198" t="s">
        <v>151</v>
      </c>
      <c r="H75" s="544" t="s">
        <v>160</v>
      </c>
      <c r="I75" s="547"/>
      <c r="J75" s="548"/>
      <c r="K75" s="548"/>
      <c r="L75" s="548"/>
      <c r="M75" s="548"/>
      <c r="N75" s="548">
        <v>40</v>
      </c>
      <c r="O75" s="548"/>
      <c r="P75" s="548"/>
      <c r="Q75" s="548"/>
      <c r="R75" s="548"/>
      <c r="S75" s="548"/>
      <c r="T75" s="548">
        <v>39</v>
      </c>
      <c r="U75" s="548"/>
      <c r="V75" s="548"/>
      <c r="W75" s="548"/>
      <c r="X75" s="548"/>
      <c r="Y75" s="548"/>
      <c r="Z75" s="548">
        <v>139</v>
      </c>
      <c r="AA75" s="548"/>
      <c r="AB75" s="548"/>
      <c r="AC75" s="549"/>
      <c r="AD75" s="549"/>
      <c r="AE75" s="549"/>
      <c r="AF75" s="549"/>
      <c r="AG75" s="549"/>
      <c r="AH75" s="549"/>
      <c r="AI75" s="549"/>
      <c r="AJ75" s="549"/>
      <c r="AK75" s="549"/>
      <c r="AL75" s="549"/>
      <c r="AM75" s="549"/>
      <c r="AN75" s="549"/>
      <c r="AO75" s="549"/>
      <c r="AP75" s="549">
        <f>IF(Table_NFI[[#This Row],[Winter Clothes Adult]]+Table_NFI[[#This Row],[Winter Clothes Children]]+Table_NFI[[#This Row],[Winter Items Other]]+Table_NFI[[#This Row],[Winter Blanket]]&gt;0,1,0)</f>
        <v>0</v>
      </c>
      <c r="AQ75" s="549"/>
      <c r="AR75" s="549"/>
      <c r="AS75" s="549"/>
      <c r="AT75" s="550" t="str">
        <f>IFERROR(VLOOKUP(Table_NFI[[#This Row],[Location]],CL,2,0),"")</f>
        <v>MMR001CMP133</v>
      </c>
      <c r="AU75" s="551"/>
      <c r="AV75" s="183"/>
      <c r="DP75" s="534"/>
    </row>
    <row r="76" spans="2:120" ht="18.75" customHeight="1" x14ac:dyDescent="0.3">
      <c r="B76" s="552">
        <v>42903</v>
      </c>
      <c r="C76" s="552" t="str">
        <f>MONTH(Table_NFI[[#This Row],[Distribution Date]]) &amp; "/" &amp; YEAR(Table_NFI[[#This Row],[Distribution Date]])</f>
        <v>6/2017</v>
      </c>
      <c r="D76" s="544" t="s">
        <v>778</v>
      </c>
      <c r="E76" s="198"/>
      <c r="F76" s="198" t="s">
        <v>378</v>
      </c>
      <c r="G76" s="198" t="s">
        <v>1136</v>
      </c>
      <c r="H76" s="197" t="s">
        <v>1136</v>
      </c>
      <c r="I76" s="547">
        <v>288</v>
      </c>
      <c r="J76" s="548"/>
      <c r="K76" s="548"/>
      <c r="L76" s="548"/>
      <c r="M76" s="548"/>
      <c r="N76" s="548"/>
      <c r="O76" s="548"/>
      <c r="P76" s="548"/>
      <c r="Q76" s="548"/>
      <c r="R76" s="548"/>
      <c r="S76" s="548"/>
      <c r="T76" s="548"/>
      <c r="U76" s="548"/>
      <c r="V76" s="548"/>
      <c r="W76" s="548"/>
      <c r="X76" s="548"/>
      <c r="Y76" s="548"/>
      <c r="Z76" s="548"/>
      <c r="AA76" s="548"/>
      <c r="AB76" s="548"/>
      <c r="AC76" s="549"/>
      <c r="AD76" s="549"/>
      <c r="AE76" s="549"/>
      <c r="AF76" s="549"/>
      <c r="AG76" s="549"/>
      <c r="AH76" s="549"/>
      <c r="AI76" s="549"/>
      <c r="AJ76" s="549"/>
      <c r="AK76" s="549"/>
      <c r="AL76" s="549"/>
      <c r="AM76" s="549"/>
      <c r="AN76" s="549"/>
      <c r="AO76" s="549"/>
      <c r="AP76" s="549">
        <f>IF(Table_NFI[[#This Row],[Winter Clothes Adult]]+Table_NFI[[#This Row],[Winter Clothes Children]]+Table_NFI[[#This Row],[Winter Items Other]]+Table_NFI[[#This Row],[Winter Blanket]]&gt;0,1,0)</f>
        <v>0</v>
      </c>
      <c r="AQ76" s="549"/>
      <c r="AR76" s="549"/>
      <c r="AS76" s="549"/>
      <c r="AT76" s="550" t="str">
        <f>IFERROR(VLOOKUP(Table_NFI[[#This Row],[Location]],CL,2,0),"")</f>
        <v/>
      </c>
      <c r="AU76" s="544" t="s">
        <v>1382</v>
      </c>
      <c r="AV76" s="183"/>
      <c r="DP76" s="534"/>
    </row>
    <row r="77" spans="2:120" ht="18.75" customHeight="1" x14ac:dyDescent="0.3">
      <c r="B77" s="552">
        <v>42903</v>
      </c>
      <c r="C77" s="552" t="str">
        <f>MONTH(Table_NFI[[#This Row],[Distribution Date]]) &amp; "/" &amp; YEAR(Table_NFI[[#This Row],[Distribution Date]])</f>
        <v>6/2017</v>
      </c>
      <c r="D77" s="198" t="s">
        <v>825</v>
      </c>
      <c r="E77" s="198"/>
      <c r="F77" s="198" t="s">
        <v>378</v>
      </c>
      <c r="G77" s="198" t="s">
        <v>1136</v>
      </c>
      <c r="H77" s="197" t="s">
        <v>1136</v>
      </c>
      <c r="I77" s="197"/>
      <c r="J77" s="548"/>
      <c r="K77" s="548"/>
      <c r="L77" s="548"/>
      <c r="M77" s="548"/>
      <c r="N77" s="548">
        <v>255</v>
      </c>
      <c r="O77" s="548">
        <v>255</v>
      </c>
      <c r="P77" s="548">
        <v>255</v>
      </c>
      <c r="Q77" s="548"/>
      <c r="R77" s="548"/>
      <c r="S77" s="548"/>
      <c r="T77" s="548"/>
      <c r="U77" s="548"/>
      <c r="V77" s="548"/>
      <c r="W77" s="548"/>
      <c r="X77" s="548"/>
      <c r="Y77" s="548"/>
      <c r="Z77" s="548"/>
      <c r="AA77" s="548"/>
      <c r="AB77" s="548"/>
      <c r="AC77" s="549"/>
      <c r="AD77" s="549"/>
      <c r="AE77" s="549"/>
      <c r="AF77" s="549"/>
      <c r="AG77" s="549"/>
      <c r="AH77" s="549"/>
      <c r="AI77" s="549"/>
      <c r="AJ77" s="549"/>
      <c r="AK77" s="549"/>
      <c r="AL77" s="549"/>
      <c r="AM77" s="549"/>
      <c r="AN77" s="549"/>
      <c r="AO77" s="549"/>
      <c r="AP77" s="549">
        <f>IF(Table_NFI[[#This Row],[Winter Clothes Adult]]+Table_NFI[[#This Row],[Winter Clothes Children]]+Table_NFI[[#This Row],[Winter Items Other]]+Table_NFI[[#This Row],[Winter Blanket]]&gt;0,1,0)</f>
        <v>0</v>
      </c>
      <c r="AQ77" s="549"/>
      <c r="AR77" s="549"/>
      <c r="AS77" s="549"/>
      <c r="AT77" s="550" t="str">
        <f>IFERROR(VLOOKUP(Table_NFI[[#This Row],[Location]],CL,2,0),"")</f>
        <v/>
      </c>
      <c r="AU77" s="544" t="s">
        <v>1381</v>
      </c>
      <c r="AV77" s="183"/>
      <c r="DP77" s="534"/>
    </row>
    <row r="78" spans="2:120" ht="18.75" customHeight="1" x14ac:dyDescent="0.3">
      <c r="B78" s="546">
        <v>42914</v>
      </c>
      <c r="C78" s="546" t="str">
        <f>MONTH(Table_NFI[[#This Row],[Distribution Date]]) &amp; "/" &amp; YEAR(Table_NFI[[#This Row],[Distribution Date]])</f>
        <v>6/2017</v>
      </c>
      <c r="D78" s="544" t="s">
        <v>1261</v>
      </c>
      <c r="E78" s="544" t="s">
        <v>424</v>
      </c>
      <c r="F78" s="544" t="s">
        <v>378</v>
      </c>
      <c r="G78" s="544" t="s">
        <v>5</v>
      </c>
      <c r="H78" s="544" t="s">
        <v>24</v>
      </c>
      <c r="I78" s="547"/>
      <c r="J78" s="548"/>
      <c r="K78" s="548"/>
      <c r="L78" s="548"/>
      <c r="M78" s="548"/>
      <c r="N78" s="548">
        <v>20</v>
      </c>
      <c r="O78" s="548"/>
      <c r="P78" s="548">
        <v>40</v>
      </c>
      <c r="Q78" s="548">
        <v>20</v>
      </c>
      <c r="R78" s="548"/>
      <c r="S78" s="548"/>
      <c r="T78" s="548">
        <v>20</v>
      </c>
      <c r="U78" s="548"/>
      <c r="V78" s="548"/>
      <c r="W78" s="548"/>
      <c r="X78" s="548"/>
      <c r="Y78" s="548"/>
      <c r="Z78" s="548"/>
      <c r="AA78" s="548"/>
      <c r="AB78" s="548"/>
      <c r="AC78" s="549"/>
      <c r="AD78" s="549"/>
      <c r="AE78" s="549"/>
      <c r="AF78" s="549"/>
      <c r="AG78" s="549"/>
      <c r="AH78" s="549"/>
      <c r="AI78" s="549"/>
      <c r="AJ78" s="549"/>
      <c r="AK78" s="549"/>
      <c r="AL78" s="549"/>
      <c r="AM78" s="549"/>
      <c r="AN78" s="549"/>
      <c r="AO78" s="549"/>
      <c r="AP78" s="549">
        <f>IF(Table_NFI[[#This Row],[Winter Clothes Adult]]+Table_NFI[[#This Row],[Winter Clothes Children]]+Table_NFI[[#This Row],[Winter Items Other]]+Table_NFI[[#This Row],[Winter Blanket]]&gt;0,1,0)</f>
        <v>0</v>
      </c>
      <c r="AQ78" s="549"/>
      <c r="AR78" s="549"/>
      <c r="AS78" s="549"/>
      <c r="AT78" s="550" t="str">
        <f>IFERROR(VLOOKUP(Table_NFI[[#This Row],[Location]],CL,2,0),"")</f>
        <v>MMR001CMP055</v>
      </c>
      <c r="AU78" s="551"/>
      <c r="AV78" s="183"/>
      <c r="DP78" s="534"/>
    </row>
    <row r="79" spans="2:120" ht="18.75" customHeight="1" x14ac:dyDescent="0.3">
      <c r="B79" s="546">
        <v>42915</v>
      </c>
      <c r="C79" s="546" t="str">
        <f>MONTH(Table_NFI[[#This Row],[Distribution Date]]) &amp; "/" &amp; YEAR(Table_NFI[[#This Row],[Distribution Date]])</f>
        <v>6/2017</v>
      </c>
      <c r="D79" s="544" t="s">
        <v>1261</v>
      </c>
      <c r="E79" s="544" t="s">
        <v>424</v>
      </c>
      <c r="F79" s="544" t="s">
        <v>378</v>
      </c>
      <c r="G79" s="544" t="s">
        <v>5</v>
      </c>
      <c r="H79" s="544" t="s">
        <v>20</v>
      </c>
      <c r="I79" s="547"/>
      <c r="J79" s="548"/>
      <c r="K79" s="548"/>
      <c r="L79" s="548"/>
      <c r="M79" s="548"/>
      <c r="N79" s="548"/>
      <c r="O79" s="548"/>
      <c r="P79" s="548"/>
      <c r="Q79" s="548">
        <v>22</v>
      </c>
      <c r="R79" s="548"/>
      <c r="S79" s="548"/>
      <c r="T79" s="548"/>
      <c r="U79" s="548"/>
      <c r="V79" s="548"/>
      <c r="W79" s="548"/>
      <c r="X79" s="548"/>
      <c r="Y79" s="548"/>
      <c r="Z79" s="548"/>
      <c r="AA79" s="548"/>
      <c r="AB79" s="548"/>
      <c r="AC79" s="549"/>
      <c r="AD79" s="549"/>
      <c r="AE79" s="549"/>
      <c r="AF79" s="549"/>
      <c r="AG79" s="549"/>
      <c r="AH79" s="549"/>
      <c r="AI79" s="549"/>
      <c r="AJ79" s="549"/>
      <c r="AK79" s="549"/>
      <c r="AL79" s="549"/>
      <c r="AM79" s="549"/>
      <c r="AN79" s="549"/>
      <c r="AO79" s="549"/>
      <c r="AP79" s="549">
        <f>IF(Table_NFI[[#This Row],[Winter Clothes Adult]]+Table_NFI[[#This Row],[Winter Clothes Children]]+Table_NFI[[#This Row],[Winter Items Other]]+Table_NFI[[#This Row],[Winter Blanket]]&gt;0,1,0)</f>
        <v>0</v>
      </c>
      <c r="AQ79" s="549"/>
      <c r="AR79" s="549"/>
      <c r="AS79" s="549"/>
      <c r="AT79" s="550" t="str">
        <f>IFERROR(VLOOKUP(Table_NFI[[#This Row],[Location]],CL,2,0),"")</f>
        <v>MMR001CMP054</v>
      </c>
      <c r="AU79" s="551"/>
      <c r="AV79" s="183"/>
      <c r="DP79" s="534"/>
    </row>
    <row r="80" spans="2:120" ht="18.75" customHeight="1" x14ac:dyDescent="0.3">
      <c r="B80" s="546">
        <v>42915</v>
      </c>
      <c r="C80" s="546" t="str">
        <f>MONTH(Table_NFI[[#This Row],[Distribution Date]]) &amp; "/" &amp; YEAR(Table_NFI[[#This Row],[Distribution Date]])</f>
        <v>6/2017</v>
      </c>
      <c r="D80" s="544" t="s">
        <v>1261</v>
      </c>
      <c r="E80" s="544" t="s">
        <v>424</v>
      </c>
      <c r="F80" s="544" t="s">
        <v>378</v>
      </c>
      <c r="G80" s="544" t="s">
        <v>5</v>
      </c>
      <c r="H80" s="544" t="s">
        <v>26</v>
      </c>
      <c r="I80" s="547"/>
      <c r="J80" s="548"/>
      <c r="K80" s="548"/>
      <c r="L80" s="548"/>
      <c r="M80" s="548"/>
      <c r="N80" s="548"/>
      <c r="O80" s="548"/>
      <c r="P80" s="548"/>
      <c r="Q80" s="548">
        <v>14</v>
      </c>
      <c r="R80" s="548"/>
      <c r="S80" s="548"/>
      <c r="T80" s="548"/>
      <c r="U80" s="548"/>
      <c r="V80" s="548"/>
      <c r="W80" s="548"/>
      <c r="X80" s="548"/>
      <c r="Y80" s="548"/>
      <c r="Z80" s="548"/>
      <c r="AA80" s="548"/>
      <c r="AB80" s="548"/>
      <c r="AC80" s="549"/>
      <c r="AD80" s="549"/>
      <c r="AE80" s="549"/>
      <c r="AF80" s="549"/>
      <c r="AG80" s="549"/>
      <c r="AH80" s="549"/>
      <c r="AI80" s="549"/>
      <c r="AJ80" s="549"/>
      <c r="AK80" s="549"/>
      <c r="AL80" s="549"/>
      <c r="AM80" s="549"/>
      <c r="AN80" s="549"/>
      <c r="AO80" s="549"/>
      <c r="AP80" s="549">
        <f>IF(Table_NFI[[#This Row],[Winter Clothes Adult]]+Table_NFI[[#This Row],[Winter Clothes Children]]+Table_NFI[[#This Row],[Winter Items Other]]+Table_NFI[[#This Row],[Winter Blanket]]&gt;0,1,0)</f>
        <v>0</v>
      </c>
      <c r="AQ80" s="549"/>
      <c r="AR80" s="549"/>
      <c r="AS80" s="549"/>
      <c r="AT80" s="550" t="str">
        <f>IFERROR(VLOOKUP(Table_NFI[[#This Row],[Location]],CL,2,0),"")</f>
        <v>MMR001CMP053</v>
      </c>
      <c r="AU80" s="551"/>
      <c r="AV80" s="183"/>
      <c r="DP80" s="534"/>
    </row>
    <row r="81" spans="2:120" ht="18.75" customHeight="1" x14ac:dyDescent="0.3">
      <c r="B81" s="553">
        <v>42944</v>
      </c>
      <c r="C81" s="553" t="str">
        <f>MONTH(Table_NFI[[#This Row],[Distribution Date]]) &amp; "/" &amp; YEAR(Table_NFI[[#This Row],[Distribution Date]])</f>
        <v>7/2017</v>
      </c>
      <c r="D81" s="544" t="s">
        <v>420</v>
      </c>
      <c r="E81" s="544" t="s">
        <v>462</v>
      </c>
      <c r="F81" s="544" t="s">
        <v>378</v>
      </c>
      <c r="G81" s="544" t="s">
        <v>237</v>
      </c>
      <c r="H81" s="544" t="s">
        <v>1515</v>
      </c>
      <c r="I81" s="547"/>
      <c r="J81" s="548"/>
      <c r="K81" s="548"/>
      <c r="L81" s="548">
        <v>17</v>
      </c>
      <c r="M81" s="548">
        <v>14</v>
      </c>
      <c r="N81" s="548">
        <v>25</v>
      </c>
      <c r="O81" s="548">
        <v>17</v>
      </c>
      <c r="P81" s="548">
        <v>38</v>
      </c>
      <c r="Q81" s="548">
        <v>17</v>
      </c>
      <c r="R81" s="548"/>
      <c r="S81" s="548">
        <v>17</v>
      </c>
      <c r="T81" s="548">
        <v>26</v>
      </c>
      <c r="U81" s="548"/>
      <c r="V81" s="548"/>
      <c r="W81" s="548"/>
      <c r="X81" s="548"/>
      <c r="Y81" s="548">
        <v>17</v>
      </c>
      <c r="Z81" s="548"/>
      <c r="AA81" s="548"/>
      <c r="AB81" s="548">
        <v>17</v>
      </c>
      <c r="AC81" s="549"/>
      <c r="AD81" s="549"/>
      <c r="AE81" s="549"/>
      <c r="AF81" s="549"/>
      <c r="AG81" s="549"/>
      <c r="AH81" s="549"/>
      <c r="AI81" s="549"/>
      <c r="AJ81" s="549"/>
      <c r="AK81" s="549"/>
      <c r="AL81" s="549"/>
      <c r="AM81" s="549"/>
      <c r="AN81" s="549"/>
      <c r="AO81" s="549"/>
      <c r="AP81" s="549">
        <f>IF(Table_NFI[[#This Row],[Winter Clothes Adult]]+Table_NFI[[#This Row],[Winter Clothes Children]]+Table_NFI[[#This Row],[Winter Items Other]]+Table_NFI[[#This Row],[Winter Blanket]]&gt;0,1,0)</f>
        <v>0</v>
      </c>
      <c r="AQ81" s="549"/>
      <c r="AR81" s="549"/>
      <c r="AS81" s="549"/>
      <c r="AT81" s="550" t="str">
        <f>IFERROR(VLOOKUP(Table_NFI[[#This Row],[Location]],CL,2,0),"")</f>
        <v>MMR001CMP256</v>
      </c>
      <c r="AU81" s="551"/>
      <c r="AV81" s="183"/>
      <c r="DP81" s="534"/>
    </row>
    <row r="82" spans="2:120" ht="18.75" customHeight="1" x14ac:dyDescent="0.3">
      <c r="B82" s="553">
        <v>42948</v>
      </c>
      <c r="C82" s="553" t="str">
        <f>MONTH(Table_NFI[[#This Row],[Distribution Date]]) &amp; "/" &amp; YEAR(Table_NFI[[#This Row],[Distribution Date]])</f>
        <v>8/2017</v>
      </c>
      <c r="D82" s="219" t="s">
        <v>1261</v>
      </c>
      <c r="E82" s="198" t="s">
        <v>1261</v>
      </c>
      <c r="F82" s="219" t="s">
        <v>378</v>
      </c>
      <c r="G82" s="197" t="s">
        <v>185</v>
      </c>
      <c r="H82" s="219" t="s">
        <v>190</v>
      </c>
      <c r="I82" s="547"/>
      <c r="J82" s="548"/>
      <c r="K82" s="548"/>
      <c r="L82" s="548"/>
      <c r="M82" s="548"/>
      <c r="N82" s="548"/>
      <c r="O82" s="548">
        <v>2</v>
      </c>
      <c r="P82" s="548"/>
      <c r="Q82" s="548"/>
      <c r="R82" s="548"/>
      <c r="S82" s="548"/>
      <c r="T82" s="548"/>
      <c r="U82" s="548"/>
      <c r="V82" s="548"/>
      <c r="W82" s="548"/>
      <c r="X82" s="548"/>
      <c r="Y82" s="548"/>
      <c r="Z82" s="548"/>
      <c r="AA82" s="548"/>
      <c r="AB82" s="548"/>
      <c r="AC82" s="549"/>
      <c r="AD82" s="549"/>
      <c r="AE82" s="549"/>
      <c r="AF82" s="549"/>
      <c r="AG82" s="549"/>
      <c r="AH82" s="549"/>
      <c r="AI82" s="549"/>
      <c r="AJ82" s="549"/>
      <c r="AK82" s="549"/>
      <c r="AL82" s="549"/>
      <c r="AM82" s="549"/>
      <c r="AN82" s="549"/>
      <c r="AO82" s="549"/>
      <c r="AP82" s="549">
        <f>IF(Table_NFI[[#This Row],[Winter Clothes Adult]]+Table_NFI[[#This Row],[Winter Clothes Children]]+Table_NFI[[#This Row],[Winter Items Other]]+Table_NFI[[#This Row],[Winter Blanket]]&gt;0,1,0)</f>
        <v>0</v>
      </c>
      <c r="AQ82" s="549"/>
      <c r="AR82" s="549"/>
      <c r="AS82" s="549"/>
      <c r="AT82" s="550" t="str">
        <f>IFERROR(VLOOKUP(Table_NFI[[#This Row],[Location]],CL,2,0),"")</f>
        <v>MMR001CMP070</v>
      </c>
      <c r="AU82" s="551"/>
      <c r="AV82" s="183"/>
      <c r="DP82" s="534"/>
    </row>
    <row r="83" spans="2:120" ht="18.75" customHeight="1" x14ac:dyDescent="0.3">
      <c r="B83" s="553">
        <v>42948</v>
      </c>
      <c r="C83" s="553" t="str">
        <f>MONTH(Table_NFI[[#This Row],[Distribution Date]]) &amp; "/" &amp; YEAR(Table_NFI[[#This Row],[Distribution Date]])</f>
        <v>8/2017</v>
      </c>
      <c r="D83" s="219" t="s">
        <v>1261</v>
      </c>
      <c r="E83" s="198" t="s">
        <v>1261</v>
      </c>
      <c r="F83" s="219" t="s">
        <v>378</v>
      </c>
      <c r="G83" s="219" t="s">
        <v>5</v>
      </c>
      <c r="H83" s="219" t="s">
        <v>24</v>
      </c>
      <c r="I83" s="547"/>
      <c r="J83" s="548"/>
      <c r="K83" s="548"/>
      <c r="L83" s="548"/>
      <c r="M83" s="548"/>
      <c r="N83" s="548"/>
      <c r="O83" s="548">
        <v>2</v>
      </c>
      <c r="P83" s="548"/>
      <c r="Q83" s="548"/>
      <c r="R83" s="548"/>
      <c r="S83" s="548"/>
      <c r="T83" s="548"/>
      <c r="U83" s="548"/>
      <c r="V83" s="548"/>
      <c r="W83" s="548"/>
      <c r="X83" s="548"/>
      <c r="Y83" s="548"/>
      <c r="Z83" s="548"/>
      <c r="AA83" s="548"/>
      <c r="AB83" s="548"/>
      <c r="AC83" s="549"/>
      <c r="AD83" s="549"/>
      <c r="AE83" s="549"/>
      <c r="AF83" s="549"/>
      <c r="AG83" s="549"/>
      <c r="AH83" s="549"/>
      <c r="AI83" s="549"/>
      <c r="AJ83" s="549"/>
      <c r="AK83" s="549"/>
      <c r="AL83" s="549"/>
      <c r="AM83" s="549"/>
      <c r="AN83" s="549"/>
      <c r="AO83" s="549"/>
      <c r="AP83" s="549">
        <f>IF(Table_NFI[[#This Row],[Winter Clothes Adult]]+Table_NFI[[#This Row],[Winter Clothes Children]]+Table_NFI[[#This Row],[Winter Items Other]]+Table_NFI[[#This Row],[Winter Blanket]]&gt;0,1,0)</f>
        <v>0</v>
      </c>
      <c r="AQ83" s="549"/>
      <c r="AR83" s="549"/>
      <c r="AS83" s="549"/>
      <c r="AT83" s="550" t="str">
        <f>IFERROR(VLOOKUP(Table_NFI[[#This Row],[Location]],CL,2,0),"")</f>
        <v>MMR001CMP055</v>
      </c>
      <c r="AU83" s="551"/>
      <c r="AV83" s="183"/>
      <c r="DP83" s="534"/>
    </row>
    <row r="84" spans="2:120" ht="18.75" customHeight="1" x14ac:dyDescent="0.3">
      <c r="B84" s="553">
        <v>42954</v>
      </c>
      <c r="C84" s="553" t="str">
        <f>MONTH(Table_NFI[[#This Row],[Distribution Date]]) &amp; "/" &amp; YEAR(Table_NFI[[#This Row],[Distribution Date]])</f>
        <v>8/2017</v>
      </c>
      <c r="D84" s="219" t="s">
        <v>1261</v>
      </c>
      <c r="E84" s="219" t="s">
        <v>424</v>
      </c>
      <c r="F84" s="219" t="s">
        <v>378</v>
      </c>
      <c r="G84" s="198" t="s">
        <v>301</v>
      </c>
      <c r="H84" s="219" t="s">
        <v>1519</v>
      </c>
      <c r="I84" s="547"/>
      <c r="J84" s="548"/>
      <c r="K84" s="548"/>
      <c r="L84" s="548"/>
      <c r="M84" s="548"/>
      <c r="N84" s="548">
        <v>60</v>
      </c>
      <c r="O84" s="548">
        <v>10</v>
      </c>
      <c r="P84" s="548">
        <v>60</v>
      </c>
      <c r="Q84" s="548"/>
      <c r="R84" s="548">
        <v>60</v>
      </c>
      <c r="S84" s="548">
        <v>30</v>
      </c>
      <c r="T84" s="548">
        <v>60</v>
      </c>
      <c r="U84" s="548"/>
      <c r="V84" s="548"/>
      <c r="W84" s="548"/>
      <c r="X84" s="548"/>
      <c r="Y84" s="548"/>
      <c r="Z84" s="548">
        <v>60</v>
      </c>
      <c r="AA84" s="548"/>
      <c r="AB84" s="548"/>
      <c r="AC84" s="549"/>
      <c r="AD84" s="549"/>
      <c r="AE84" s="549"/>
      <c r="AF84" s="549"/>
      <c r="AG84" s="549"/>
      <c r="AH84" s="549"/>
      <c r="AI84" s="549"/>
      <c r="AJ84" s="549"/>
      <c r="AK84" s="549"/>
      <c r="AL84" s="549"/>
      <c r="AM84" s="549"/>
      <c r="AN84" s="549"/>
      <c r="AO84" s="549"/>
      <c r="AP84" s="549">
        <f>IF(Table_NFI[[#This Row],[Winter Clothes Adult]]+Table_NFI[[#This Row],[Winter Clothes Children]]+Table_NFI[[#This Row],[Winter Items Other]]+Table_NFI[[#This Row],[Winter Blanket]]&gt;0,1,0)</f>
        <v>0</v>
      </c>
      <c r="AQ84" s="549"/>
      <c r="AR84" s="549"/>
      <c r="AS84" s="549"/>
      <c r="AT84" s="550" t="str">
        <f>IFERROR(VLOOKUP(Table_NFI[[#This Row],[Location]],CL,2,0),"")</f>
        <v/>
      </c>
      <c r="AU84" s="551"/>
      <c r="AV84" s="183"/>
      <c r="DP84" s="534"/>
    </row>
    <row r="85" spans="2:120" ht="18.75" customHeight="1" x14ac:dyDescent="0.3">
      <c r="B85" s="546">
        <v>42962</v>
      </c>
      <c r="C85" s="546" t="str">
        <f>MONTH(Table_NFI[[#This Row],[Distribution Date]]) &amp; "/" &amp; YEAR(Table_NFI[[#This Row],[Distribution Date]])</f>
        <v>8/2017</v>
      </c>
      <c r="D85" s="544" t="s">
        <v>1383</v>
      </c>
      <c r="E85" s="197" t="s">
        <v>1383</v>
      </c>
      <c r="F85" s="544" t="s">
        <v>378</v>
      </c>
      <c r="G85" s="198" t="s">
        <v>301</v>
      </c>
      <c r="H85" s="544" t="s">
        <v>1528</v>
      </c>
      <c r="I85" s="547"/>
      <c r="J85" s="548"/>
      <c r="K85" s="548"/>
      <c r="L85" s="548"/>
      <c r="M85" s="548"/>
      <c r="N85" s="548">
        <v>10</v>
      </c>
      <c r="O85" s="548"/>
      <c r="P85" s="548">
        <v>10</v>
      </c>
      <c r="Q85" s="548">
        <v>5</v>
      </c>
      <c r="R85" s="548"/>
      <c r="S85" s="548"/>
      <c r="T85" s="548">
        <v>10</v>
      </c>
      <c r="U85" s="548"/>
      <c r="V85" s="548"/>
      <c r="W85" s="548"/>
      <c r="X85" s="548"/>
      <c r="Y85" s="548"/>
      <c r="Z85" s="548"/>
      <c r="AA85" s="548"/>
      <c r="AB85" s="548"/>
      <c r="AC85" s="549"/>
      <c r="AD85" s="549"/>
      <c r="AE85" s="549"/>
      <c r="AF85" s="549"/>
      <c r="AG85" s="549"/>
      <c r="AH85" s="549"/>
      <c r="AI85" s="549"/>
      <c r="AJ85" s="549"/>
      <c r="AK85" s="549"/>
      <c r="AL85" s="549"/>
      <c r="AM85" s="549"/>
      <c r="AN85" s="549"/>
      <c r="AO85" s="549"/>
      <c r="AP85" s="549">
        <f>IF(Table_NFI[[#This Row],[Winter Clothes Adult]]+Table_NFI[[#This Row],[Winter Clothes Children]]+Table_NFI[[#This Row],[Winter Items Other]]+Table_NFI[[#This Row],[Winter Blanket]]&gt;0,1,0)</f>
        <v>0</v>
      </c>
      <c r="AQ85" s="549"/>
      <c r="AR85" s="549"/>
      <c r="AS85" s="549"/>
      <c r="AT85" s="550" t="str">
        <f>IFERROR(VLOOKUP(Table_NFI[[#This Row],[Location]],CL,2,0),"")</f>
        <v/>
      </c>
      <c r="AU85" s="551"/>
      <c r="AV85" s="183"/>
      <c r="DP85" s="534"/>
    </row>
    <row r="86" spans="2:120" ht="18.75" customHeight="1" x14ac:dyDescent="0.3">
      <c r="B86" s="546">
        <v>42962</v>
      </c>
      <c r="C86" s="546" t="str">
        <f>MONTH(Table_NFI[[#This Row],[Distribution Date]]) &amp; "/" &amp; YEAR(Table_NFI[[#This Row],[Distribution Date]])</f>
        <v>8/2017</v>
      </c>
      <c r="D86" s="544" t="s">
        <v>1383</v>
      </c>
      <c r="E86" s="197" t="s">
        <v>1383</v>
      </c>
      <c r="F86" s="544" t="s">
        <v>378</v>
      </c>
      <c r="G86" s="198" t="s">
        <v>301</v>
      </c>
      <c r="H86" s="544" t="s">
        <v>1527</v>
      </c>
      <c r="I86" s="547"/>
      <c r="J86" s="548"/>
      <c r="K86" s="548"/>
      <c r="L86" s="548"/>
      <c r="M86" s="548"/>
      <c r="N86" s="548">
        <v>4</v>
      </c>
      <c r="O86" s="548"/>
      <c r="P86" s="548">
        <v>4</v>
      </c>
      <c r="Q86" s="548">
        <v>2</v>
      </c>
      <c r="R86" s="548"/>
      <c r="S86" s="548"/>
      <c r="T86" s="548">
        <v>4</v>
      </c>
      <c r="U86" s="548"/>
      <c r="V86" s="548"/>
      <c r="W86" s="548"/>
      <c r="X86" s="548"/>
      <c r="Y86" s="548"/>
      <c r="Z86" s="548"/>
      <c r="AA86" s="548"/>
      <c r="AB86" s="548"/>
      <c r="AC86" s="549"/>
      <c r="AD86" s="549"/>
      <c r="AE86" s="549"/>
      <c r="AF86" s="549"/>
      <c r="AG86" s="549"/>
      <c r="AH86" s="549"/>
      <c r="AI86" s="549"/>
      <c r="AJ86" s="549"/>
      <c r="AK86" s="549"/>
      <c r="AL86" s="549"/>
      <c r="AM86" s="549"/>
      <c r="AN86" s="549"/>
      <c r="AO86" s="549"/>
      <c r="AP86" s="549">
        <f>IF(Table_NFI[[#This Row],[Winter Clothes Adult]]+Table_NFI[[#This Row],[Winter Clothes Children]]+Table_NFI[[#This Row],[Winter Items Other]]+Table_NFI[[#This Row],[Winter Blanket]]&gt;0,1,0)</f>
        <v>0</v>
      </c>
      <c r="AQ86" s="549"/>
      <c r="AR86" s="549"/>
      <c r="AS86" s="549"/>
      <c r="AT86" s="550" t="str">
        <f>IFERROR(VLOOKUP(Table_NFI[[#This Row],[Location]],CL,2,0),"")</f>
        <v/>
      </c>
      <c r="AU86" s="551"/>
      <c r="AV86" s="183"/>
      <c r="DP86" s="534"/>
    </row>
    <row r="87" spans="2:120" ht="18.75" customHeight="1" x14ac:dyDescent="0.3">
      <c r="B87" s="553">
        <v>42962</v>
      </c>
      <c r="C87" s="553" t="str">
        <f>MONTH(Table_NFI[[#This Row],[Distribution Date]]) &amp; "/" &amp; YEAR(Table_NFI[[#This Row],[Distribution Date]])</f>
        <v>8/2017</v>
      </c>
      <c r="D87" s="219" t="s">
        <v>1261</v>
      </c>
      <c r="E87" s="219" t="s">
        <v>1261</v>
      </c>
      <c r="F87" s="198" t="s">
        <v>378</v>
      </c>
      <c r="G87" s="198" t="s">
        <v>151</v>
      </c>
      <c r="H87" s="219" t="s">
        <v>811</v>
      </c>
      <c r="I87" s="547"/>
      <c r="J87" s="548"/>
      <c r="K87" s="548"/>
      <c r="L87" s="548"/>
      <c r="M87" s="548"/>
      <c r="N87" s="548"/>
      <c r="O87" s="548"/>
      <c r="P87" s="548"/>
      <c r="Q87" s="548"/>
      <c r="R87" s="548"/>
      <c r="S87" s="548"/>
      <c r="T87" s="548"/>
      <c r="U87" s="548"/>
      <c r="V87" s="548"/>
      <c r="W87" s="548"/>
      <c r="X87" s="548"/>
      <c r="Y87" s="548"/>
      <c r="Z87" s="548">
        <v>166</v>
      </c>
      <c r="AA87" s="548"/>
      <c r="AB87" s="548"/>
      <c r="AC87" s="549"/>
      <c r="AD87" s="549"/>
      <c r="AE87" s="549"/>
      <c r="AF87" s="549"/>
      <c r="AG87" s="549"/>
      <c r="AH87" s="549"/>
      <c r="AI87" s="549"/>
      <c r="AJ87" s="549"/>
      <c r="AK87" s="549"/>
      <c r="AL87" s="549"/>
      <c r="AM87" s="549"/>
      <c r="AN87" s="549"/>
      <c r="AO87" s="549"/>
      <c r="AP87" s="549">
        <f>IF(Table_NFI[[#This Row],[Winter Clothes Adult]]+Table_NFI[[#This Row],[Winter Clothes Children]]+Table_NFI[[#This Row],[Winter Items Other]]+Table_NFI[[#This Row],[Winter Blanket]]&gt;0,1,0)</f>
        <v>0</v>
      </c>
      <c r="AQ87" s="549"/>
      <c r="AR87" s="549"/>
      <c r="AS87" s="549"/>
      <c r="AT87" s="550" t="str">
        <f>IFERROR(VLOOKUP(Table_NFI[[#This Row],[Location]],CL,2,0),"")</f>
        <v>MMR001CMP218</v>
      </c>
      <c r="AU87" s="551"/>
      <c r="AV87" s="183"/>
      <c r="DP87" s="534"/>
    </row>
    <row r="88" spans="2:120" ht="18.75" customHeight="1" x14ac:dyDescent="0.3">
      <c r="B88" s="553">
        <v>42962</v>
      </c>
      <c r="C88" s="553" t="str">
        <f>MONTH(Table_NFI[[#This Row],[Distribution Date]]) &amp; "/" &amp; YEAR(Table_NFI[[#This Row],[Distribution Date]])</f>
        <v>8/2017</v>
      </c>
      <c r="D88" s="219" t="s">
        <v>1261</v>
      </c>
      <c r="E88" s="219" t="s">
        <v>1261</v>
      </c>
      <c r="F88" s="219" t="s">
        <v>378</v>
      </c>
      <c r="G88" s="198" t="s">
        <v>151</v>
      </c>
      <c r="H88" s="219" t="s">
        <v>1518</v>
      </c>
      <c r="I88" s="547"/>
      <c r="J88" s="548"/>
      <c r="K88" s="548"/>
      <c r="L88" s="548"/>
      <c r="M88" s="548"/>
      <c r="N88" s="548"/>
      <c r="O88" s="548"/>
      <c r="P88" s="548"/>
      <c r="Q88" s="548"/>
      <c r="R88" s="548"/>
      <c r="S88" s="548"/>
      <c r="T88" s="548"/>
      <c r="U88" s="548"/>
      <c r="V88" s="548"/>
      <c r="W88" s="548"/>
      <c r="X88" s="548"/>
      <c r="Y88" s="548"/>
      <c r="Z88" s="548">
        <v>64</v>
      </c>
      <c r="AA88" s="548"/>
      <c r="AB88" s="548"/>
      <c r="AC88" s="549"/>
      <c r="AD88" s="549"/>
      <c r="AE88" s="549"/>
      <c r="AF88" s="549"/>
      <c r="AG88" s="549"/>
      <c r="AH88" s="549"/>
      <c r="AI88" s="549"/>
      <c r="AJ88" s="549"/>
      <c r="AK88" s="549"/>
      <c r="AL88" s="549"/>
      <c r="AM88" s="549"/>
      <c r="AN88" s="549"/>
      <c r="AO88" s="549"/>
      <c r="AP88" s="549">
        <f>IF(Table_NFI[[#This Row],[Winter Clothes Adult]]+Table_NFI[[#This Row],[Winter Clothes Children]]+Table_NFI[[#This Row],[Winter Items Other]]+Table_NFI[[#This Row],[Winter Blanket]]&gt;0,1,0)</f>
        <v>0</v>
      </c>
      <c r="AQ88" s="549"/>
      <c r="AR88" s="549"/>
      <c r="AS88" s="549"/>
      <c r="AT88" s="550" t="str">
        <f>IFERROR(VLOOKUP(Table_NFI[[#This Row],[Location]],CL,2,0),"")</f>
        <v/>
      </c>
      <c r="AU88" s="551"/>
      <c r="AV88" s="183"/>
      <c r="DP88" s="534"/>
    </row>
    <row r="89" spans="2:120" ht="18.75" customHeight="1" x14ac:dyDescent="0.3">
      <c r="B89" s="546">
        <v>42963</v>
      </c>
      <c r="C89" s="546" t="str">
        <f>MONTH(Table_NFI[[#This Row],[Distribution Date]]) &amp; "/" &amp; YEAR(Table_NFI[[#This Row],[Distribution Date]])</f>
        <v>8/2017</v>
      </c>
      <c r="D89" s="544" t="s">
        <v>1383</v>
      </c>
      <c r="E89" s="197" t="s">
        <v>1383</v>
      </c>
      <c r="F89" s="544" t="s">
        <v>378</v>
      </c>
      <c r="G89" s="198" t="s">
        <v>301</v>
      </c>
      <c r="H89" s="544" t="s">
        <v>1526</v>
      </c>
      <c r="I89" s="547"/>
      <c r="J89" s="548"/>
      <c r="K89" s="548"/>
      <c r="L89" s="548"/>
      <c r="M89" s="548"/>
      <c r="N89" s="548">
        <v>14</v>
      </c>
      <c r="O89" s="548"/>
      <c r="P89" s="548">
        <v>14</v>
      </c>
      <c r="Q89" s="548">
        <v>7</v>
      </c>
      <c r="R89" s="548"/>
      <c r="S89" s="548"/>
      <c r="T89" s="548">
        <v>14</v>
      </c>
      <c r="U89" s="548"/>
      <c r="V89" s="548"/>
      <c r="W89" s="548"/>
      <c r="X89" s="548"/>
      <c r="Y89" s="548"/>
      <c r="Z89" s="548"/>
      <c r="AA89" s="548"/>
      <c r="AB89" s="548"/>
      <c r="AC89" s="549"/>
      <c r="AD89" s="549"/>
      <c r="AE89" s="549"/>
      <c r="AF89" s="549"/>
      <c r="AG89" s="549"/>
      <c r="AH89" s="549"/>
      <c r="AI89" s="549"/>
      <c r="AJ89" s="549"/>
      <c r="AK89" s="549"/>
      <c r="AL89" s="549"/>
      <c r="AM89" s="549"/>
      <c r="AN89" s="549"/>
      <c r="AO89" s="549"/>
      <c r="AP89" s="549">
        <f>IF(Table_NFI[[#This Row],[Winter Clothes Adult]]+Table_NFI[[#This Row],[Winter Clothes Children]]+Table_NFI[[#This Row],[Winter Items Other]]+Table_NFI[[#This Row],[Winter Blanket]]&gt;0,1,0)</f>
        <v>0</v>
      </c>
      <c r="AQ89" s="549"/>
      <c r="AR89" s="549"/>
      <c r="AS89" s="549"/>
      <c r="AT89" s="550" t="str">
        <f>IFERROR(VLOOKUP(Table_NFI[[#This Row],[Location]],CL,2,0),"")</f>
        <v/>
      </c>
      <c r="AU89" s="551"/>
      <c r="AV89" s="183"/>
      <c r="DP89" s="534"/>
    </row>
    <row r="90" spans="2:120" ht="18.75" customHeight="1" x14ac:dyDescent="0.3">
      <c r="B90" s="546">
        <v>42963</v>
      </c>
      <c r="C90" s="546" t="str">
        <f>MONTH(Table_NFI[[#This Row],[Distribution Date]]) &amp; "/" &amp; YEAR(Table_NFI[[#This Row],[Distribution Date]])</f>
        <v>8/2017</v>
      </c>
      <c r="D90" s="544" t="s">
        <v>1383</v>
      </c>
      <c r="E90" s="197" t="s">
        <v>1383</v>
      </c>
      <c r="F90" s="544" t="s">
        <v>378</v>
      </c>
      <c r="G90" s="198" t="s">
        <v>301</v>
      </c>
      <c r="H90" s="544" t="s">
        <v>1525</v>
      </c>
      <c r="I90" s="547"/>
      <c r="J90" s="548"/>
      <c r="K90" s="548"/>
      <c r="L90" s="548"/>
      <c r="M90" s="548"/>
      <c r="N90" s="548">
        <v>8</v>
      </c>
      <c r="O90" s="548"/>
      <c r="P90" s="548">
        <v>8</v>
      </c>
      <c r="Q90" s="548">
        <v>4</v>
      </c>
      <c r="R90" s="548"/>
      <c r="S90" s="548"/>
      <c r="T90" s="548">
        <v>8</v>
      </c>
      <c r="U90" s="548"/>
      <c r="V90" s="548"/>
      <c r="W90" s="548"/>
      <c r="X90" s="548"/>
      <c r="Y90" s="548"/>
      <c r="Z90" s="548"/>
      <c r="AA90" s="548"/>
      <c r="AB90" s="548"/>
      <c r="AC90" s="549"/>
      <c r="AD90" s="549"/>
      <c r="AE90" s="549"/>
      <c r="AF90" s="549"/>
      <c r="AG90" s="549"/>
      <c r="AH90" s="549"/>
      <c r="AI90" s="549"/>
      <c r="AJ90" s="549"/>
      <c r="AK90" s="549"/>
      <c r="AL90" s="549"/>
      <c r="AM90" s="549"/>
      <c r="AN90" s="549"/>
      <c r="AO90" s="549"/>
      <c r="AP90" s="549">
        <f>IF(Table_NFI[[#This Row],[Winter Clothes Adult]]+Table_NFI[[#This Row],[Winter Clothes Children]]+Table_NFI[[#This Row],[Winter Items Other]]+Table_NFI[[#This Row],[Winter Blanket]]&gt;0,1,0)</f>
        <v>0</v>
      </c>
      <c r="AQ90" s="549"/>
      <c r="AR90" s="549"/>
      <c r="AS90" s="549"/>
      <c r="AT90" s="550" t="str">
        <f>IFERROR(VLOOKUP(Table_NFI[[#This Row],[Location]],CL,2,0),"")</f>
        <v/>
      </c>
      <c r="AU90" s="551"/>
      <c r="AV90" s="183"/>
      <c r="DP90" s="534"/>
    </row>
    <row r="91" spans="2:120" ht="18.75" customHeight="1" x14ac:dyDescent="0.3">
      <c r="B91" s="546">
        <v>42963</v>
      </c>
      <c r="C91" s="546" t="str">
        <f>MONTH(Table_NFI[[#This Row],[Distribution Date]]) &amp; "/" &amp; YEAR(Table_NFI[[#This Row],[Distribution Date]])</f>
        <v>8/2017</v>
      </c>
      <c r="D91" s="544" t="s">
        <v>1383</v>
      </c>
      <c r="E91" s="197" t="s">
        <v>1383</v>
      </c>
      <c r="F91" s="544" t="s">
        <v>378</v>
      </c>
      <c r="G91" s="544" t="s">
        <v>5</v>
      </c>
      <c r="H91" s="544" t="s">
        <v>1523</v>
      </c>
      <c r="I91" s="547"/>
      <c r="J91" s="548"/>
      <c r="K91" s="548"/>
      <c r="L91" s="548"/>
      <c r="M91" s="548"/>
      <c r="N91" s="548">
        <v>12</v>
      </c>
      <c r="O91" s="548"/>
      <c r="P91" s="548">
        <v>12</v>
      </c>
      <c r="Q91" s="548">
        <v>6</v>
      </c>
      <c r="R91" s="548"/>
      <c r="S91" s="548"/>
      <c r="T91" s="548">
        <v>12</v>
      </c>
      <c r="U91" s="548"/>
      <c r="V91" s="548"/>
      <c r="W91" s="548"/>
      <c r="X91" s="548"/>
      <c r="Y91" s="548"/>
      <c r="Z91" s="548"/>
      <c r="AA91" s="548"/>
      <c r="AB91" s="548"/>
      <c r="AC91" s="549"/>
      <c r="AD91" s="549"/>
      <c r="AE91" s="549"/>
      <c r="AF91" s="549"/>
      <c r="AG91" s="549"/>
      <c r="AH91" s="549"/>
      <c r="AI91" s="549"/>
      <c r="AJ91" s="549"/>
      <c r="AK91" s="549"/>
      <c r="AL91" s="549"/>
      <c r="AM91" s="549"/>
      <c r="AN91" s="549"/>
      <c r="AO91" s="549"/>
      <c r="AP91" s="549">
        <f>IF(Table_NFI[[#This Row],[Winter Clothes Adult]]+Table_NFI[[#This Row],[Winter Clothes Children]]+Table_NFI[[#This Row],[Winter Items Other]]+Table_NFI[[#This Row],[Winter Blanket]]&gt;0,1,0)</f>
        <v>0</v>
      </c>
      <c r="AQ91" s="549"/>
      <c r="AR91" s="549"/>
      <c r="AS91" s="549"/>
      <c r="AT91" s="550" t="str">
        <f>IFERROR(VLOOKUP(Table_NFI[[#This Row],[Location]],CL,2,0),"")</f>
        <v/>
      </c>
      <c r="AU91" s="551"/>
      <c r="AV91" s="183"/>
      <c r="DP91" s="534"/>
    </row>
    <row r="92" spans="2:120" ht="18.75" customHeight="1" x14ac:dyDescent="0.3">
      <c r="B92" s="546">
        <v>42963</v>
      </c>
      <c r="C92" s="546" t="str">
        <f>MONTH(Table_NFI[[#This Row],[Distribution Date]]) &amp; "/" &amp; YEAR(Table_NFI[[#This Row],[Distribution Date]])</f>
        <v>8/2017</v>
      </c>
      <c r="D92" s="544" t="s">
        <v>1383</v>
      </c>
      <c r="E92" s="197" t="s">
        <v>1383</v>
      </c>
      <c r="F92" s="544" t="s">
        <v>378</v>
      </c>
      <c r="G92" s="544" t="s">
        <v>5</v>
      </c>
      <c r="H92" s="544" t="s">
        <v>583</v>
      </c>
      <c r="I92" s="547"/>
      <c r="J92" s="548"/>
      <c r="K92" s="548"/>
      <c r="L92" s="548"/>
      <c r="M92" s="548"/>
      <c r="N92" s="548">
        <v>68</v>
      </c>
      <c r="O92" s="548"/>
      <c r="P92" s="548">
        <v>68</v>
      </c>
      <c r="Q92" s="548">
        <v>34</v>
      </c>
      <c r="R92" s="548"/>
      <c r="S92" s="548"/>
      <c r="T92" s="548">
        <v>68</v>
      </c>
      <c r="U92" s="548"/>
      <c r="V92" s="548"/>
      <c r="W92" s="548"/>
      <c r="X92" s="548"/>
      <c r="Y92" s="548"/>
      <c r="Z92" s="548"/>
      <c r="AA92" s="548"/>
      <c r="AB92" s="548"/>
      <c r="AC92" s="549"/>
      <c r="AD92" s="549"/>
      <c r="AE92" s="549"/>
      <c r="AF92" s="549"/>
      <c r="AG92" s="549"/>
      <c r="AH92" s="549"/>
      <c r="AI92" s="549"/>
      <c r="AJ92" s="549"/>
      <c r="AK92" s="549"/>
      <c r="AL92" s="549"/>
      <c r="AM92" s="549"/>
      <c r="AN92" s="549"/>
      <c r="AO92" s="549"/>
      <c r="AP92" s="549">
        <f>IF(Table_NFI[[#This Row],[Winter Clothes Adult]]+Table_NFI[[#This Row],[Winter Clothes Children]]+Table_NFI[[#This Row],[Winter Items Other]]+Table_NFI[[#This Row],[Winter Blanket]]&gt;0,1,0)</f>
        <v>0</v>
      </c>
      <c r="AQ92" s="549"/>
      <c r="AR92" s="549"/>
      <c r="AS92" s="549"/>
      <c r="AT92" s="550" t="str">
        <f>IFERROR(VLOOKUP(Table_NFI[[#This Row],[Location]],CL,2,0),"")</f>
        <v/>
      </c>
      <c r="AU92" s="551"/>
      <c r="AV92" s="183"/>
      <c r="DP92" s="534"/>
    </row>
    <row r="93" spans="2:120" ht="18.75" customHeight="1" x14ac:dyDescent="0.3">
      <c r="B93" s="546">
        <v>42963</v>
      </c>
      <c r="C93" s="546" t="str">
        <f>MONTH(Table_NFI[[#This Row],[Distribution Date]]) &amp; "/" &amp; YEAR(Table_NFI[[#This Row],[Distribution Date]])</f>
        <v>8/2017</v>
      </c>
      <c r="D93" s="544" t="s">
        <v>1383</v>
      </c>
      <c r="E93" s="197" t="s">
        <v>1383</v>
      </c>
      <c r="F93" s="544" t="s">
        <v>378</v>
      </c>
      <c r="G93" s="544" t="s">
        <v>5</v>
      </c>
      <c r="H93" s="544" t="s">
        <v>1522</v>
      </c>
      <c r="I93" s="547"/>
      <c r="J93" s="548"/>
      <c r="K93" s="548"/>
      <c r="L93" s="548"/>
      <c r="M93" s="548"/>
      <c r="N93" s="548">
        <v>166</v>
      </c>
      <c r="O93" s="548"/>
      <c r="P93" s="548">
        <v>166</v>
      </c>
      <c r="Q93" s="548">
        <v>83</v>
      </c>
      <c r="R93" s="548"/>
      <c r="S93" s="548"/>
      <c r="T93" s="548">
        <v>166</v>
      </c>
      <c r="U93" s="548"/>
      <c r="V93" s="548"/>
      <c r="W93" s="548"/>
      <c r="X93" s="548"/>
      <c r="Y93" s="548"/>
      <c r="Z93" s="548"/>
      <c r="AA93" s="548"/>
      <c r="AB93" s="548"/>
      <c r="AC93" s="549"/>
      <c r="AD93" s="549"/>
      <c r="AE93" s="549"/>
      <c r="AF93" s="549"/>
      <c r="AG93" s="549"/>
      <c r="AH93" s="549"/>
      <c r="AI93" s="549"/>
      <c r="AJ93" s="549"/>
      <c r="AK93" s="549"/>
      <c r="AL93" s="549"/>
      <c r="AM93" s="549"/>
      <c r="AN93" s="549"/>
      <c r="AO93" s="549"/>
      <c r="AP93" s="549">
        <f>IF(Table_NFI[[#This Row],[Winter Clothes Adult]]+Table_NFI[[#This Row],[Winter Clothes Children]]+Table_NFI[[#This Row],[Winter Items Other]]+Table_NFI[[#This Row],[Winter Blanket]]&gt;0,1,0)</f>
        <v>0</v>
      </c>
      <c r="AQ93" s="549"/>
      <c r="AR93" s="549"/>
      <c r="AS93" s="549"/>
      <c r="AT93" s="550" t="str">
        <f>IFERROR(VLOOKUP(Table_NFI[[#This Row],[Location]],CL,2,0),"")</f>
        <v/>
      </c>
      <c r="AU93" s="551"/>
      <c r="AV93" s="183"/>
      <c r="DP93" s="534"/>
    </row>
    <row r="94" spans="2:120" ht="18.75" customHeight="1" x14ac:dyDescent="0.3">
      <c r="B94" s="553">
        <v>42966</v>
      </c>
      <c r="C94" s="553" t="str">
        <f>MONTH(Table_NFI[[#This Row],[Distribution Date]]) &amp; "/" &amp; YEAR(Table_NFI[[#This Row],[Distribution Date]])</f>
        <v>8/2017</v>
      </c>
      <c r="D94" s="544" t="s">
        <v>1383</v>
      </c>
      <c r="E94" s="197" t="s">
        <v>1383</v>
      </c>
      <c r="F94" s="219" t="s">
        <v>378</v>
      </c>
      <c r="G94" s="219" t="s">
        <v>5</v>
      </c>
      <c r="H94" s="219" t="s">
        <v>12</v>
      </c>
      <c r="I94" s="183"/>
      <c r="J94" s="541">
        <v>131</v>
      </c>
      <c r="K94" s="541"/>
      <c r="L94" s="541">
        <v>141</v>
      </c>
      <c r="M94" s="548"/>
      <c r="N94" s="548"/>
      <c r="O94" s="548"/>
      <c r="P94" s="548"/>
      <c r="Q94" s="548"/>
      <c r="R94" s="548"/>
      <c r="S94" s="548"/>
      <c r="T94" s="548"/>
      <c r="U94" s="548"/>
      <c r="V94" s="548"/>
      <c r="W94" s="548"/>
      <c r="X94" s="548"/>
      <c r="Y94" s="548"/>
      <c r="Z94" s="548"/>
      <c r="AA94" s="548"/>
      <c r="AB94" s="548"/>
      <c r="AC94" s="549"/>
      <c r="AD94" s="549"/>
      <c r="AE94" s="549"/>
      <c r="AF94" s="549"/>
      <c r="AG94" s="549"/>
      <c r="AH94" s="549"/>
      <c r="AI94" s="549"/>
      <c r="AJ94" s="549"/>
      <c r="AK94" s="549"/>
      <c r="AL94" s="549"/>
      <c r="AM94" s="549"/>
      <c r="AN94" s="549"/>
      <c r="AO94" s="549"/>
      <c r="AP94" s="549">
        <f>IF(Table_NFI[[#This Row],[Winter Clothes Adult]]+Table_NFI[[#This Row],[Winter Clothes Children]]+Table_NFI[[#This Row],[Winter Items Other]]+Table_NFI[[#This Row],[Winter Blanket]]&gt;0,1,0)</f>
        <v>0</v>
      </c>
      <c r="AQ94" s="549"/>
      <c r="AR94" s="549"/>
      <c r="AS94" s="549"/>
      <c r="AT94" s="550" t="str">
        <f>IFERROR(VLOOKUP(Table_NFI[[#This Row],[Location]],CL,2,0),"")</f>
        <v>MMR001CMP163</v>
      </c>
      <c r="AU94" s="551"/>
      <c r="AV94" s="183"/>
      <c r="DP94" s="534"/>
    </row>
    <row r="95" spans="2:120" ht="18.75" customHeight="1" x14ac:dyDescent="0.3">
      <c r="B95" s="553">
        <v>42976</v>
      </c>
      <c r="C95" s="553" t="str">
        <f>MONTH(Table_NFI[[#This Row],[Distribution Date]]) &amp; "/" &amp; YEAR(Table_NFI[[#This Row],[Distribution Date]])</f>
        <v>8/2017</v>
      </c>
      <c r="D95" s="544" t="s">
        <v>1383</v>
      </c>
      <c r="E95" s="197" t="s">
        <v>1383</v>
      </c>
      <c r="F95" s="219" t="s">
        <v>378</v>
      </c>
      <c r="G95" s="219" t="s">
        <v>237</v>
      </c>
      <c r="H95" s="219" t="s">
        <v>1517</v>
      </c>
      <c r="I95" s="183"/>
      <c r="J95" s="541">
        <v>29</v>
      </c>
      <c r="K95" s="541"/>
      <c r="L95" s="548"/>
      <c r="M95" s="548"/>
      <c r="N95" s="548"/>
      <c r="O95" s="548"/>
      <c r="P95" s="548"/>
      <c r="Q95" s="548"/>
      <c r="R95" s="548"/>
      <c r="S95" s="548"/>
      <c r="T95" s="548"/>
      <c r="U95" s="548"/>
      <c r="V95" s="548"/>
      <c r="W95" s="548"/>
      <c r="X95" s="548"/>
      <c r="Y95" s="548"/>
      <c r="Z95" s="548"/>
      <c r="AA95" s="548"/>
      <c r="AB95" s="548"/>
      <c r="AC95" s="549"/>
      <c r="AD95" s="549"/>
      <c r="AE95" s="549"/>
      <c r="AF95" s="549"/>
      <c r="AG95" s="549"/>
      <c r="AH95" s="549"/>
      <c r="AI95" s="549"/>
      <c r="AJ95" s="549"/>
      <c r="AK95" s="549"/>
      <c r="AL95" s="549"/>
      <c r="AM95" s="549"/>
      <c r="AN95" s="549"/>
      <c r="AO95" s="549"/>
      <c r="AP95" s="549">
        <f>IF(Table_NFI[[#This Row],[Winter Clothes Adult]]+Table_NFI[[#This Row],[Winter Clothes Children]]+Table_NFI[[#This Row],[Winter Items Other]]+Table_NFI[[#This Row],[Winter Blanket]]&gt;0,1,0)</f>
        <v>0</v>
      </c>
      <c r="AQ95" s="549"/>
      <c r="AR95" s="549"/>
      <c r="AS95" s="549"/>
      <c r="AT95" s="550" t="str">
        <f>IFERROR(VLOOKUP(Table_NFI[[#This Row],[Location]],CL,2,0),"")</f>
        <v/>
      </c>
      <c r="AU95" s="551"/>
      <c r="AV95" s="183"/>
      <c r="DP95" s="534"/>
    </row>
    <row r="96" spans="2:120" ht="18.75" customHeight="1" x14ac:dyDescent="0.3">
      <c r="B96" s="546">
        <v>42985</v>
      </c>
      <c r="C96" s="546" t="str">
        <f>MONTH(Table_NFI[[#This Row],[Distribution Date]]) &amp; "/" &amp; YEAR(Table_NFI[[#This Row],[Distribution Date]])</f>
        <v>9/2017</v>
      </c>
      <c r="D96" s="544" t="s">
        <v>420</v>
      </c>
      <c r="E96" s="544" t="s">
        <v>1592</v>
      </c>
      <c r="F96" s="544" t="s">
        <v>378</v>
      </c>
      <c r="G96" s="544" t="s">
        <v>5</v>
      </c>
      <c r="H96" s="544" t="s">
        <v>1535</v>
      </c>
      <c r="I96" s="547"/>
      <c r="J96" s="548"/>
      <c r="K96" s="548"/>
      <c r="L96" s="548"/>
      <c r="M96" s="548"/>
      <c r="N96" s="548"/>
      <c r="O96" s="548">
        <v>15</v>
      </c>
      <c r="P96" s="548"/>
      <c r="Q96" s="548"/>
      <c r="R96" s="548"/>
      <c r="S96" s="548"/>
      <c r="T96" s="548"/>
      <c r="U96" s="548"/>
      <c r="V96" s="548"/>
      <c r="W96" s="548"/>
      <c r="X96" s="548"/>
      <c r="Y96" s="548"/>
      <c r="Z96" s="548"/>
      <c r="AA96" s="548"/>
      <c r="AB96" s="548"/>
      <c r="AC96" s="549"/>
      <c r="AD96" s="549"/>
      <c r="AE96" s="549"/>
      <c r="AF96" s="549"/>
      <c r="AG96" s="549"/>
      <c r="AH96" s="549"/>
      <c r="AI96" s="549"/>
      <c r="AJ96" s="549"/>
      <c r="AK96" s="549"/>
      <c r="AL96" s="549"/>
      <c r="AM96" s="549"/>
      <c r="AN96" s="549"/>
      <c r="AO96" s="549"/>
      <c r="AP96" s="549">
        <f>IF(Table_NFI[[#This Row],[Winter Clothes Adult]]+Table_NFI[[#This Row],[Winter Clothes Children]]+Table_NFI[[#This Row],[Winter Items Other]]+Table_NFI[[#This Row],[Winter Blanket]]&gt;0,1,0)</f>
        <v>0</v>
      </c>
      <c r="AQ96" s="549"/>
      <c r="AR96" s="549"/>
      <c r="AS96" s="549"/>
      <c r="AT96" s="550" t="str">
        <f>IFERROR(VLOOKUP(Table_NFI[[#This Row],[Location]],CL,2,0),"")</f>
        <v/>
      </c>
      <c r="AU96" s="551"/>
      <c r="AV96" s="183"/>
      <c r="DP96" s="534"/>
    </row>
    <row r="97" spans="2:120" ht="18.75" customHeight="1" x14ac:dyDescent="0.3">
      <c r="B97" s="546">
        <v>43007</v>
      </c>
      <c r="C97" s="546" t="str">
        <f>MONTH(Table_NFI[[#This Row],[Distribution Date]]) &amp; "/" &amp; YEAR(Table_NFI[[#This Row],[Distribution Date]])</f>
        <v>9/2017</v>
      </c>
      <c r="D97" s="544" t="s">
        <v>420</v>
      </c>
      <c r="E97" s="544" t="s">
        <v>462</v>
      </c>
      <c r="F97" s="198" t="s">
        <v>378</v>
      </c>
      <c r="G97" s="198" t="s">
        <v>309</v>
      </c>
      <c r="H97" s="544" t="s">
        <v>1537</v>
      </c>
      <c r="I97" s="547"/>
      <c r="J97" s="548"/>
      <c r="K97" s="548"/>
      <c r="L97" s="548">
        <v>4</v>
      </c>
      <c r="M97" s="548">
        <v>4</v>
      </c>
      <c r="N97" s="548">
        <v>6</v>
      </c>
      <c r="O97" s="548">
        <v>4</v>
      </c>
      <c r="P97" s="548">
        <v>4</v>
      </c>
      <c r="Q97" s="548">
        <v>3</v>
      </c>
      <c r="R97" s="548"/>
      <c r="S97" s="548">
        <v>3</v>
      </c>
      <c r="T97" s="548">
        <v>5</v>
      </c>
      <c r="U97" s="548"/>
      <c r="V97" s="548"/>
      <c r="W97" s="548"/>
      <c r="X97" s="548"/>
      <c r="Y97" s="548">
        <v>4</v>
      </c>
      <c r="Z97" s="548"/>
      <c r="AA97" s="548"/>
      <c r="AB97" s="548"/>
      <c r="AC97" s="549"/>
      <c r="AD97" s="549"/>
      <c r="AE97" s="549"/>
      <c r="AF97" s="549"/>
      <c r="AG97" s="549"/>
      <c r="AH97" s="549"/>
      <c r="AI97" s="549"/>
      <c r="AJ97" s="549"/>
      <c r="AK97" s="549"/>
      <c r="AL97" s="549"/>
      <c r="AM97" s="549"/>
      <c r="AN97" s="549"/>
      <c r="AO97" s="549"/>
      <c r="AP97" s="549">
        <f>IF(Table_NFI[[#This Row],[Winter Clothes Adult]]+Table_NFI[[#This Row],[Winter Clothes Children]]+Table_NFI[[#This Row],[Winter Items Other]]+Table_NFI[[#This Row],[Winter Blanket]]&gt;0,1,0)</f>
        <v>0</v>
      </c>
      <c r="AQ97" s="549"/>
      <c r="AR97" s="549"/>
      <c r="AS97" s="549"/>
      <c r="AT97" s="550" t="str">
        <f>IFERROR(VLOOKUP(Table_NFI[[#This Row],[Location]],CL,2,0),"")</f>
        <v/>
      </c>
      <c r="AU97" s="551"/>
      <c r="AV97" s="183"/>
      <c r="DP97" s="534"/>
    </row>
    <row r="98" spans="2:120" ht="18.75" customHeight="1" x14ac:dyDescent="0.3">
      <c r="B98" s="546">
        <v>43007</v>
      </c>
      <c r="C98" s="546" t="str">
        <f>MONTH(Table_NFI[[#This Row],[Distribution Date]]) &amp; "/" &amp; YEAR(Table_NFI[[#This Row],[Distribution Date]])</f>
        <v>9/2017</v>
      </c>
      <c r="D98" s="544" t="s">
        <v>420</v>
      </c>
      <c r="E98" s="544" t="s">
        <v>462</v>
      </c>
      <c r="F98" s="198" t="s">
        <v>378</v>
      </c>
      <c r="G98" s="198" t="s">
        <v>309</v>
      </c>
      <c r="H98" s="544" t="s">
        <v>1538</v>
      </c>
      <c r="I98" s="547"/>
      <c r="J98" s="548"/>
      <c r="K98" s="548"/>
      <c r="L98" s="548">
        <v>3</v>
      </c>
      <c r="M98" s="548">
        <v>3</v>
      </c>
      <c r="N98" s="548">
        <v>6</v>
      </c>
      <c r="O98" s="548">
        <v>3</v>
      </c>
      <c r="P98" s="548">
        <v>8</v>
      </c>
      <c r="Q98" s="548">
        <v>2</v>
      </c>
      <c r="R98" s="548"/>
      <c r="S98" s="548">
        <v>2</v>
      </c>
      <c r="T98" s="548">
        <v>8</v>
      </c>
      <c r="U98" s="548"/>
      <c r="V98" s="548"/>
      <c r="W98" s="548"/>
      <c r="X98" s="548"/>
      <c r="Y98" s="548">
        <v>3</v>
      </c>
      <c r="Z98" s="548"/>
      <c r="AA98" s="548"/>
      <c r="AB98" s="548"/>
      <c r="AC98" s="549"/>
      <c r="AD98" s="549"/>
      <c r="AE98" s="549"/>
      <c r="AF98" s="549"/>
      <c r="AG98" s="549"/>
      <c r="AH98" s="549"/>
      <c r="AI98" s="549"/>
      <c r="AJ98" s="549"/>
      <c r="AK98" s="549"/>
      <c r="AL98" s="549"/>
      <c r="AM98" s="549"/>
      <c r="AN98" s="549"/>
      <c r="AO98" s="549"/>
      <c r="AP98" s="549">
        <f>IF(Table_NFI[[#This Row],[Winter Clothes Adult]]+Table_NFI[[#This Row],[Winter Clothes Children]]+Table_NFI[[#This Row],[Winter Items Other]]+Table_NFI[[#This Row],[Winter Blanket]]&gt;0,1,0)</f>
        <v>0</v>
      </c>
      <c r="AQ98" s="549"/>
      <c r="AR98" s="549"/>
      <c r="AS98" s="549"/>
      <c r="AT98" s="550" t="str">
        <f>IFERROR(VLOOKUP(Table_NFI[[#This Row],[Location]],CL,2,0),"")</f>
        <v/>
      </c>
      <c r="AU98" s="551"/>
      <c r="AV98" s="183"/>
      <c r="DP98" s="534"/>
    </row>
    <row r="99" spans="2:120" ht="18.75" customHeight="1" x14ac:dyDescent="0.3">
      <c r="B99" s="546">
        <v>43008</v>
      </c>
      <c r="C99" s="546" t="str">
        <f>MONTH(Table_NFI[[#This Row],[Distribution Date]]) &amp; "/" &amp; YEAR(Table_NFI[[#This Row],[Distribution Date]])</f>
        <v>9/2017</v>
      </c>
      <c r="D99" s="544" t="s">
        <v>1383</v>
      </c>
      <c r="E99" s="197" t="s">
        <v>1383</v>
      </c>
      <c r="F99" s="544" t="s">
        <v>378</v>
      </c>
      <c r="G99" s="544" t="s">
        <v>1136</v>
      </c>
      <c r="H99" s="544" t="s">
        <v>1534</v>
      </c>
      <c r="I99" s="547"/>
      <c r="J99" s="548">
        <v>31</v>
      </c>
      <c r="K99" s="548"/>
      <c r="L99" s="548"/>
      <c r="M99" s="548"/>
      <c r="N99" s="548"/>
      <c r="O99" s="548"/>
      <c r="P99" s="548"/>
      <c r="Q99" s="548"/>
      <c r="R99" s="548"/>
      <c r="S99" s="548"/>
      <c r="T99" s="548"/>
      <c r="U99" s="548"/>
      <c r="V99" s="548"/>
      <c r="W99" s="548"/>
      <c r="X99" s="548"/>
      <c r="Y99" s="548"/>
      <c r="Z99" s="548"/>
      <c r="AA99" s="548"/>
      <c r="AB99" s="548"/>
      <c r="AC99" s="549"/>
      <c r="AD99" s="549"/>
      <c r="AE99" s="549"/>
      <c r="AF99" s="549"/>
      <c r="AG99" s="549"/>
      <c r="AH99" s="549"/>
      <c r="AI99" s="549"/>
      <c r="AJ99" s="549"/>
      <c r="AK99" s="549"/>
      <c r="AL99" s="549"/>
      <c r="AM99" s="549"/>
      <c r="AN99" s="549"/>
      <c r="AO99" s="549"/>
      <c r="AP99" s="549">
        <f>IF(Table_NFI[[#This Row],[Winter Clothes Adult]]+Table_NFI[[#This Row],[Winter Clothes Children]]+Table_NFI[[#This Row],[Winter Items Other]]+Table_NFI[[#This Row],[Winter Blanket]]&gt;0,1,0)</f>
        <v>0</v>
      </c>
      <c r="AQ99" s="549"/>
      <c r="AR99" s="549"/>
      <c r="AS99" s="549"/>
      <c r="AT99" s="550" t="str">
        <f>IFERROR(VLOOKUP(Table_NFI[[#This Row],[Location]],CL,2,0),"")</f>
        <v/>
      </c>
      <c r="AU99" s="551"/>
      <c r="AV99" s="183"/>
      <c r="DP99" s="534"/>
    </row>
    <row r="100" spans="2:120" ht="18.75" customHeight="1" x14ac:dyDescent="0.3">
      <c r="B100" s="546">
        <v>43010</v>
      </c>
      <c r="C100" s="546" t="str">
        <f>MONTH(Table_NFI[[#This Row],[Distribution Date]]) &amp; "/" &amp; YEAR(Table_NFI[[#This Row],[Distribution Date]])</f>
        <v>10/2017</v>
      </c>
      <c r="D100" s="544" t="s">
        <v>462</v>
      </c>
      <c r="E100" s="544" t="s">
        <v>420</v>
      </c>
      <c r="F100" s="544" t="s">
        <v>378</v>
      </c>
      <c r="G100" s="544" t="s">
        <v>237</v>
      </c>
      <c r="H100" s="219" t="s">
        <v>262</v>
      </c>
      <c r="I100" s="547"/>
      <c r="J100" s="548"/>
      <c r="K100" s="548"/>
      <c r="L100" s="541">
        <v>1</v>
      </c>
      <c r="M100" s="541">
        <v>1</v>
      </c>
      <c r="N100" s="541">
        <v>3</v>
      </c>
      <c r="O100" s="541">
        <v>1</v>
      </c>
      <c r="P100" s="541" t="s">
        <v>541</v>
      </c>
      <c r="Q100" s="541">
        <v>1</v>
      </c>
      <c r="R100" s="548"/>
      <c r="S100" s="541">
        <v>1</v>
      </c>
      <c r="T100" s="541">
        <v>3</v>
      </c>
      <c r="U100" s="548"/>
      <c r="V100" s="548"/>
      <c r="W100" s="548"/>
      <c r="X100" s="548"/>
      <c r="Y100" s="541">
        <v>1</v>
      </c>
      <c r="Z100" s="548"/>
      <c r="AA100" s="548"/>
      <c r="AB100" s="548"/>
      <c r="AC100" s="549"/>
      <c r="AD100" s="549"/>
      <c r="AE100" s="549"/>
      <c r="AF100" s="549"/>
      <c r="AG100" s="549"/>
      <c r="AH100" s="549"/>
      <c r="AI100" s="549"/>
      <c r="AJ100" s="549"/>
      <c r="AK100" s="549"/>
      <c r="AL100" s="549"/>
      <c r="AM100" s="549"/>
      <c r="AN100" s="549"/>
      <c r="AO100" s="549"/>
      <c r="AP100" s="549">
        <f>IF(Table_NFI[[#This Row],[Winter Clothes Adult]]+Table_NFI[[#This Row],[Winter Clothes Children]]+Table_NFI[[#This Row],[Winter Items Other]]+Table_NFI[[#This Row],[Winter Blanket]]&gt;0,1,0)</f>
        <v>0</v>
      </c>
      <c r="AQ100" s="549"/>
      <c r="AR100" s="549"/>
      <c r="AS100" s="549"/>
      <c r="AT100" s="550" t="str">
        <f>IFERROR(VLOOKUP(Table_NFI[[#This Row],[Location]],CL,2,0),"")</f>
        <v>MMR001CMP020</v>
      </c>
      <c r="AU100" s="551"/>
      <c r="AV100" s="183"/>
      <c r="DP100" s="534"/>
    </row>
    <row r="101" spans="2:120" ht="18.75" customHeight="1" x14ac:dyDescent="0.3">
      <c r="B101" s="546">
        <v>43010</v>
      </c>
      <c r="C101" s="546" t="str">
        <f>MONTH(Table_NFI[[#This Row],[Distribution Date]]) &amp; "/" &amp; YEAR(Table_NFI[[#This Row],[Distribution Date]])</f>
        <v>10/2017</v>
      </c>
      <c r="D101" s="544" t="s">
        <v>462</v>
      </c>
      <c r="E101" s="544" t="s">
        <v>420</v>
      </c>
      <c r="F101" s="544" t="s">
        <v>378</v>
      </c>
      <c r="G101" s="544" t="s">
        <v>309</v>
      </c>
      <c r="H101" s="219" t="s">
        <v>317</v>
      </c>
      <c r="I101" s="547"/>
      <c r="J101" s="548"/>
      <c r="K101" s="548"/>
      <c r="L101" s="541">
        <v>4</v>
      </c>
      <c r="M101" s="541">
        <v>4</v>
      </c>
      <c r="N101" s="541">
        <v>6</v>
      </c>
      <c r="O101" s="541">
        <v>4</v>
      </c>
      <c r="P101" s="541">
        <v>4</v>
      </c>
      <c r="Q101" s="541">
        <v>3</v>
      </c>
      <c r="R101" s="548"/>
      <c r="S101" s="541">
        <v>3</v>
      </c>
      <c r="T101" s="541">
        <v>5</v>
      </c>
      <c r="U101" s="548"/>
      <c r="V101" s="548"/>
      <c r="W101" s="548"/>
      <c r="X101" s="548"/>
      <c r="Y101" s="541">
        <v>4</v>
      </c>
      <c r="Z101" s="548"/>
      <c r="AA101" s="548"/>
      <c r="AB101" s="548"/>
      <c r="AC101" s="549"/>
      <c r="AD101" s="549"/>
      <c r="AE101" s="549"/>
      <c r="AF101" s="549"/>
      <c r="AG101" s="549"/>
      <c r="AH101" s="549"/>
      <c r="AI101" s="549"/>
      <c r="AJ101" s="549"/>
      <c r="AK101" s="549"/>
      <c r="AL101" s="549"/>
      <c r="AM101" s="549"/>
      <c r="AN101" s="549"/>
      <c r="AO101" s="549"/>
      <c r="AP101" s="549">
        <f>IF(Table_NFI[[#This Row],[Winter Clothes Adult]]+Table_NFI[[#This Row],[Winter Clothes Children]]+Table_NFI[[#This Row],[Winter Items Other]]+Table_NFI[[#This Row],[Winter Blanket]]&gt;0,1,0)</f>
        <v>0</v>
      </c>
      <c r="AQ101" s="549"/>
      <c r="AR101" s="549"/>
      <c r="AS101" s="549"/>
      <c r="AT101" s="550" t="str">
        <f>IFERROR(VLOOKUP(Table_NFI[[#This Row],[Location]],CL,2,0),"")</f>
        <v>MMR001CMP032</v>
      </c>
      <c r="AU101" s="551"/>
      <c r="AV101" s="183"/>
      <c r="DP101" s="534"/>
    </row>
    <row r="102" spans="2:120" ht="18.75" customHeight="1" x14ac:dyDescent="0.3">
      <c r="B102" s="546">
        <v>43010</v>
      </c>
      <c r="C102" s="546" t="str">
        <f>MONTH(Table_NFI[[#This Row],[Distribution Date]]) &amp; "/" &amp; YEAR(Table_NFI[[#This Row],[Distribution Date]])</f>
        <v>10/2017</v>
      </c>
      <c r="D102" s="544" t="s">
        <v>462</v>
      </c>
      <c r="E102" s="544" t="s">
        <v>420</v>
      </c>
      <c r="F102" s="198" t="s">
        <v>378</v>
      </c>
      <c r="G102" s="544" t="s">
        <v>309</v>
      </c>
      <c r="H102" s="219" t="s">
        <v>315</v>
      </c>
      <c r="I102" s="547"/>
      <c r="J102" s="548"/>
      <c r="K102" s="548"/>
      <c r="L102" s="541">
        <v>2</v>
      </c>
      <c r="M102" s="541">
        <v>2</v>
      </c>
      <c r="N102" s="541">
        <v>3</v>
      </c>
      <c r="O102" s="541">
        <v>2</v>
      </c>
      <c r="P102" s="541">
        <v>5</v>
      </c>
      <c r="Q102" s="541">
        <v>1</v>
      </c>
      <c r="R102" s="548"/>
      <c r="S102" s="541">
        <v>1</v>
      </c>
      <c r="T102" s="541">
        <v>5</v>
      </c>
      <c r="U102" s="548"/>
      <c r="V102" s="548"/>
      <c r="W102" s="548"/>
      <c r="X102" s="548"/>
      <c r="Y102" s="541">
        <v>2</v>
      </c>
      <c r="Z102" s="548"/>
      <c r="AA102" s="548"/>
      <c r="AB102" s="548"/>
      <c r="AC102" s="549"/>
      <c r="AD102" s="549"/>
      <c r="AE102" s="549"/>
      <c r="AF102" s="549"/>
      <c r="AG102" s="549"/>
      <c r="AH102" s="549"/>
      <c r="AI102" s="549"/>
      <c r="AJ102" s="549"/>
      <c r="AK102" s="549"/>
      <c r="AL102" s="549"/>
      <c r="AM102" s="549"/>
      <c r="AN102" s="549"/>
      <c r="AO102" s="549"/>
      <c r="AP102" s="549">
        <f>IF(Table_NFI[[#This Row],[Winter Clothes Adult]]+Table_NFI[[#This Row],[Winter Clothes Children]]+Table_NFI[[#This Row],[Winter Items Other]]+Table_NFI[[#This Row],[Winter Blanket]]&gt;0,1,0)</f>
        <v>0</v>
      </c>
      <c r="AQ102" s="549"/>
      <c r="AR102" s="549"/>
      <c r="AS102" s="549"/>
      <c r="AT102" s="550" t="str">
        <f>IFERROR(VLOOKUP(Table_NFI[[#This Row],[Location]],CL,2,0),"")</f>
        <v>MMR001CMP038</v>
      </c>
      <c r="AU102" s="551"/>
      <c r="AV102" s="183"/>
      <c r="DP102" s="534"/>
    </row>
    <row r="103" spans="2:120" ht="18.75" customHeight="1" x14ac:dyDescent="0.3">
      <c r="B103" s="540">
        <v>43025</v>
      </c>
      <c r="C103" s="540" t="str">
        <f>MONTH(Table_NFI[[#This Row],[Distribution Date]]) &amp; "/" &amp; YEAR(Table_NFI[[#This Row],[Distribution Date]])</f>
        <v>10/2017</v>
      </c>
      <c r="D103" s="198" t="s">
        <v>1468</v>
      </c>
      <c r="E103" s="198" t="s">
        <v>420</v>
      </c>
      <c r="F103" s="198" t="s">
        <v>378</v>
      </c>
      <c r="G103" s="197" t="s">
        <v>185</v>
      </c>
      <c r="H103" s="198" t="s">
        <v>196</v>
      </c>
      <c r="I103" s="183"/>
      <c r="J103" s="541"/>
      <c r="K103" s="541"/>
      <c r="L103" s="541"/>
      <c r="M103" s="541"/>
      <c r="N103" s="541"/>
      <c r="O103" s="541"/>
      <c r="P103" s="541">
        <v>3170</v>
      </c>
      <c r="Q103" s="541"/>
      <c r="R103" s="541"/>
      <c r="S103" s="541"/>
      <c r="T103" s="541"/>
      <c r="U103" s="541"/>
      <c r="V103" s="541">
        <v>2536</v>
      </c>
      <c r="W103" s="541"/>
      <c r="X103" s="541"/>
      <c r="Y103" s="541"/>
      <c r="Z103" s="541"/>
      <c r="AA103" s="541"/>
      <c r="AB103" s="541"/>
      <c r="AC103" s="542"/>
      <c r="AD103" s="542"/>
      <c r="AE103" s="542"/>
      <c r="AF103" s="542"/>
      <c r="AG103" s="542"/>
      <c r="AH103" s="542"/>
      <c r="AI103" s="542"/>
      <c r="AJ103" s="542"/>
      <c r="AK103" s="542"/>
      <c r="AL103" s="542"/>
      <c r="AM103" s="542"/>
      <c r="AN103" s="542"/>
      <c r="AO103" s="542"/>
      <c r="AP103" s="542">
        <f>IF(Table_NFI[[#This Row],[Winter Clothes Adult]]+Table_NFI[[#This Row],[Winter Clothes Children]]+Table_NFI[[#This Row],[Winter Items Other]]+Table_NFI[[#This Row],[Winter Blanket]]&gt;0,1,0)</f>
        <v>1</v>
      </c>
      <c r="AQ103" s="542"/>
      <c r="AR103" s="542"/>
      <c r="AS103" s="542"/>
      <c r="AT103" s="205" t="str">
        <f>IFERROR(VLOOKUP(Table_NFI[[#This Row],[Location]],CL,2,0),"")</f>
        <v>MMR001CMP121</v>
      </c>
      <c r="AU103" s="183" t="s">
        <v>1541</v>
      </c>
      <c r="AV103" s="183"/>
      <c r="DP103" s="534"/>
    </row>
    <row r="104" spans="2:120" ht="18.75" customHeight="1" x14ac:dyDescent="0.3">
      <c r="B104" s="540">
        <v>43026</v>
      </c>
      <c r="C104" s="540" t="str">
        <f>MONTH(Table_NFI[[#This Row],[Distribution Date]]) &amp; "/" &amp; YEAR(Table_NFI[[#This Row],[Distribution Date]])</f>
        <v>10/2017</v>
      </c>
      <c r="D104" s="198" t="s">
        <v>1468</v>
      </c>
      <c r="E104" s="198" t="s">
        <v>420</v>
      </c>
      <c r="F104" s="198" t="s">
        <v>378</v>
      </c>
      <c r="G104" s="198" t="s">
        <v>309</v>
      </c>
      <c r="H104" s="198" t="s">
        <v>353</v>
      </c>
      <c r="I104" s="183"/>
      <c r="J104" s="541"/>
      <c r="K104" s="541"/>
      <c r="L104" s="541"/>
      <c r="M104" s="541"/>
      <c r="N104" s="541"/>
      <c r="O104" s="541"/>
      <c r="P104" s="541">
        <v>182</v>
      </c>
      <c r="Q104" s="541"/>
      <c r="R104" s="541"/>
      <c r="S104" s="541"/>
      <c r="T104" s="541"/>
      <c r="U104" s="541">
        <v>137</v>
      </c>
      <c r="V104" s="541">
        <v>264</v>
      </c>
      <c r="W104" s="541"/>
      <c r="X104" s="541"/>
      <c r="Y104" s="541"/>
      <c r="Z104" s="541"/>
      <c r="AA104" s="541"/>
      <c r="AB104" s="541"/>
      <c r="AC104" s="542"/>
      <c r="AD104" s="542"/>
      <c r="AE104" s="542"/>
      <c r="AF104" s="542"/>
      <c r="AG104" s="542"/>
      <c r="AH104" s="542"/>
      <c r="AI104" s="542"/>
      <c r="AJ104" s="542"/>
      <c r="AK104" s="542"/>
      <c r="AL104" s="542"/>
      <c r="AM104" s="542"/>
      <c r="AN104" s="542"/>
      <c r="AO104" s="542"/>
      <c r="AP104" s="542">
        <f>IF(Table_NFI[[#This Row],[Winter Clothes Adult]]+Table_NFI[[#This Row],[Winter Clothes Children]]+Table_NFI[[#This Row],[Winter Items Other]]+Table_NFI[[#This Row],[Winter Blanket]]&gt;0,1,0)</f>
        <v>1</v>
      </c>
      <c r="AQ104" s="542"/>
      <c r="AR104" s="542"/>
      <c r="AS104" s="542"/>
      <c r="AT104" s="205" t="str">
        <f>IFERROR(VLOOKUP(Table_NFI[[#This Row],[Location]],CL,2,0),"")</f>
        <v>MMR001CMP160</v>
      </c>
      <c r="AU104" s="183" t="s">
        <v>1541</v>
      </c>
      <c r="AV104" s="183"/>
      <c r="DP104" s="534"/>
    </row>
    <row r="105" spans="2:120" ht="18.75" customHeight="1" x14ac:dyDescent="0.3">
      <c r="B105" s="540">
        <v>43027</v>
      </c>
      <c r="C105" s="540" t="str">
        <f>MONTH(Table_NFI[[#This Row],[Distribution Date]]) &amp; "/" &amp; YEAR(Table_NFI[[#This Row],[Distribution Date]])</f>
        <v>10/2017</v>
      </c>
      <c r="D105" s="198" t="s">
        <v>1468</v>
      </c>
      <c r="E105" s="198" t="s">
        <v>420</v>
      </c>
      <c r="F105" s="198" t="s">
        <v>378</v>
      </c>
      <c r="G105" s="197" t="s">
        <v>185</v>
      </c>
      <c r="H105" s="198" t="s">
        <v>192</v>
      </c>
      <c r="I105" s="183"/>
      <c r="J105" s="541"/>
      <c r="K105" s="541"/>
      <c r="L105" s="541"/>
      <c r="M105" s="541"/>
      <c r="N105" s="541"/>
      <c r="O105" s="541"/>
      <c r="P105" s="541">
        <v>196</v>
      </c>
      <c r="Q105" s="541"/>
      <c r="R105" s="541"/>
      <c r="S105" s="541"/>
      <c r="T105" s="541"/>
      <c r="U105" s="541">
        <v>195</v>
      </c>
      <c r="V105" s="541">
        <v>214</v>
      </c>
      <c r="W105" s="541"/>
      <c r="X105" s="541"/>
      <c r="Y105" s="541"/>
      <c r="Z105" s="541"/>
      <c r="AA105" s="541"/>
      <c r="AB105" s="541"/>
      <c r="AC105" s="542"/>
      <c r="AD105" s="542"/>
      <c r="AE105" s="542"/>
      <c r="AF105" s="542"/>
      <c r="AG105" s="542"/>
      <c r="AH105" s="542"/>
      <c r="AI105" s="542"/>
      <c r="AJ105" s="542"/>
      <c r="AK105" s="542"/>
      <c r="AL105" s="542"/>
      <c r="AM105" s="542"/>
      <c r="AN105" s="542"/>
      <c r="AO105" s="542"/>
      <c r="AP105" s="542">
        <f>IF(Table_NFI[[#This Row],[Winter Clothes Adult]]+Table_NFI[[#This Row],[Winter Clothes Children]]+Table_NFI[[#This Row],[Winter Items Other]]+Table_NFI[[#This Row],[Winter Blanket]]&gt;0,1,0)</f>
        <v>1</v>
      </c>
      <c r="AQ105" s="542"/>
      <c r="AR105" s="542"/>
      <c r="AS105" s="542"/>
      <c r="AT105" s="205" t="str">
        <f>IFERROR(VLOOKUP(Table_NFI[[#This Row],[Location]],CL,2,0),"")</f>
        <v>MMR001CMP123</v>
      </c>
      <c r="AU105" s="183" t="s">
        <v>1541</v>
      </c>
      <c r="AV105" s="183"/>
      <c r="DP105" s="534"/>
    </row>
    <row r="106" spans="2:120" ht="18.75" customHeight="1" x14ac:dyDescent="0.3">
      <c r="B106" s="540">
        <v>43028</v>
      </c>
      <c r="C106" s="540" t="str">
        <f>MONTH(Table_NFI[[#This Row],[Distribution Date]]) &amp; "/" &amp; YEAR(Table_NFI[[#This Row],[Distribution Date]])</f>
        <v>10/2017</v>
      </c>
      <c r="D106" s="198" t="s">
        <v>1468</v>
      </c>
      <c r="E106" s="198" t="s">
        <v>420</v>
      </c>
      <c r="F106" s="198" t="s">
        <v>378</v>
      </c>
      <c r="G106" s="198" t="s">
        <v>309</v>
      </c>
      <c r="H106" s="198" t="s">
        <v>333</v>
      </c>
      <c r="I106" s="183"/>
      <c r="J106" s="541"/>
      <c r="K106" s="541"/>
      <c r="L106" s="541"/>
      <c r="M106" s="541"/>
      <c r="N106" s="541"/>
      <c r="O106" s="541"/>
      <c r="P106" s="541">
        <v>304</v>
      </c>
      <c r="Q106" s="541"/>
      <c r="R106" s="541"/>
      <c r="S106" s="541"/>
      <c r="T106" s="541"/>
      <c r="U106" s="541">
        <v>348</v>
      </c>
      <c r="V106" s="541">
        <v>269</v>
      </c>
      <c r="W106" s="541"/>
      <c r="X106" s="541"/>
      <c r="Y106" s="541"/>
      <c r="Z106" s="541"/>
      <c r="AA106" s="541"/>
      <c r="AB106" s="541"/>
      <c r="AC106" s="542"/>
      <c r="AD106" s="542"/>
      <c r="AE106" s="542"/>
      <c r="AF106" s="542"/>
      <c r="AG106" s="542"/>
      <c r="AH106" s="542"/>
      <c r="AI106" s="542"/>
      <c r="AJ106" s="542"/>
      <c r="AK106" s="542"/>
      <c r="AL106" s="542"/>
      <c r="AM106" s="542"/>
      <c r="AN106" s="542"/>
      <c r="AO106" s="542"/>
      <c r="AP106" s="542">
        <f>IF(Table_NFI[[#This Row],[Winter Clothes Adult]]+Table_NFI[[#This Row],[Winter Clothes Children]]+Table_NFI[[#This Row],[Winter Items Other]]+Table_NFI[[#This Row],[Winter Blanket]]&gt;0,1,0)</f>
        <v>1</v>
      </c>
      <c r="AQ106" s="542"/>
      <c r="AR106" s="542"/>
      <c r="AS106" s="542"/>
      <c r="AT106" s="205" t="str">
        <f>IFERROR(VLOOKUP(Table_NFI[[#This Row],[Location]],CL,2,0),"")</f>
        <v>MMR001CMP113</v>
      </c>
      <c r="AU106" s="183" t="s">
        <v>1541</v>
      </c>
      <c r="AV106" s="183"/>
      <c r="DP106" s="534"/>
    </row>
    <row r="107" spans="2:120" ht="18.75" customHeight="1" x14ac:dyDescent="0.3">
      <c r="B107" s="540">
        <v>43035</v>
      </c>
      <c r="C107" s="540" t="str">
        <f>MONTH(Table_NFI[[#This Row],[Distribution Date]]) &amp; "/" &amp; YEAR(Table_NFI[[#This Row],[Distribution Date]])</f>
        <v>10/2017</v>
      </c>
      <c r="D107" s="198" t="s">
        <v>1261</v>
      </c>
      <c r="E107" s="219" t="s">
        <v>1261</v>
      </c>
      <c r="F107" s="198" t="s">
        <v>378</v>
      </c>
      <c r="G107" s="197" t="s">
        <v>185</v>
      </c>
      <c r="H107" s="554" t="s">
        <v>1542</v>
      </c>
      <c r="I107" s="183">
        <v>69</v>
      </c>
      <c r="J107" s="541"/>
      <c r="K107" s="541"/>
      <c r="L107" s="541"/>
      <c r="M107" s="541"/>
      <c r="N107" s="541"/>
      <c r="O107" s="541"/>
      <c r="P107" s="541"/>
      <c r="Q107" s="541"/>
      <c r="R107" s="541"/>
      <c r="S107" s="541"/>
      <c r="T107" s="541"/>
      <c r="U107" s="541"/>
      <c r="V107" s="541"/>
      <c r="W107" s="541"/>
      <c r="X107" s="541"/>
      <c r="Y107" s="541"/>
      <c r="Z107" s="541"/>
      <c r="AA107" s="541"/>
      <c r="AB107" s="541"/>
      <c r="AC107" s="542"/>
      <c r="AD107" s="542"/>
      <c r="AE107" s="542"/>
      <c r="AF107" s="542"/>
      <c r="AG107" s="542"/>
      <c r="AH107" s="542"/>
      <c r="AI107" s="542"/>
      <c r="AJ107" s="542"/>
      <c r="AK107" s="542"/>
      <c r="AL107" s="542"/>
      <c r="AM107" s="542"/>
      <c r="AN107" s="542"/>
      <c r="AO107" s="542"/>
      <c r="AP107" s="542">
        <f>IF(Table_NFI[[#This Row],[Winter Clothes Adult]]+Table_NFI[[#This Row],[Winter Clothes Children]]+Table_NFI[[#This Row],[Winter Items Other]]+Table_NFI[[#This Row],[Winter Blanket]]&gt;0,1,0)</f>
        <v>0</v>
      </c>
      <c r="AQ107" s="542"/>
      <c r="AR107" s="542"/>
      <c r="AS107" s="542"/>
      <c r="AT107" s="205" t="str">
        <f>IFERROR(VLOOKUP(Table_NFI[[#This Row],[Location]],CL,2,0),"")</f>
        <v/>
      </c>
      <c r="AU107" s="183"/>
      <c r="AV107" s="183"/>
      <c r="DP107" s="534"/>
    </row>
    <row r="108" spans="2:120" ht="18.75" customHeight="1" x14ac:dyDescent="0.3">
      <c r="B108" s="540">
        <v>43066</v>
      </c>
      <c r="C108" s="540" t="str">
        <f>MONTH(Table_NFI[[#This Row],[Distribution Date]]) &amp; "/" &amp; YEAR(Table_NFI[[#This Row],[Distribution Date]])</f>
        <v>11/2017</v>
      </c>
      <c r="D108" s="198" t="s">
        <v>1567</v>
      </c>
      <c r="E108" s="198" t="s">
        <v>1567</v>
      </c>
      <c r="F108" s="198" t="s">
        <v>506</v>
      </c>
      <c r="G108" s="198" t="s">
        <v>297</v>
      </c>
      <c r="H108" s="198" t="s">
        <v>1278</v>
      </c>
      <c r="I108" s="183"/>
      <c r="J108" s="541"/>
      <c r="K108" s="541"/>
      <c r="L108" s="541"/>
      <c r="M108" s="541"/>
      <c r="N108" s="541"/>
      <c r="O108" s="541"/>
      <c r="P108" s="541"/>
      <c r="Q108" s="541"/>
      <c r="R108" s="541"/>
      <c r="S108" s="541"/>
      <c r="T108" s="541"/>
      <c r="U108" s="541"/>
      <c r="V108" s="541"/>
      <c r="W108" s="541">
        <v>60</v>
      </c>
      <c r="X108" s="541"/>
      <c r="Y108" s="541"/>
      <c r="Z108" s="541"/>
      <c r="AA108" s="541"/>
      <c r="AB108" s="541"/>
      <c r="AC108" s="542"/>
      <c r="AD108" s="542"/>
      <c r="AE108" s="542"/>
      <c r="AF108" s="542"/>
      <c r="AG108" s="542"/>
      <c r="AH108" s="542"/>
      <c r="AI108" s="542"/>
      <c r="AJ108" s="542"/>
      <c r="AK108" s="542"/>
      <c r="AL108" s="542"/>
      <c r="AM108" s="542"/>
      <c r="AN108" s="542"/>
      <c r="AO108" s="542"/>
      <c r="AP108" s="542">
        <f>IF(Table_NFI[[#This Row],[Winter Clothes Adult]]+Table_NFI[[#This Row],[Winter Clothes Children]]+Table_NFI[[#This Row],[Winter Items Other]]+Table_NFI[[#This Row],[Winter Blanket]]&gt;0,1,0)</f>
        <v>1</v>
      </c>
      <c r="AQ108" s="542"/>
      <c r="AR108" s="542"/>
      <c r="AS108" s="542"/>
      <c r="AT108" s="205" t="str">
        <f>IFERROR(VLOOKUP(Table_NFI[[#This Row],[Location]],CL,2,0),"")</f>
        <v>MMR015CMP248</v>
      </c>
      <c r="AU108" s="183"/>
      <c r="AV108" s="183"/>
      <c r="DP108" s="534"/>
    </row>
    <row r="109" spans="2:120" ht="18.75" customHeight="1" x14ac:dyDescent="0.3">
      <c r="B109" s="540">
        <v>43066</v>
      </c>
      <c r="C109" s="540" t="str">
        <f>MONTH(Table_NFI[[#This Row],[Distribution Date]]) &amp; "/" &amp; YEAR(Table_NFI[[#This Row],[Distribution Date]])</f>
        <v>11/2017</v>
      </c>
      <c r="D109" s="198" t="s">
        <v>1567</v>
      </c>
      <c r="E109" s="198" t="s">
        <v>1567</v>
      </c>
      <c r="F109" s="198" t="s">
        <v>506</v>
      </c>
      <c r="G109" s="198" t="s">
        <v>297</v>
      </c>
      <c r="H109" s="198" t="s">
        <v>759</v>
      </c>
      <c r="I109" s="183"/>
      <c r="J109" s="541"/>
      <c r="K109" s="541"/>
      <c r="L109" s="541"/>
      <c r="M109" s="541"/>
      <c r="N109" s="541"/>
      <c r="O109" s="541"/>
      <c r="P109" s="541"/>
      <c r="Q109" s="541"/>
      <c r="R109" s="541"/>
      <c r="S109" s="541"/>
      <c r="T109" s="541"/>
      <c r="U109" s="541"/>
      <c r="V109" s="541"/>
      <c r="W109" s="541">
        <v>46</v>
      </c>
      <c r="X109" s="541"/>
      <c r="Y109" s="541"/>
      <c r="Z109" s="541"/>
      <c r="AA109" s="541"/>
      <c r="AB109" s="541"/>
      <c r="AC109" s="542"/>
      <c r="AD109" s="542"/>
      <c r="AE109" s="542"/>
      <c r="AF109" s="542"/>
      <c r="AG109" s="542"/>
      <c r="AH109" s="542"/>
      <c r="AI109" s="542"/>
      <c r="AJ109" s="542"/>
      <c r="AK109" s="542"/>
      <c r="AL109" s="542"/>
      <c r="AM109" s="542"/>
      <c r="AN109" s="542"/>
      <c r="AO109" s="542"/>
      <c r="AP109" s="542">
        <f>IF(Table_NFI[[#This Row],[Winter Clothes Adult]]+Table_NFI[[#This Row],[Winter Clothes Children]]+Table_NFI[[#This Row],[Winter Items Other]]+Table_NFI[[#This Row],[Winter Blanket]]&gt;0,1,0)</f>
        <v>1</v>
      </c>
      <c r="AQ109" s="542"/>
      <c r="AR109" s="542"/>
      <c r="AS109" s="542"/>
      <c r="AT109" s="205" t="str">
        <f>IFERROR(VLOOKUP(Table_NFI[[#This Row],[Location]],CL,2,0),"")</f>
        <v>MMR015CMP014</v>
      </c>
      <c r="AU109" s="183"/>
      <c r="AV109" s="183"/>
      <c r="DP109" s="534"/>
    </row>
    <row r="110" spans="2:120" ht="18.75" customHeight="1" x14ac:dyDescent="0.3">
      <c r="B110" s="540">
        <v>43067</v>
      </c>
      <c r="C110" s="540" t="str">
        <f>MONTH(Table_NFI[[#This Row],[Distribution Date]]) &amp; "/" &amp; YEAR(Table_NFI[[#This Row],[Distribution Date]])</f>
        <v>11/2017</v>
      </c>
      <c r="D110" s="198" t="s">
        <v>420</v>
      </c>
      <c r="E110" s="198" t="s">
        <v>462</v>
      </c>
      <c r="F110" s="198" t="s">
        <v>378</v>
      </c>
      <c r="G110" s="197" t="s">
        <v>237</v>
      </c>
      <c r="H110" s="198" t="s">
        <v>1515</v>
      </c>
      <c r="I110" s="183"/>
      <c r="J110" s="541"/>
      <c r="K110" s="541"/>
      <c r="L110" s="541"/>
      <c r="M110" s="541"/>
      <c r="N110" s="541"/>
      <c r="O110" s="541"/>
      <c r="P110" s="541">
        <v>50</v>
      </c>
      <c r="Q110" s="541"/>
      <c r="R110" s="541"/>
      <c r="S110" s="541"/>
      <c r="T110" s="541"/>
      <c r="U110" s="541">
        <v>36</v>
      </c>
      <c r="V110" s="541">
        <v>13</v>
      </c>
      <c r="W110" s="541"/>
      <c r="X110" s="541"/>
      <c r="Y110" s="541"/>
      <c r="Z110" s="541"/>
      <c r="AA110" s="541"/>
      <c r="AB110" s="541"/>
      <c r="AC110" s="183"/>
      <c r="AD110" s="542"/>
      <c r="AE110" s="542"/>
      <c r="AF110" s="542"/>
      <c r="AG110" s="542"/>
      <c r="AH110" s="542"/>
      <c r="AI110" s="542"/>
      <c r="AJ110" s="542"/>
      <c r="AK110" s="542"/>
      <c r="AL110" s="542"/>
      <c r="AM110" s="542"/>
      <c r="AN110" s="542"/>
      <c r="AO110" s="542"/>
      <c r="AP110" s="542">
        <f>IF(Table_NFI[[#This Row],[Winter Clothes Adult]]+Table_NFI[[#This Row],[Winter Clothes Children]]+Table_NFI[[#This Row],[Winter Items Other]]+Table_NFI[[#This Row],[Winter Blanket]]&gt;0,1,0)</f>
        <v>1</v>
      </c>
      <c r="AQ110" s="542"/>
      <c r="AR110" s="542"/>
      <c r="AS110" s="542"/>
      <c r="AT110" s="205" t="str">
        <f>IFERROR(VLOOKUP(Table_NFI[[#This Row],[Location]],CL,2,0),"")</f>
        <v>MMR001CMP256</v>
      </c>
      <c r="AU110" s="183"/>
      <c r="AV110" s="183"/>
      <c r="DP110" s="534"/>
    </row>
    <row r="111" spans="2:120" ht="18.75" customHeight="1" x14ac:dyDescent="0.3">
      <c r="B111" s="540">
        <v>43068</v>
      </c>
      <c r="C111" s="540" t="str">
        <f>MONTH(Table_NFI[[#This Row],[Distribution Date]]) &amp; "/" &amp; YEAR(Table_NFI[[#This Row],[Distribution Date]])</f>
        <v>11/2017</v>
      </c>
      <c r="D111" s="198" t="s">
        <v>1567</v>
      </c>
      <c r="E111" s="198" t="s">
        <v>1567</v>
      </c>
      <c r="F111" s="198" t="s">
        <v>506</v>
      </c>
      <c r="G111" s="198" t="s">
        <v>230</v>
      </c>
      <c r="H111" s="198" t="s">
        <v>903</v>
      </c>
      <c r="I111" s="183"/>
      <c r="J111" s="541"/>
      <c r="K111" s="541"/>
      <c r="L111" s="541"/>
      <c r="M111" s="541"/>
      <c r="N111" s="541"/>
      <c r="O111" s="541"/>
      <c r="P111" s="541"/>
      <c r="Q111" s="541"/>
      <c r="R111" s="541"/>
      <c r="S111" s="541"/>
      <c r="T111" s="541"/>
      <c r="U111" s="541"/>
      <c r="V111" s="541"/>
      <c r="W111" s="541">
        <v>43</v>
      </c>
      <c r="X111" s="541"/>
      <c r="Y111" s="541"/>
      <c r="Z111" s="541"/>
      <c r="AA111" s="541"/>
      <c r="AB111" s="541"/>
      <c r="AC111" s="542"/>
      <c r="AD111" s="542"/>
      <c r="AE111" s="542"/>
      <c r="AF111" s="542"/>
      <c r="AG111" s="542"/>
      <c r="AH111" s="542"/>
      <c r="AI111" s="542"/>
      <c r="AJ111" s="542"/>
      <c r="AK111" s="542"/>
      <c r="AL111" s="542"/>
      <c r="AM111" s="542"/>
      <c r="AN111" s="542"/>
      <c r="AO111" s="542"/>
      <c r="AP111" s="542">
        <f>IF(Table_NFI[[#This Row],[Winter Clothes Adult]]+Table_NFI[[#This Row],[Winter Clothes Children]]+Table_NFI[[#This Row],[Winter Items Other]]+Table_NFI[[#This Row],[Winter Blanket]]&gt;0,1,0)</f>
        <v>1</v>
      </c>
      <c r="AQ111" s="542"/>
      <c r="AR111" s="542"/>
      <c r="AS111" s="542"/>
      <c r="AT111" s="205" t="str">
        <f>IFERROR(VLOOKUP(Table_NFI[[#This Row],[Location]],CL,2,0),"")</f>
        <v>MMR015CMP213</v>
      </c>
      <c r="AU111" s="183"/>
      <c r="AV111" s="183"/>
      <c r="DP111" s="534"/>
    </row>
    <row r="112" spans="2:120" ht="18.75" customHeight="1" x14ac:dyDescent="0.3">
      <c r="B112" s="540">
        <v>43068</v>
      </c>
      <c r="C112" s="540" t="str">
        <f>MONTH(Table_NFI[[#This Row],[Distribution Date]]) &amp; "/" &amp; YEAR(Table_NFI[[#This Row],[Distribution Date]])</f>
        <v>11/2017</v>
      </c>
      <c r="D112" s="198" t="s">
        <v>1567</v>
      </c>
      <c r="E112" s="198" t="s">
        <v>1567</v>
      </c>
      <c r="F112" s="198" t="s">
        <v>506</v>
      </c>
      <c r="G112" s="198" t="s">
        <v>230</v>
      </c>
      <c r="H112" s="198" t="s">
        <v>913</v>
      </c>
      <c r="I112" s="183"/>
      <c r="J112" s="541"/>
      <c r="K112" s="541"/>
      <c r="L112" s="541"/>
      <c r="M112" s="541"/>
      <c r="N112" s="541"/>
      <c r="O112" s="541"/>
      <c r="P112" s="541"/>
      <c r="Q112" s="541"/>
      <c r="R112" s="541"/>
      <c r="S112" s="541"/>
      <c r="T112" s="541"/>
      <c r="U112" s="541"/>
      <c r="V112" s="541"/>
      <c r="W112" s="541">
        <v>22</v>
      </c>
      <c r="X112" s="541"/>
      <c r="Y112" s="541"/>
      <c r="Z112" s="541"/>
      <c r="AA112" s="541"/>
      <c r="AB112" s="541"/>
      <c r="AC112" s="542"/>
      <c r="AD112" s="542"/>
      <c r="AE112" s="542"/>
      <c r="AF112" s="542"/>
      <c r="AG112" s="542"/>
      <c r="AH112" s="542"/>
      <c r="AI112" s="542"/>
      <c r="AJ112" s="542"/>
      <c r="AK112" s="542"/>
      <c r="AL112" s="542"/>
      <c r="AM112" s="542"/>
      <c r="AN112" s="542"/>
      <c r="AO112" s="542"/>
      <c r="AP112" s="542">
        <f>IF(Table_NFI[[#This Row],[Winter Clothes Adult]]+Table_NFI[[#This Row],[Winter Clothes Children]]+Table_NFI[[#This Row],[Winter Items Other]]+Table_NFI[[#This Row],[Winter Blanket]]&gt;0,1,0)</f>
        <v>1</v>
      </c>
      <c r="AQ112" s="542"/>
      <c r="AR112" s="542"/>
      <c r="AS112" s="542"/>
      <c r="AT112" s="205" t="str">
        <f>IFERROR(VLOOKUP(Table_NFI[[#This Row],[Location]],CL,2,0),"")</f>
        <v>MMR015CMP216</v>
      </c>
      <c r="AU112" s="183"/>
      <c r="AV112" s="183"/>
      <c r="DP112" s="534"/>
    </row>
    <row r="113" spans="2:120" ht="18.75" customHeight="1" x14ac:dyDescent="0.3">
      <c r="B113" s="540">
        <v>43075</v>
      </c>
      <c r="C113" s="540" t="str">
        <f>MONTH(Table_NFI[[#This Row],[Distribution Date]]) &amp; "/" &amp; YEAR(Table_NFI[[#This Row],[Distribution Date]])</f>
        <v>12/2017</v>
      </c>
      <c r="D113" s="198" t="s">
        <v>825</v>
      </c>
      <c r="E113" s="198"/>
      <c r="F113" s="198" t="s">
        <v>378</v>
      </c>
      <c r="G113" s="197" t="s">
        <v>185</v>
      </c>
      <c r="H113" s="198" t="s">
        <v>186</v>
      </c>
      <c r="I113" s="183"/>
      <c r="J113" s="541"/>
      <c r="K113" s="541"/>
      <c r="L113" s="541"/>
      <c r="M113" s="541"/>
      <c r="N113" s="541"/>
      <c r="O113" s="541"/>
      <c r="P113" s="541"/>
      <c r="Q113" s="541"/>
      <c r="R113" s="541"/>
      <c r="S113" s="541"/>
      <c r="T113" s="541"/>
      <c r="U113" s="541"/>
      <c r="V113" s="541"/>
      <c r="W113" s="541"/>
      <c r="X113" s="541">
        <v>93</v>
      </c>
      <c r="Y113" s="541"/>
      <c r="Z113" s="541"/>
      <c r="AA113" s="541"/>
      <c r="AB113" s="541"/>
      <c r="AC113" s="542"/>
      <c r="AD113" s="542"/>
      <c r="AE113" s="542"/>
      <c r="AF113" s="542"/>
      <c r="AG113" s="542"/>
      <c r="AH113" s="542"/>
      <c r="AI113" s="542"/>
      <c r="AJ113" s="542"/>
      <c r="AK113" s="542"/>
      <c r="AL113" s="542"/>
      <c r="AM113" s="542"/>
      <c r="AN113" s="542"/>
      <c r="AO113" s="542"/>
      <c r="AP113" s="542">
        <f>IF(Table_NFI[[#This Row],[Winter Clothes Adult]]+Table_NFI[[#This Row],[Winter Clothes Children]]+Table_NFI[[#This Row],[Winter Items Other]]+Table_NFI[[#This Row],[Winter Blanket]]&gt;0,1,0)</f>
        <v>1</v>
      </c>
      <c r="AQ113" s="542"/>
      <c r="AR113" s="542"/>
      <c r="AS113" s="542"/>
      <c r="AT113" s="205" t="str">
        <f>IFERROR(VLOOKUP(Table_NFI[[#This Row],[Location]],CL,2,0),"")</f>
        <v>MMR001CMP071</v>
      </c>
      <c r="AU113" s="183"/>
      <c r="AV113" s="183"/>
      <c r="DP113" s="534"/>
    </row>
    <row r="114" spans="2:120" ht="18.75" customHeight="1" x14ac:dyDescent="0.3">
      <c r="B114" s="540">
        <v>43075</v>
      </c>
      <c r="C114" s="540" t="str">
        <f>MONTH(Table_NFI[[#This Row],[Distribution Date]]) &amp; "/" &amp; YEAR(Table_NFI[[#This Row],[Distribution Date]])</f>
        <v>12/2017</v>
      </c>
      <c r="D114" s="198" t="s">
        <v>825</v>
      </c>
      <c r="E114" s="198"/>
      <c r="F114" s="198" t="s">
        <v>378</v>
      </c>
      <c r="G114" s="197" t="s">
        <v>185</v>
      </c>
      <c r="H114" s="198" t="s">
        <v>223</v>
      </c>
      <c r="I114" s="183"/>
      <c r="J114" s="541"/>
      <c r="K114" s="541"/>
      <c r="L114" s="541"/>
      <c r="M114" s="541"/>
      <c r="N114" s="541"/>
      <c r="O114" s="541"/>
      <c r="P114" s="541"/>
      <c r="Q114" s="541"/>
      <c r="R114" s="541"/>
      <c r="S114" s="541"/>
      <c r="T114" s="541"/>
      <c r="U114" s="541"/>
      <c r="V114" s="541"/>
      <c r="W114" s="541"/>
      <c r="X114" s="541">
        <v>143</v>
      </c>
      <c r="Y114" s="541"/>
      <c r="Z114" s="541"/>
      <c r="AA114" s="541"/>
      <c r="AB114" s="541"/>
      <c r="AC114" s="542"/>
      <c r="AD114" s="542"/>
      <c r="AE114" s="542"/>
      <c r="AF114" s="542"/>
      <c r="AG114" s="542"/>
      <c r="AH114" s="542"/>
      <c r="AI114" s="542"/>
      <c r="AJ114" s="542"/>
      <c r="AK114" s="542"/>
      <c r="AL114" s="542"/>
      <c r="AM114" s="542"/>
      <c r="AN114" s="542"/>
      <c r="AO114" s="542"/>
      <c r="AP114" s="542">
        <f>IF(Table_NFI[[#This Row],[Winter Clothes Adult]]+Table_NFI[[#This Row],[Winter Clothes Children]]+Table_NFI[[#This Row],[Winter Items Other]]+Table_NFI[[#This Row],[Winter Blanket]]&gt;0,1,0)</f>
        <v>1</v>
      </c>
      <c r="AQ114" s="542"/>
      <c r="AR114" s="542"/>
      <c r="AS114" s="542"/>
      <c r="AT114" s="205" t="str">
        <f>IFERROR(VLOOKUP(Table_NFI[[#This Row],[Location]],CL,2,0),"")</f>
        <v>MMR001CMP069</v>
      </c>
      <c r="AU114" s="183"/>
      <c r="AV114" s="183"/>
      <c r="DP114" s="534"/>
    </row>
    <row r="115" spans="2:120" ht="18.75" customHeight="1" x14ac:dyDescent="0.3">
      <c r="B115" s="540">
        <v>43075</v>
      </c>
      <c r="C115" s="540" t="str">
        <f>MONTH(Table_NFI[[#This Row],[Distribution Date]]) &amp; "/" &amp; YEAR(Table_NFI[[#This Row],[Distribution Date]])</f>
        <v>12/2017</v>
      </c>
      <c r="D115" s="198" t="s">
        <v>825</v>
      </c>
      <c r="E115" s="198"/>
      <c r="F115" s="198" t="s">
        <v>378</v>
      </c>
      <c r="G115" s="197" t="s">
        <v>185</v>
      </c>
      <c r="H115" s="198" t="s">
        <v>190</v>
      </c>
      <c r="I115" s="183"/>
      <c r="J115" s="541"/>
      <c r="K115" s="541"/>
      <c r="L115" s="541"/>
      <c r="M115" s="541"/>
      <c r="N115" s="541"/>
      <c r="O115" s="541"/>
      <c r="P115" s="541"/>
      <c r="Q115" s="541"/>
      <c r="R115" s="541"/>
      <c r="S115" s="541"/>
      <c r="T115" s="541"/>
      <c r="U115" s="541"/>
      <c r="V115" s="541"/>
      <c r="W115" s="541"/>
      <c r="X115" s="541">
        <v>474</v>
      </c>
      <c r="Y115" s="541"/>
      <c r="Z115" s="541"/>
      <c r="AA115" s="541"/>
      <c r="AB115" s="541"/>
      <c r="AC115" s="542"/>
      <c r="AD115" s="542"/>
      <c r="AE115" s="542"/>
      <c r="AF115" s="542"/>
      <c r="AG115" s="542"/>
      <c r="AH115" s="542"/>
      <c r="AI115" s="542"/>
      <c r="AJ115" s="542"/>
      <c r="AK115" s="542"/>
      <c r="AL115" s="542"/>
      <c r="AM115" s="542"/>
      <c r="AN115" s="542"/>
      <c r="AO115" s="542"/>
      <c r="AP115" s="542">
        <f>IF(Table_NFI[[#This Row],[Winter Clothes Adult]]+Table_NFI[[#This Row],[Winter Clothes Children]]+Table_NFI[[#This Row],[Winter Items Other]]+Table_NFI[[#This Row],[Winter Blanket]]&gt;0,1,0)</f>
        <v>1</v>
      </c>
      <c r="AQ115" s="542"/>
      <c r="AR115" s="542"/>
      <c r="AS115" s="542"/>
      <c r="AT115" s="205" t="str">
        <f>IFERROR(VLOOKUP(Table_NFI[[#This Row],[Location]],CL,2,0),"")</f>
        <v>MMR001CMP070</v>
      </c>
      <c r="AU115" s="183"/>
    </row>
    <row r="116" spans="2:120" ht="18.75" customHeight="1" x14ac:dyDescent="0.3">
      <c r="B116" s="540">
        <v>43075</v>
      </c>
      <c r="C116" s="540" t="str">
        <f>MONTH(Table_NFI[[#This Row],[Distribution Date]]) &amp; "/" &amp; YEAR(Table_NFI[[#This Row],[Distribution Date]])</f>
        <v>12/2017</v>
      </c>
      <c r="D116" s="198" t="s">
        <v>825</v>
      </c>
      <c r="E116" s="198"/>
      <c r="F116" s="198" t="s">
        <v>378</v>
      </c>
      <c r="G116" s="197" t="s">
        <v>185</v>
      </c>
      <c r="H116" s="198" t="s">
        <v>229</v>
      </c>
      <c r="I116" s="183"/>
      <c r="J116" s="541"/>
      <c r="K116" s="541"/>
      <c r="L116" s="541"/>
      <c r="M116" s="541"/>
      <c r="N116" s="541"/>
      <c r="O116" s="541"/>
      <c r="P116" s="541"/>
      <c r="Q116" s="541"/>
      <c r="R116" s="541"/>
      <c r="S116" s="541"/>
      <c r="T116" s="541"/>
      <c r="U116" s="541"/>
      <c r="V116" s="541"/>
      <c r="W116" s="541"/>
      <c r="X116" s="541">
        <v>122</v>
      </c>
      <c r="Y116" s="541"/>
      <c r="Z116" s="541"/>
      <c r="AA116" s="541"/>
      <c r="AB116" s="541"/>
      <c r="AC116" s="542"/>
      <c r="AD116" s="542"/>
      <c r="AE116" s="542"/>
      <c r="AF116" s="542"/>
      <c r="AG116" s="542"/>
      <c r="AH116" s="542"/>
      <c r="AI116" s="542"/>
      <c r="AJ116" s="542"/>
      <c r="AK116" s="542"/>
      <c r="AL116" s="542"/>
      <c r="AM116" s="542"/>
      <c r="AN116" s="542"/>
      <c r="AO116" s="542"/>
      <c r="AP116" s="542">
        <f>IF(Table_NFI[[#This Row],[Winter Clothes Adult]]+Table_NFI[[#This Row],[Winter Clothes Children]]+Table_NFI[[#This Row],[Winter Items Other]]+Table_NFI[[#This Row],[Winter Blanket]]&gt;0,1,0)</f>
        <v>1</v>
      </c>
      <c r="AQ116" s="542"/>
      <c r="AR116" s="542"/>
      <c r="AS116" s="542"/>
      <c r="AT116" s="205" t="str">
        <f>IFERROR(VLOOKUP(Table_NFI[[#This Row],[Location]],CL,2,0),"")</f>
        <v>MMR001CMP072</v>
      </c>
      <c r="AU116" s="183"/>
    </row>
    <row r="117" spans="2:120" ht="18.75" customHeight="1" x14ac:dyDescent="0.3">
      <c r="B117" s="540">
        <v>43075</v>
      </c>
      <c r="C117" s="540" t="str">
        <f>MONTH(Table_NFI[[#This Row],[Distribution Date]]) &amp; "/" &amp; YEAR(Table_NFI[[#This Row],[Distribution Date]])</f>
        <v>12/2017</v>
      </c>
      <c r="D117" s="198" t="s">
        <v>825</v>
      </c>
      <c r="E117" s="198"/>
      <c r="F117" s="198" t="s">
        <v>378</v>
      </c>
      <c r="G117" s="197" t="s">
        <v>185</v>
      </c>
      <c r="H117" s="198" t="s">
        <v>225</v>
      </c>
      <c r="I117" s="183"/>
      <c r="J117" s="541"/>
      <c r="K117" s="541"/>
      <c r="L117" s="541"/>
      <c r="M117" s="541"/>
      <c r="N117" s="541"/>
      <c r="O117" s="541"/>
      <c r="P117" s="541"/>
      <c r="Q117" s="541"/>
      <c r="R117" s="541"/>
      <c r="S117" s="541"/>
      <c r="T117" s="541"/>
      <c r="U117" s="541"/>
      <c r="V117" s="541"/>
      <c r="W117" s="541"/>
      <c r="X117" s="541">
        <v>101</v>
      </c>
      <c r="Y117" s="541"/>
      <c r="Z117" s="541"/>
      <c r="AA117" s="541"/>
      <c r="AB117" s="541"/>
      <c r="AC117" s="542"/>
      <c r="AD117" s="542"/>
      <c r="AE117" s="542"/>
      <c r="AF117" s="542"/>
      <c r="AG117" s="542"/>
      <c r="AH117" s="542"/>
      <c r="AI117" s="542"/>
      <c r="AJ117" s="542"/>
      <c r="AK117" s="542"/>
      <c r="AL117" s="542"/>
      <c r="AM117" s="542"/>
      <c r="AN117" s="542"/>
      <c r="AO117" s="542"/>
      <c r="AP117" s="542">
        <f>IF(Table_NFI[[#This Row],[Winter Clothes Adult]]+Table_NFI[[#This Row],[Winter Clothes Children]]+Table_NFI[[#This Row],[Winter Items Other]]+Table_NFI[[#This Row],[Winter Blanket]]&gt;0,1,0)</f>
        <v>1</v>
      </c>
      <c r="AQ117" s="542"/>
      <c r="AR117" s="542"/>
      <c r="AS117" s="542"/>
      <c r="AT117" s="205" t="str">
        <f>IFERROR(VLOOKUP(Table_NFI[[#This Row],[Location]],CL,2,0),"")</f>
        <v>MMR001CMP073</v>
      </c>
      <c r="AU117" s="183"/>
    </row>
    <row r="118" spans="2:120" ht="18.75" customHeight="1" x14ac:dyDescent="0.3">
      <c r="B118" s="540">
        <v>43078</v>
      </c>
      <c r="C118" s="540" t="str">
        <f>MONTH(Table_NFI[[#This Row],[Distribution Date]]) &amp; "/" &amp; YEAR(Table_NFI[[#This Row],[Distribution Date]])</f>
        <v>12/2017</v>
      </c>
      <c r="D118" s="198" t="s">
        <v>1567</v>
      </c>
      <c r="E118" s="198" t="s">
        <v>1567</v>
      </c>
      <c r="F118" s="198" t="s">
        <v>506</v>
      </c>
      <c r="G118" s="198" t="s">
        <v>297</v>
      </c>
      <c r="H118" s="198" t="s">
        <v>1568</v>
      </c>
      <c r="I118" s="183"/>
      <c r="J118" s="541"/>
      <c r="K118" s="541"/>
      <c r="L118" s="541">
        <v>15</v>
      </c>
      <c r="M118" s="541"/>
      <c r="N118" s="541"/>
      <c r="O118" s="541"/>
      <c r="P118" s="541"/>
      <c r="Q118" s="541"/>
      <c r="R118" s="541"/>
      <c r="S118" s="541"/>
      <c r="T118" s="541"/>
      <c r="U118" s="541"/>
      <c r="V118" s="541"/>
      <c r="W118" s="541">
        <v>15</v>
      </c>
      <c r="X118" s="541"/>
      <c r="Y118" s="541"/>
      <c r="Z118" s="541"/>
      <c r="AA118" s="541"/>
      <c r="AB118" s="541"/>
      <c r="AC118" s="542"/>
      <c r="AD118" s="542"/>
      <c r="AE118" s="542"/>
      <c r="AF118" s="542"/>
      <c r="AG118" s="542"/>
      <c r="AH118" s="542"/>
      <c r="AI118" s="542"/>
      <c r="AJ118" s="542"/>
      <c r="AK118" s="542"/>
      <c r="AL118" s="542"/>
      <c r="AM118" s="542"/>
      <c r="AN118" s="542"/>
      <c r="AO118" s="542"/>
      <c r="AP118" s="542">
        <f>IF(Table_NFI[[#This Row],[Winter Clothes Adult]]+Table_NFI[[#This Row],[Winter Clothes Children]]+Table_NFI[[#This Row],[Winter Items Other]]+Table_NFI[[#This Row],[Winter Blanket]]&gt;0,1,0)</f>
        <v>1</v>
      </c>
      <c r="AQ118" s="542"/>
      <c r="AR118" s="542"/>
      <c r="AS118" s="542"/>
      <c r="AT118" s="205" t="str">
        <f>IFERROR(VLOOKUP(Table_NFI[[#This Row],[Location]],CL,2,0),"")</f>
        <v/>
      </c>
      <c r="AU118" s="183"/>
    </row>
    <row r="119" spans="2:120" ht="18.75" customHeight="1" x14ac:dyDescent="0.3">
      <c r="B119" s="552">
        <v>43090</v>
      </c>
      <c r="C119" s="552" t="str">
        <f>MONTH(Table_NFI[[#This Row],[Distribution Date]]) &amp; "/" &amp; YEAR(Table_NFI[[#This Row],[Distribution Date]])</f>
        <v>12/2017</v>
      </c>
      <c r="D119" s="198" t="s">
        <v>1582</v>
      </c>
      <c r="E119" s="198" t="s">
        <v>1583</v>
      </c>
      <c r="F119" s="198" t="s">
        <v>506</v>
      </c>
      <c r="G119" s="198" t="s">
        <v>288</v>
      </c>
      <c r="H119" s="198" t="s">
        <v>917</v>
      </c>
      <c r="I119" s="183"/>
      <c r="J119" s="541"/>
      <c r="K119" s="541">
        <v>10</v>
      </c>
      <c r="L119" s="541"/>
      <c r="M119" s="541"/>
      <c r="N119" s="541"/>
      <c r="O119" s="541"/>
      <c r="P119" s="541"/>
      <c r="Q119" s="541"/>
      <c r="R119" s="541"/>
      <c r="S119" s="541"/>
      <c r="T119" s="541"/>
      <c r="U119" s="541"/>
      <c r="V119" s="541"/>
      <c r="W119" s="541"/>
      <c r="X119" s="541"/>
      <c r="Y119" s="541"/>
      <c r="Z119" s="541"/>
      <c r="AA119" s="541"/>
      <c r="AB119" s="541"/>
      <c r="AC119" s="542"/>
      <c r="AD119" s="542"/>
      <c r="AE119" s="542"/>
      <c r="AF119" s="542"/>
      <c r="AG119" s="542"/>
      <c r="AH119" s="542"/>
      <c r="AI119" s="542"/>
      <c r="AJ119" s="542"/>
      <c r="AK119" s="542"/>
      <c r="AL119" s="542"/>
      <c r="AM119" s="542"/>
      <c r="AN119" s="542"/>
      <c r="AO119" s="542"/>
      <c r="AP119" s="542">
        <f>IF(Table_NFI[[#This Row],[Winter Clothes Adult]]+Table_NFI[[#This Row],[Winter Clothes Children]]+Table_NFI[[#This Row],[Winter Items Other]]+Table_NFI[[#This Row],[Winter Blanket]]&gt;0,1,0)</f>
        <v>0</v>
      </c>
      <c r="AQ119" s="542"/>
      <c r="AR119" s="542"/>
      <c r="AS119" s="542"/>
      <c r="AT119" s="205" t="str">
        <f>IFERROR(VLOOKUP(Table_NFI[[#This Row],[Location]],CL,2,0),"")</f>
        <v>MMR015CMP215</v>
      </c>
      <c r="AU119" s="183"/>
    </row>
    <row r="120" spans="2:120" ht="18.75" customHeight="1" x14ac:dyDescent="0.3">
      <c r="B120" s="552">
        <v>43095</v>
      </c>
      <c r="C120" s="552" t="str">
        <f>MONTH(Table_NFI[[#This Row],[Distribution Date]]) &amp; "/" &amp; YEAR(Table_NFI[[#This Row],[Distribution Date]])</f>
        <v>12/2017</v>
      </c>
      <c r="D120" s="198" t="s">
        <v>1582</v>
      </c>
      <c r="E120" s="198" t="s">
        <v>1583</v>
      </c>
      <c r="F120" s="198" t="s">
        <v>506</v>
      </c>
      <c r="G120" s="198" t="s">
        <v>288</v>
      </c>
      <c r="H120" s="198" t="s">
        <v>917</v>
      </c>
      <c r="I120" s="183"/>
      <c r="J120" s="541"/>
      <c r="K120" s="541">
        <v>8</v>
      </c>
      <c r="L120" s="541"/>
      <c r="M120" s="541"/>
      <c r="N120" s="541"/>
      <c r="O120" s="541"/>
      <c r="P120" s="541"/>
      <c r="Q120" s="541"/>
      <c r="R120" s="541"/>
      <c r="S120" s="541"/>
      <c r="T120" s="541"/>
      <c r="U120" s="541"/>
      <c r="V120" s="541"/>
      <c r="W120" s="541"/>
      <c r="X120" s="541"/>
      <c r="Y120" s="541"/>
      <c r="Z120" s="541"/>
      <c r="AA120" s="541"/>
      <c r="AB120" s="541"/>
      <c r="AC120" s="542"/>
      <c r="AD120" s="542"/>
      <c r="AE120" s="542"/>
      <c r="AF120" s="542"/>
      <c r="AG120" s="542"/>
      <c r="AH120" s="542"/>
      <c r="AI120" s="542"/>
      <c r="AJ120" s="542"/>
      <c r="AK120" s="542"/>
      <c r="AL120" s="542"/>
      <c r="AM120" s="542"/>
      <c r="AN120" s="542"/>
      <c r="AO120" s="542"/>
      <c r="AP120" s="542">
        <f>IF(Table_NFI[[#This Row],[Winter Clothes Adult]]+Table_NFI[[#This Row],[Winter Clothes Children]]+Table_NFI[[#This Row],[Winter Items Other]]+Table_NFI[[#This Row],[Winter Blanket]]&gt;0,1,0)</f>
        <v>0</v>
      </c>
      <c r="AQ120" s="542"/>
      <c r="AR120" s="542"/>
      <c r="AS120" s="542"/>
      <c r="AT120" s="205" t="str">
        <f>IFERROR(VLOOKUP(Table_NFI[[#This Row],[Location]],CL,2,0),"")</f>
        <v>MMR015CMP215</v>
      </c>
      <c r="AU120" s="183"/>
    </row>
    <row r="121" spans="2:120" ht="18.75" customHeight="1" x14ac:dyDescent="0.3">
      <c r="B121" s="552">
        <v>43096</v>
      </c>
      <c r="C121" s="552" t="str">
        <f>MONTH(Table_NFI[[#This Row],[Distribution Date]]) &amp; "/" &amp; YEAR(Table_NFI[[#This Row],[Distribution Date]])</f>
        <v>12/2017</v>
      </c>
      <c r="D121" s="198" t="s">
        <v>825</v>
      </c>
      <c r="E121" s="198"/>
      <c r="F121" s="198" t="s">
        <v>378</v>
      </c>
      <c r="G121" s="197" t="s">
        <v>5</v>
      </c>
      <c r="H121" s="198" t="s">
        <v>6</v>
      </c>
      <c r="I121" s="183"/>
      <c r="J121" s="541"/>
      <c r="K121" s="541"/>
      <c r="L121" s="541"/>
      <c r="M121" s="541"/>
      <c r="N121" s="541"/>
      <c r="O121" s="541"/>
      <c r="P121" s="541"/>
      <c r="Q121" s="541"/>
      <c r="R121" s="541"/>
      <c r="S121" s="541"/>
      <c r="T121" s="541"/>
      <c r="U121" s="541"/>
      <c r="V121" s="541"/>
      <c r="W121" s="541"/>
      <c r="X121" s="541">
        <v>257</v>
      </c>
      <c r="Y121" s="541"/>
      <c r="Z121" s="541"/>
      <c r="AA121" s="541"/>
      <c r="AB121" s="541"/>
      <c r="AC121" s="542"/>
      <c r="AD121" s="542"/>
      <c r="AE121" s="542"/>
      <c r="AF121" s="542"/>
      <c r="AG121" s="542"/>
      <c r="AH121" s="542"/>
      <c r="AI121" s="542"/>
      <c r="AJ121" s="542"/>
      <c r="AK121" s="542"/>
      <c r="AL121" s="542"/>
      <c r="AM121" s="542"/>
      <c r="AN121" s="542"/>
      <c r="AO121" s="542"/>
      <c r="AP121" s="542">
        <f>IF(Table_NFI[[#This Row],[Winter Clothes Adult]]+Table_NFI[[#This Row],[Winter Clothes Children]]+Table_NFI[[#This Row],[Winter Items Other]]+Table_NFI[[#This Row],[Winter Blanket]]&gt;0,1,0)</f>
        <v>1</v>
      </c>
      <c r="AQ121" s="542"/>
      <c r="AR121" s="542"/>
      <c r="AS121" s="542"/>
      <c r="AT121" s="205" t="str">
        <f>IFERROR(VLOOKUP(Table_NFI[[#This Row],[Location]],CL,2,0),"")</f>
        <v>MMR001CMP050</v>
      </c>
      <c r="AU121" s="183"/>
    </row>
    <row r="122" spans="2:120" ht="18.75" customHeight="1" x14ac:dyDescent="0.3">
      <c r="B122" s="552">
        <v>43096</v>
      </c>
      <c r="C122" s="552" t="str">
        <f>MONTH(Table_NFI[[#This Row],[Distribution Date]]) &amp; "/" &amp; YEAR(Table_NFI[[#This Row],[Distribution Date]])</f>
        <v>12/2017</v>
      </c>
      <c r="D122" s="198" t="s">
        <v>825</v>
      </c>
      <c r="E122" s="198"/>
      <c r="F122" s="198" t="s">
        <v>378</v>
      </c>
      <c r="G122" s="197" t="s">
        <v>5</v>
      </c>
      <c r="H122" s="198" t="s">
        <v>18</v>
      </c>
      <c r="I122" s="183"/>
      <c r="J122" s="541"/>
      <c r="K122" s="541"/>
      <c r="L122" s="541"/>
      <c r="M122" s="541"/>
      <c r="N122" s="541"/>
      <c r="O122" s="541"/>
      <c r="P122" s="541"/>
      <c r="Q122" s="541"/>
      <c r="R122" s="541"/>
      <c r="S122" s="541"/>
      <c r="T122" s="541"/>
      <c r="U122" s="541"/>
      <c r="V122" s="541"/>
      <c r="W122" s="541"/>
      <c r="X122" s="541">
        <v>130</v>
      </c>
      <c r="Y122" s="541"/>
      <c r="Z122" s="541"/>
      <c r="AA122" s="541"/>
      <c r="AB122" s="541"/>
      <c r="AC122" s="542"/>
      <c r="AD122" s="542"/>
      <c r="AE122" s="542"/>
      <c r="AF122" s="542"/>
      <c r="AG122" s="542"/>
      <c r="AH122" s="542"/>
      <c r="AI122" s="542"/>
      <c r="AJ122" s="542"/>
      <c r="AK122" s="542"/>
      <c r="AL122" s="542"/>
      <c r="AM122" s="542"/>
      <c r="AN122" s="542"/>
      <c r="AO122" s="542"/>
      <c r="AP122" s="542">
        <f>IF(Table_NFI[[#This Row],[Winter Clothes Adult]]+Table_NFI[[#This Row],[Winter Clothes Children]]+Table_NFI[[#This Row],[Winter Items Other]]+Table_NFI[[#This Row],[Winter Blanket]]&gt;0,1,0)</f>
        <v>1</v>
      </c>
      <c r="AQ122" s="542"/>
      <c r="AR122" s="542"/>
      <c r="AS122" s="542"/>
      <c r="AT122" s="205" t="str">
        <f>IFERROR(VLOOKUP(Table_NFI[[#This Row],[Location]],CL,2,0),"")</f>
        <v>MMR001CMP049</v>
      </c>
      <c r="AU122" s="183"/>
    </row>
    <row r="123" spans="2:120" ht="18.75" customHeight="1" x14ac:dyDescent="0.3">
      <c r="B123" s="552">
        <v>43096</v>
      </c>
      <c r="C123" s="552" t="str">
        <f>MONTH(Table_NFI[[#This Row],[Distribution Date]]) &amp; "/" &amp; YEAR(Table_NFI[[#This Row],[Distribution Date]])</f>
        <v>12/2017</v>
      </c>
      <c r="D123" s="198" t="s">
        <v>825</v>
      </c>
      <c r="E123" s="198"/>
      <c r="F123" s="198" t="s">
        <v>378</v>
      </c>
      <c r="G123" s="197" t="s">
        <v>5</v>
      </c>
      <c r="H123" s="198" t="s">
        <v>20</v>
      </c>
      <c r="I123" s="183"/>
      <c r="J123" s="541"/>
      <c r="K123" s="541"/>
      <c r="L123" s="541"/>
      <c r="M123" s="541"/>
      <c r="N123" s="541"/>
      <c r="O123" s="541"/>
      <c r="P123" s="541"/>
      <c r="Q123" s="541"/>
      <c r="R123" s="541"/>
      <c r="S123" s="541"/>
      <c r="T123" s="541"/>
      <c r="U123" s="541"/>
      <c r="V123" s="541"/>
      <c r="W123" s="541"/>
      <c r="X123" s="541">
        <v>21</v>
      </c>
      <c r="Y123" s="541"/>
      <c r="Z123" s="541"/>
      <c r="AA123" s="541"/>
      <c r="AB123" s="541"/>
      <c r="AC123" s="542"/>
      <c r="AD123" s="542"/>
      <c r="AE123" s="542"/>
      <c r="AF123" s="542"/>
      <c r="AG123" s="542"/>
      <c r="AH123" s="542"/>
      <c r="AI123" s="542"/>
      <c r="AJ123" s="542"/>
      <c r="AK123" s="542"/>
      <c r="AL123" s="542"/>
      <c r="AM123" s="542"/>
      <c r="AN123" s="542"/>
      <c r="AO123" s="542"/>
      <c r="AP123" s="542">
        <f>IF(Table_NFI[[#This Row],[Winter Clothes Adult]]+Table_NFI[[#This Row],[Winter Clothes Children]]+Table_NFI[[#This Row],[Winter Items Other]]+Table_NFI[[#This Row],[Winter Blanket]]&gt;0,1,0)</f>
        <v>1</v>
      </c>
      <c r="AQ123" s="542"/>
      <c r="AR123" s="542"/>
      <c r="AS123" s="542"/>
      <c r="AT123" s="205" t="str">
        <f>IFERROR(VLOOKUP(Table_NFI[[#This Row],[Location]],CL,2,0),"")</f>
        <v>MMR001CMP054</v>
      </c>
      <c r="AU123" s="183"/>
    </row>
    <row r="124" spans="2:120" ht="18.75" customHeight="1" x14ac:dyDescent="0.3">
      <c r="B124" s="552">
        <v>43096</v>
      </c>
      <c r="C124" s="552" t="str">
        <f>MONTH(Table_NFI[[#This Row],[Distribution Date]]) &amp; "/" &amp; YEAR(Table_NFI[[#This Row],[Distribution Date]])</f>
        <v>12/2017</v>
      </c>
      <c r="D124" s="198" t="s">
        <v>825</v>
      </c>
      <c r="E124" s="198"/>
      <c r="F124" s="198" t="s">
        <v>378</v>
      </c>
      <c r="G124" s="197" t="s">
        <v>5</v>
      </c>
      <c r="H124" s="198" t="s">
        <v>364</v>
      </c>
      <c r="I124" s="183"/>
      <c r="J124" s="541"/>
      <c r="K124" s="541"/>
      <c r="L124" s="541"/>
      <c r="M124" s="541"/>
      <c r="N124" s="541"/>
      <c r="O124" s="541"/>
      <c r="P124" s="541"/>
      <c r="Q124" s="541"/>
      <c r="R124" s="541"/>
      <c r="S124" s="541"/>
      <c r="T124" s="541"/>
      <c r="U124" s="541"/>
      <c r="V124" s="541"/>
      <c r="W124" s="541"/>
      <c r="X124" s="541">
        <v>144</v>
      </c>
      <c r="Y124" s="541"/>
      <c r="Z124" s="541"/>
      <c r="AA124" s="541"/>
      <c r="AB124" s="541"/>
      <c r="AC124" s="542"/>
      <c r="AD124" s="542"/>
      <c r="AE124" s="542"/>
      <c r="AF124" s="542"/>
      <c r="AG124" s="542"/>
      <c r="AH124" s="542"/>
      <c r="AI124" s="542"/>
      <c r="AJ124" s="542"/>
      <c r="AK124" s="542"/>
      <c r="AL124" s="542"/>
      <c r="AM124" s="542"/>
      <c r="AN124" s="542"/>
      <c r="AO124" s="542"/>
      <c r="AP124" s="542">
        <f>IF(Table_NFI[[#This Row],[Winter Clothes Adult]]+Table_NFI[[#This Row],[Winter Clothes Children]]+Table_NFI[[#This Row],[Winter Items Other]]+Table_NFI[[#This Row],[Winter Blanket]]&gt;0,1,0)</f>
        <v>1</v>
      </c>
      <c r="AQ124" s="542"/>
      <c r="AR124" s="542"/>
      <c r="AS124" s="542"/>
      <c r="AT124" s="205" t="str">
        <f>IFERROR(VLOOKUP(Table_NFI[[#This Row],[Location]],CL,2,0),"")</f>
        <v>MMR001CMP193</v>
      </c>
      <c r="AU124" s="183"/>
    </row>
    <row r="125" spans="2:120" ht="18.75" customHeight="1" x14ac:dyDescent="0.3">
      <c r="B125" s="552">
        <v>43096</v>
      </c>
      <c r="C125" s="552" t="str">
        <f>MONTH(Table_NFI[[#This Row],[Distribution Date]]) &amp; "/" &amp; YEAR(Table_NFI[[#This Row],[Distribution Date]])</f>
        <v>12/2017</v>
      </c>
      <c r="D125" s="198" t="s">
        <v>825</v>
      </c>
      <c r="E125" s="198"/>
      <c r="F125" s="198" t="s">
        <v>378</v>
      </c>
      <c r="G125" s="197" t="s">
        <v>5</v>
      </c>
      <c r="H125" s="198" t="s">
        <v>24</v>
      </c>
      <c r="I125" s="183"/>
      <c r="J125" s="541"/>
      <c r="K125" s="541"/>
      <c r="L125" s="541"/>
      <c r="M125" s="541"/>
      <c r="N125" s="541"/>
      <c r="O125" s="541"/>
      <c r="P125" s="541"/>
      <c r="Q125" s="541"/>
      <c r="R125" s="541"/>
      <c r="S125" s="541"/>
      <c r="T125" s="541"/>
      <c r="U125" s="541"/>
      <c r="V125" s="541"/>
      <c r="W125" s="541"/>
      <c r="X125" s="541">
        <v>20</v>
      </c>
      <c r="Y125" s="541"/>
      <c r="Z125" s="541"/>
      <c r="AA125" s="541"/>
      <c r="AB125" s="541"/>
      <c r="AC125" s="542"/>
      <c r="AD125" s="542"/>
      <c r="AE125" s="542"/>
      <c r="AF125" s="542"/>
      <c r="AG125" s="542"/>
      <c r="AH125" s="542"/>
      <c r="AI125" s="542"/>
      <c r="AJ125" s="542"/>
      <c r="AK125" s="542"/>
      <c r="AL125" s="542"/>
      <c r="AM125" s="542"/>
      <c r="AN125" s="542"/>
      <c r="AO125" s="542"/>
      <c r="AP125" s="542">
        <f>IF(Table_NFI[[#This Row],[Winter Clothes Adult]]+Table_NFI[[#This Row],[Winter Clothes Children]]+Table_NFI[[#This Row],[Winter Items Other]]+Table_NFI[[#This Row],[Winter Blanket]]&gt;0,1,0)</f>
        <v>1</v>
      </c>
      <c r="AQ125" s="542"/>
      <c r="AR125" s="542"/>
      <c r="AS125" s="542"/>
      <c r="AT125" s="205" t="str">
        <f>IFERROR(VLOOKUP(Table_NFI[[#This Row],[Location]],CL,2,0),"")</f>
        <v>MMR001CMP055</v>
      </c>
      <c r="AU125" s="183"/>
    </row>
    <row r="126" spans="2:120" ht="18.75" customHeight="1" x14ac:dyDescent="0.3">
      <c r="B126" s="552">
        <v>43096</v>
      </c>
      <c r="C126" s="552" t="str">
        <f>MONTH(Table_NFI[[#This Row],[Distribution Date]]) &amp; "/" &amp; YEAR(Table_NFI[[#This Row],[Distribution Date]])</f>
        <v>12/2017</v>
      </c>
      <c r="D126" s="198" t="s">
        <v>825</v>
      </c>
      <c r="E126" s="198"/>
      <c r="F126" s="198" t="s">
        <v>378</v>
      </c>
      <c r="G126" s="197" t="s">
        <v>5</v>
      </c>
      <c r="H126" s="198" t="s">
        <v>26</v>
      </c>
      <c r="I126" s="183"/>
      <c r="J126" s="541"/>
      <c r="K126" s="541"/>
      <c r="L126" s="541"/>
      <c r="M126" s="541"/>
      <c r="N126" s="541"/>
      <c r="O126" s="541"/>
      <c r="P126" s="541"/>
      <c r="Q126" s="541"/>
      <c r="R126" s="541"/>
      <c r="S126" s="541"/>
      <c r="T126" s="541"/>
      <c r="U126" s="541"/>
      <c r="V126" s="541"/>
      <c r="W126" s="541"/>
      <c r="X126" s="541">
        <v>14</v>
      </c>
      <c r="Y126" s="541"/>
      <c r="Z126" s="541"/>
      <c r="AA126" s="541"/>
      <c r="AB126" s="541"/>
      <c r="AC126" s="542"/>
      <c r="AD126" s="542"/>
      <c r="AE126" s="542"/>
      <c r="AF126" s="542"/>
      <c r="AG126" s="542"/>
      <c r="AH126" s="542"/>
      <c r="AI126" s="542"/>
      <c r="AJ126" s="542"/>
      <c r="AK126" s="542"/>
      <c r="AL126" s="542"/>
      <c r="AM126" s="542"/>
      <c r="AN126" s="542"/>
      <c r="AO126" s="542"/>
      <c r="AP126" s="542">
        <f>IF(Table_NFI[[#This Row],[Winter Clothes Adult]]+Table_NFI[[#This Row],[Winter Clothes Children]]+Table_NFI[[#This Row],[Winter Items Other]]+Table_NFI[[#This Row],[Winter Blanket]]&gt;0,1,0)</f>
        <v>1</v>
      </c>
      <c r="AQ126" s="542"/>
      <c r="AR126" s="542"/>
      <c r="AS126" s="542"/>
      <c r="AT126" s="205" t="str">
        <f>IFERROR(VLOOKUP(Table_NFI[[#This Row],[Location]],CL,2,0),"")</f>
        <v>MMR001CMP053</v>
      </c>
      <c r="AU126" s="183"/>
    </row>
    <row r="127" spans="2:120" ht="18.75" customHeight="1" x14ac:dyDescent="0.3">
      <c r="B127" s="552">
        <v>43096</v>
      </c>
      <c r="C127" s="552" t="str">
        <f>MONTH(Table_NFI[[#This Row],[Distribution Date]]) &amp; "/" &amp; YEAR(Table_NFI[[#This Row],[Distribution Date]])</f>
        <v>12/2017</v>
      </c>
      <c r="D127" s="198" t="s">
        <v>825</v>
      </c>
      <c r="E127" s="198"/>
      <c r="F127" s="198" t="s">
        <v>378</v>
      </c>
      <c r="G127" s="197" t="s">
        <v>5</v>
      </c>
      <c r="H127" s="198" t="s">
        <v>8</v>
      </c>
      <c r="I127" s="183"/>
      <c r="J127" s="541"/>
      <c r="K127" s="541"/>
      <c r="L127" s="541"/>
      <c r="M127" s="541"/>
      <c r="N127" s="541"/>
      <c r="O127" s="541"/>
      <c r="P127" s="541"/>
      <c r="Q127" s="541"/>
      <c r="R127" s="541"/>
      <c r="S127" s="541"/>
      <c r="T127" s="541"/>
      <c r="U127" s="541"/>
      <c r="V127" s="541"/>
      <c r="W127" s="541"/>
      <c r="X127" s="541">
        <v>13</v>
      </c>
      <c r="Y127" s="541"/>
      <c r="Z127" s="541"/>
      <c r="AA127" s="541"/>
      <c r="AB127" s="541"/>
      <c r="AC127" s="542"/>
      <c r="AD127" s="542"/>
      <c r="AE127" s="542"/>
      <c r="AF127" s="542"/>
      <c r="AG127" s="542"/>
      <c r="AH127" s="542"/>
      <c r="AI127" s="542"/>
      <c r="AJ127" s="542"/>
      <c r="AK127" s="542"/>
      <c r="AL127" s="542"/>
      <c r="AM127" s="542"/>
      <c r="AN127" s="542"/>
      <c r="AO127" s="542"/>
      <c r="AP127" s="542">
        <f>IF(Table_NFI[[#This Row],[Winter Clothes Adult]]+Table_NFI[[#This Row],[Winter Clothes Children]]+Table_NFI[[#This Row],[Winter Items Other]]+Table_NFI[[#This Row],[Winter Blanket]]&gt;0,1,0)</f>
        <v>1</v>
      </c>
      <c r="AQ127" s="542"/>
      <c r="AR127" s="542"/>
      <c r="AS127" s="542"/>
      <c r="AT127" s="205" t="str">
        <f>IFERROR(VLOOKUP(Table_NFI[[#This Row],[Location]],CL,2,0),"")</f>
        <v>MMR001CMP051</v>
      </c>
      <c r="AU127" s="183"/>
    </row>
    <row r="128" spans="2:120" ht="18.75" customHeight="1" x14ac:dyDescent="0.3">
      <c r="B128" s="552">
        <v>43096</v>
      </c>
      <c r="C128" s="552" t="str">
        <f>MONTH(Table_NFI[[#This Row],[Distribution Date]]) &amp; "/" &amp; YEAR(Table_NFI[[#This Row],[Distribution Date]])</f>
        <v>12/2017</v>
      </c>
      <c r="D128" s="198" t="s">
        <v>825</v>
      </c>
      <c r="E128" s="198"/>
      <c r="F128" s="198" t="s">
        <v>378</v>
      </c>
      <c r="G128" s="197" t="s">
        <v>5</v>
      </c>
      <c r="H128" s="198" t="s">
        <v>14</v>
      </c>
      <c r="I128" s="183"/>
      <c r="J128" s="541"/>
      <c r="K128" s="541"/>
      <c r="L128" s="541"/>
      <c r="M128" s="541"/>
      <c r="N128" s="541"/>
      <c r="O128" s="541"/>
      <c r="P128" s="541"/>
      <c r="Q128" s="541"/>
      <c r="R128" s="541"/>
      <c r="S128" s="541"/>
      <c r="T128" s="541"/>
      <c r="U128" s="541"/>
      <c r="V128" s="541"/>
      <c r="W128" s="541"/>
      <c r="X128" s="541">
        <v>39</v>
      </c>
      <c r="Y128" s="541"/>
      <c r="Z128" s="541"/>
      <c r="AA128" s="541"/>
      <c r="AB128" s="541"/>
      <c r="AC128" s="542"/>
      <c r="AD128" s="542"/>
      <c r="AE128" s="542"/>
      <c r="AF128" s="542"/>
      <c r="AG128" s="542"/>
      <c r="AH128" s="542"/>
      <c r="AI128" s="542"/>
      <c r="AJ128" s="542"/>
      <c r="AK128" s="542"/>
      <c r="AL128" s="542"/>
      <c r="AM128" s="542"/>
      <c r="AN128" s="542"/>
      <c r="AO128" s="542"/>
      <c r="AP128" s="542">
        <f>IF(Table_NFI[[#This Row],[Winter Clothes Adult]]+Table_NFI[[#This Row],[Winter Clothes Children]]+Table_NFI[[#This Row],[Winter Items Other]]+Table_NFI[[#This Row],[Winter Blanket]]&gt;0,1,0)</f>
        <v>1</v>
      </c>
      <c r="AQ128" s="542"/>
      <c r="AR128" s="542"/>
      <c r="AS128" s="542"/>
      <c r="AT128" s="205" t="str">
        <f>IFERROR(VLOOKUP(Table_NFI[[#This Row],[Location]],CL,2,0),"")</f>
        <v>MMR001CMP052</v>
      </c>
      <c r="AU128" s="183"/>
    </row>
    <row r="129" spans="2:47" ht="18.75" customHeight="1" x14ac:dyDescent="0.3">
      <c r="B129" s="552">
        <v>43096</v>
      </c>
      <c r="C129" s="552" t="str">
        <f>MONTH(Table_NFI[[#This Row],[Distribution Date]]) &amp; "/" &amp; YEAR(Table_NFI[[#This Row],[Distribution Date]])</f>
        <v>12/2017</v>
      </c>
      <c r="D129" s="198" t="s">
        <v>825</v>
      </c>
      <c r="E129" s="198"/>
      <c r="F129" s="198" t="s">
        <v>378</v>
      </c>
      <c r="G129" s="197" t="s">
        <v>5</v>
      </c>
      <c r="H129" s="198" t="s">
        <v>22</v>
      </c>
      <c r="I129" s="183"/>
      <c r="J129" s="541"/>
      <c r="K129" s="541"/>
      <c r="L129" s="541"/>
      <c r="M129" s="541"/>
      <c r="N129" s="541"/>
      <c r="O129" s="541"/>
      <c r="P129" s="541"/>
      <c r="Q129" s="541"/>
      <c r="R129" s="541"/>
      <c r="S129" s="541"/>
      <c r="T129" s="541"/>
      <c r="U129" s="541"/>
      <c r="V129" s="541"/>
      <c r="W129" s="541"/>
      <c r="X129" s="541">
        <v>508</v>
      </c>
      <c r="Y129" s="541"/>
      <c r="Z129" s="541"/>
      <c r="AA129" s="541"/>
      <c r="AB129" s="541"/>
      <c r="AC129" s="542"/>
      <c r="AD129" s="542"/>
      <c r="AE129" s="542"/>
      <c r="AF129" s="542"/>
      <c r="AG129" s="542"/>
      <c r="AH129" s="542"/>
      <c r="AI129" s="542"/>
      <c r="AJ129" s="542"/>
      <c r="AK129" s="542"/>
      <c r="AL129" s="542"/>
      <c r="AM129" s="542"/>
      <c r="AN129" s="542"/>
      <c r="AO129" s="542"/>
      <c r="AP129" s="542">
        <f>IF(Table_NFI[[#This Row],[Winter Clothes Adult]]+Table_NFI[[#This Row],[Winter Clothes Children]]+Table_NFI[[#This Row],[Winter Items Other]]+Table_NFI[[#This Row],[Winter Blanket]]&gt;0,1,0)</f>
        <v>1</v>
      </c>
      <c r="AQ129" s="542"/>
      <c r="AR129" s="542"/>
      <c r="AS129" s="542"/>
      <c r="AT129" s="205" t="str">
        <f>IFERROR(VLOOKUP(Table_NFI[[#This Row],[Location]],CL,2,0),"")</f>
        <v>MMR001CMP047</v>
      </c>
      <c r="AU129" s="183"/>
    </row>
    <row r="130" spans="2:47" ht="18.75" customHeight="1" x14ac:dyDescent="0.3">
      <c r="B130" s="552">
        <v>43096</v>
      </c>
      <c r="C130" s="552" t="str">
        <f>MONTH(Table_NFI[[#This Row],[Distribution Date]]) &amp; "/" &amp; YEAR(Table_NFI[[#This Row],[Distribution Date]])</f>
        <v>12/2017</v>
      </c>
      <c r="D130" s="198" t="s">
        <v>825</v>
      </c>
      <c r="E130" s="198"/>
      <c r="F130" s="198" t="s">
        <v>378</v>
      </c>
      <c r="G130" s="197" t="s">
        <v>185</v>
      </c>
      <c r="H130" s="198" t="s">
        <v>207</v>
      </c>
      <c r="I130" s="183"/>
      <c r="J130" s="541"/>
      <c r="K130" s="541"/>
      <c r="L130" s="541"/>
      <c r="M130" s="541"/>
      <c r="N130" s="541"/>
      <c r="O130" s="541"/>
      <c r="P130" s="541"/>
      <c r="Q130" s="541"/>
      <c r="R130" s="541"/>
      <c r="S130" s="541"/>
      <c r="T130" s="541"/>
      <c r="U130" s="541"/>
      <c r="V130" s="541"/>
      <c r="W130" s="541"/>
      <c r="X130" s="541">
        <v>5</v>
      </c>
      <c r="Y130" s="541"/>
      <c r="Z130" s="541"/>
      <c r="AA130" s="541"/>
      <c r="AB130" s="541"/>
      <c r="AC130" s="542"/>
      <c r="AD130" s="542"/>
      <c r="AE130" s="542"/>
      <c r="AF130" s="542"/>
      <c r="AG130" s="542"/>
      <c r="AH130" s="542"/>
      <c r="AI130" s="542"/>
      <c r="AJ130" s="542"/>
      <c r="AK130" s="542"/>
      <c r="AL130" s="542"/>
      <c r="AM130" s="542"/>
      <c r="AN130" s="542"/>
      <c r="AO130" s="542"/>
      <c r="AP130" s="542">
        <f>IF(Table_NFI[[#This Row],[Winter Clothes Adult]]+Table_NFI[[#This Row],[Winter Clothes Children]]+Table_NFI[[#This Row],[Winter Items Other]]+Table_NFI[[#This Row],[Winter Blanket]]&gt;0,1,0)</f>
        <v>1</v>
      </c>
      <c r="AQ130" s="542"/>
      <c r="AR130" s="542"/>
      <c r="AS130" s="542"/>
      <c r="AT130" s="205" t="str">
        <f>IFERROR(VLOOKUP(Table_NFI[[#This Row],[Location]],CL,2,0),"")</f>
        <v>MMR001CMP058</v>
      </c>
      <c r="AU130" s="183"/>
    </row>
    <row r="131" spans="2:47" ht="18.75" customHeight="1" x14ac:dyDescent="0.3">
      <c r="B131" s="552">
        <v>43096</v>
      </c>
      <c r="C131" s="552" t="str">
        <f>MONTH(Table_NFI[[#This Row],[Distribution Date]]) &amp; "/" &amp; YEAR(Table_NFI[[#This Row],[Distribution Date]])</f>
        <v>12/2017</v>
      </c>
      <c r="D131" s="198" t="s">
        <v>825</v>
      </c>
      <c r="E131" s="198"/>
      <c r="F131" s="198" t="s">
        <v>378</v>
      </c>
      <c r="G131" s="197" t="s">
        <v>185</v>
      </c>
      <c r="H131" s="198" t="s">
        <v>202</v>
      </c>
      <c r="I131" s="183"/>
      <c r="J131" s="541"/>
      <c r="K131" s="541"/>
      <c r="L131" s="541"/>
      <c r="M131" s="541"/>
      <c r="N131" s="541"/>
      <c r="O131" s="541"/>
      <c r="P131" s="541"/>
      <c r="Q131" s="541"/>
      <c r="R131" s="541"/>
      <c r="S131" s="541"/>
      <c r="T131" s="541"/>
      <c r="U131" s="541"/>
      <c r="V131" s="541"/>
      <c r="W131" s="541"/>
      <c r="X131" s="541">
        <v>223</v>
      </c>
      <c r="Y131" s="541"/>
      <c r="Z131" s="541"/>
      <c r="AA131" s="541"/>
      <c r="AB131" s="541"/>
      <c r="AC131" s="542"/>
      <c r="AD131" s="542"/>
      <c r="AE131" s="542"/>
      <c r="AF131" s="542"/>
      <c r="AG131" s="542"/>
      <c r="AH131" s="542"/>
      <c r="AI131" s="542"/>
      <c r="AJ131" s="542"/>
      <c r="AK131" s="542"/>
      <c r="AL131" s="542"/>
      <c r="AM131" s="542"/>
      <c r="AN131" s="542"/>
      <c r="AO131" s="542"/>
      <c r="AP131" s="542">
        <f>IF(Table_NFI[[#This Row],[Winter Clothes Adult]]+Table_NFI[[#This Row],[Winter Clothes Children]]+Table_NFI[[#This Row],[Winter Items Other]]+Table_NFI[[#This Row],[Winter Blanket]]&gt;0,1,0)</f>
        <v>1</v>
      </c>
      <c r="AQ131" s="542"/>
      <c r="AR131" s="542"/>
      <c r="AS131" s="542"/>
      <c r="AT131" s="205" t="str">
        <f>IFERROR(VLOOKUP(Table_NFI[[#This Row],[Location]],CL,2,0),"")</f>
        <v>MMR001CMP062</v>
      </c>
      <c r="AU131" s="183"/>
    </row>
    <row r="132" spans="2:47" ht="18.75" customHeight="1" x14ac:dyDescent="0.3">
      <c r="B132" s="552">
        <v>43096</v>
      </c>
      <c r="C132" s="552" t="str">
        <f>MONTH(Table_NFI[[#This Row],[Distribution Date]]) &amp; "/" &amp; YEAR(Table_NFI[[#This Row],[Distribution Date]])</f>
        <v>12/2017</v>
      </c>
      <c r="D132" s="198" t="s">
        <v>825</v>
      </c>
      <c r="E132" s="198"/>
      <c r="F132" s="198" t="s">
        <v>378</v>
      </c>
      <c r="G132" s="197" t="s">
        <v>185</v>
      </c>
      <c r="H132" s="198" t="s">
        <v>209</v>
      </c>
      <c r="I132" s="183"/>
      <c r="J132" s="541"/>
      <c r="K132" s="541"/>
      <c r="L132" s="541"/>
      <c r="M132" s="541"/>
      <c r="N132" s="541"/>
      <c r="O132" s="541"/>
      <c r="P132" s="541"/>
      <c r="Q132" s="541"/>
      <c r="R132" s="541"/>
      <c r="S132" s="541"/>
      <c r="T132" s="541"/>
      <c r="U132" s="541"/>
      <c r="V132" s="541"/>
      <c r="W132" s="541"/>
      <c r="X132" s="541">
        <v>383</v>
      </c>
      <c r="Y132" s="541"/>
      <c r="Z132" s="541"/>
      <c r="AA132" s="541"/>
      <c r="AB132" s="541"/>
      <c r="AC132" s="542"/>
      <c r="AD132" s="542"/>
      <c r="AE132" s="542"/>
      <c r="AF132" s="542"/>
      <c r="AG132" s="542"/>
      <c r="AH132" s="542"/>
      <c r="AI132" s="542"/>
      <c r="AJ132" s="542"/>
      <c r="AK132" s="542"/>
      <c r="AL132" s="542"/>
      <c r="AM132" s="542"/>
      <c r="AN132" s="542"/>
      <c r="AO132" s="542"/>
      <c r="AP132" s="542">
        <f>IF(Table_NFI[[#This Row],[Winter Clothes Adult]]+Table_NFI[[#This Row],[Winter Clothes Children]]+Table_NFI[[#This Row],[Winter Items Other]]+Table_NFI[[#This Row],[Winter Blanket]]&gt;0,1,0)</f>
        <v>1</v>
      </c>
      <c r="AQ132" s="542"/>
      <c r="AR132" s="542"/>
      <c r="AS132" s="542"/>
      <c r="AT132" s="205" t="str">
        <f>IFERROR(VLOOKUP(Table_NFI[[#This Row],[Location]],CL,2,0),"")</f>
        <v>MMR001CMP056</v>
      </c>
      <c r="AU132" s="183"/>
    </row>
    <row r="133" spans="2:47" ht="18.75" customHeight="1" x14ac:dyDescent="0.3">
      <c r="B133" s="552">
        <v>43096</v>
      </c>
      <c r="C133" s="552" t="str">
        <f>MONTH(Table_NFI[[#This Row],[Distribution Date]]) &amp; "/" &amp; YEAR(Table_NFI[[#This Row],[Distribution Date]])</f>
        <v>12/2017</v>
      </c>
      <c r="D133" s="198" t="s">
        <v>825</v>
      </c>
      <c r="E133" s="198"/>
      <c r="F133" s="198" t="s">
        <v>378</v>
      </c>
      <c r="G133" s="197" t="s">
        <v>237</v>
      </c>
      <c r="H133" s="198" t="s">
        <v>252</v>
      </c>
      <c r="I133" s="183"/>
      <c r="J133" s="541"/>
      <c r="K133" s="541"/>
      <c r="L133" s="541"/>
      <c r="M133" s="541"/>
      <c r="N133" s="541"/>
      <c r="O133" s="541"/>
      <c r="P133" s="541"/>
      <c r="Q133" s="541"/>
      <c r="R133" s="541"/>
      <c r="S133" s="541"/>
      <c r="T133" s="541"/>
      <c r="U133" s="541"/>
      <c r="V133" s="541"/>
      <c r="W133" s="541"/>
      <c r="X133" s="541">
        <v>202</v>
      </c>
      <c r="Y133" s="541"/>
      <c r="Z133" s="541"/>
      <c r="AA133" s="541"/>
      <c r="AB133" s="541"/>
      <c r="AC133" s="542"/>
      <c r="AD133" s="542"/>
      <c r="AE133" s="542"/>
      <c r="AF133" s="542"/>
      <c r="AG133" s="542"/>
      <c r="AH133" s="542"/>
      <c r="AI133" s="542"/>
      <c r="AJ133" s="542"/>
      <c r="AK133" s="542"/>
      <c r="AL133" s="542"/>
      <c r="AM133" s="542"/>
      <c r="AN133" s="542"/>
      <c r="AO133" s="542"/>
      <c r="AP133" s="542">
        <f>IF(Table_NFI[[#This Row],[Winter Clothes Adult]]+Table_NFI[[#This Row],[Winter Clothes Children]]+Table_NFI[[#This Row],[Winter Items Other]]+Table_NFI[[#This Row],[Winter Blanket]]&gt;0,1,0)</f>
        <v>1</v>
      </c>
      <c r="AQ133" s="542"/>
      <c r="AR133" s="542"/>
      <c r="AS133" s="542"/>
      <c r="AT133" s="205" t="str">
        <f>IFERROR(VLOOKUP(Table_NFI[[#This Row],[Location]],CL,2,0),"")</f>
        <v>MMR001CMP018</v>
      </c>
      <c r="AU133" s="183"/>
    </row>
    <row r="134" spans="2:47" ht="18.75" customHeight="1" x14ac:dyDescent="0.3">
      <c r="B134" s="552">
        <v>43096</v>
      </c>
      <c r="C134" s="552" t="str">
        <f>MONTH(Table_NFI[[#This Row],[Distribution Date]]) &amp; "/" &amp; YEAR(Table_NFI[[#This Row],[Distribution Date]])</f>
        <v>12/2017</v>
      </c>
      <c r="D134" s="198" t="s">
        <v>825</v>
      </c>
      <c r="E134" s="198"/>
      <c r="F134" s="198" t="s">
        <v>378</v>
      </c>
      <c r="G134" s="197" t="s">
        <v>237</v>
      </c>
      <c r="H134" s="198" t="s">
        <v>254</v>
      </c>
      <c r="I134" s="183"/>
      <c r="J134" s="541"/>
      <c r="K134" s="541"/>
      <c r="L134" s="541"/>
      <c r="M134" s="541"/>
      <c r="N134" s="541"/>
      <c r="O134" s="541"/>
      <c r="P134" s="541"/>
      <c r="Q134" s="541"/>
      <c r="R134" s="541"/>
      <c r="S134" s="541"/>
      <c r="T134" s="541"/>
      <c r="U134" s="541"/>
      <c r="V134" s="541"/>
      <c r="W134" s="541"/>
      <c r="X134" s="541">
        <v>86</v>
      </c>
      <c r="Y134" s="541"/>
      <c r="Z134" s="541"/>
      <c r="AA134" s="541"/>
      <c r="AB134" s="541"/>
      <c r="AC134" s="542"/>
      <c r="AD134" s="542"/>
      <c r="AE134" s="542"/>
      <c r="AF134" s="542"/>
      <c r="AG134" s="542"/>
      <c r="AH134" s="542"/>
      <c r="AI134" s="542"/>
      <c r="AJ134" s="542"/>
      <c r="AK134" s="542"/>
      <c r="AL134" s="542"/>
      <c r="AM134" s="542"/>
      <c r="AN134" s="542"/>
      <c r="AO134" s="542"/>
      <c r="AP134" s="542">
        <f>IF(Table_NFI[[#This Row],[Winter Clothes Adult]]+Table_NFI[[#This Row],[Winter Clothes Children]]+Table_NFI[[#This Row],[Winter Items Other]]+Table_NFI[[#This Row],[Winter Blanket]]&gt;0,1,0)</f>
        <v>1</v>
      </c>
      <c r="AQ134" s="542"/>
      <c r="AR134" s="542"/>
      <c r="AS134" s="542"/>
      <c r="AT134" s="205" t="str">
        <f>IFERROR(VLOOKUP(Table_NFI[[#This Row],[Location]],CL,2,0),"")</f>
        <v>MMR001CMP019</v>
      </c>
      <c r="AU134" s="183"/>
    </row>
    <row r="135" spans="2:47" ht="18.75" customHeight="1" x14ac:dyDescent="0.3">
      <c r="B135" s="552">
        <v>43096</v>
      </c>
      <c r="C135" s="552" t="str">
        <f>MONTH(Table_NFI[[#This Row],[Distribution Date]]) &amp; "/" &amp; YEAR(Table_NFI[[#This Row],[Distribution Date]])</f>
        <v>12/2017</v>
      </c>
      <c r="D135" s="198" t="s">
        <v>825</v>
      </c>
      <c r="E135" s="198"/>
      <c r="F135" s="198" t="s">
        <v>378</v>
      </c>
      <c r="G135" s="197" t="s">
        <v>237</v>
      </c>
      <c r="H135" s="198" t="s">
        <v>256</v>
      </c>
      <c r="I135" s="183"/>
      <c r="J135" s="541"/>
      <c r="K135" s="541"/>
      <c r="L135" s="541"/>
      <c r="M135" s="541"/>
      <c r="N135" s="541"/>
      <c r="O135" s="541"/>
      <c r="P135" s="541"/>
      <c r="Q135" s="541"/>
      <c r="R135" s="541"/>
      <c r="S135" s="541"/>
      <c r="T135" s="541"/>
      <c r="U135" s="541"/>
      <c r="V135" s="541"/>
      <c r="W135" s="541"/>
      <c r="X135" s="541">
        <v>17</v>
      </c>
      <c r="Y135" s="541"/>
      <c r="Z135" s="541"/>
      <c r="AA135" s="541"/>
      <c r="AB135" s="541"/>
      <c r="AC135" s="542"/>
      <c r="AD135" s="542"/>
      <c r="AE135" s="542"/>
      <c r="AF135" s="542"/>
      <c r="AG135" s="542"/>
      <c r="AH135" s="542"/>
      <c r="AI135" s="542"/>
      <c r="AJ135" s="542"/>
      <c r="AK135" s="542"/>
      <c r="AL135" s="542"/>
      <c r="AM135" s="542"/>
      <c r="AN135" s="542"/>
      <c r="AO135" s="542"/>
      <c r="AP135" s="542">
        <f>IF(Table_NFI[[#This Row],[Winter Clothes Adult]]+Table_NFI[[#This Row],[Winter Clothes Children]]+Table_NFI[[#This Row],[Winter Items Other]]+Table_NFI[[#This Row],[Winter Blanket]]&gt;0,1,0)</f>
        <v>1</v>
      </c>
      <c r="AQ135" s="542"/>
      <c r="AR135" s="542"/>
      <c r="AS135" s="542"/>
      <c r="AT135" s="205" t="str">
        <f>IFERROR(VLOOKUP(Table_NFI[[#This Row],[Location]],CL,2,0),"")</f>
        <v>MMR001CMP013</v>
      </c>
      <c r="AU135" s="183"/>
    </row>
    <row r="136" spans="2:47" ht="18.75" customHeight="1" x14ac:dyDescent="0.3">
      <c r="B136" s="552">
        <v>43096</v>
      </c>
      <c r="C136" s="552" t="str">
        <f>MONTH(Table_NFI[[#This Row],[Distribution Date]]) &amp; "/" &amp; YEAR(Table_NFI[[#This Row],[Distribution Date]])</f>
        <v>12/2017</v>
      </c>
      <c r="D136" s="198" t="s">
        <v>825</v>
      </c>
      <c r="E136" s="198"/>
      <c r="F136" s="198" t="s">
        <v>378</v>
      </c>
      <c r="G136" s="197" t="s">
        <v>237</v>
      </c>
      <c r="H136" s="198" t="s">
        <v>240</v>
      </c>
      <c r="I136" s="183"/>
      <c r="J136" s="541"/>
      <c r="K136" s="541"/>
      <c r="L136" s="541"/>
      <c r="M136" s="541"/>
      <c r="N136" s="541"/>
      <c r="O136" s="541"/>
      <c r="P136" s="541"/>
      <c r="Q136" s="541"/>
      <c r="R136" s="541"/>
      <c r="S136" s="541"/>
      <c r="T136" s="541"/>
      <c r="U136" s="541"/>
      <c r="V136" s="541"/>
      <c r="W136" s="541"/>
      <c r="X136" s="541">
        <v>30</v>
      </c>
      <c r="Y136" s="541"/>
      <c r="Z136" s="541"/>
      <c r="AA136" s="541"/>
      <c r="AB136" s="541"/>
      <c r="AC136" s="542"/>
      <c r="AD136" s="542"/>
      <c r="AE136" s="542"/>
      <c r="AF136" s="542"/>
      <c r="AG136" s="542"/>
      <c r="AH136" s="542"/>
      <c r="AI136" s="542"/>
      <c r="AJ136" s="542"/>
      <c r="AK136" s="542"/>
      <c r="AL136" s="542"/>
      <c r="AM136" s="542"/>
      <c r="AN136" s="542"/>
      <c r="AO136" s="542"/>
      <c r="AP136" s="542">
        <f>IF(Table_NFI[[#This Row],[Winter Clothes Adult]]+Table_NFI[[#This Row],[Winter Clothes Children]]+Table_NFI[[#This Row],[Winter Items Other]]+Table_NFI[[#This Row],[Winter Blanket]]&gt;0,1,0)</f>
        <v>1</v>
      </c>
      <c r="AQ136" s="542"/>
      <c r="AR136" s="542"/>
      <c r="AS136" s="542"/>
      <c r="AT136" s="205" t="str">
        <f>IFERROR(VLOOKUP(Table_NFI[[#This Row],[Location]],CL,2,0),"")</f>
        <v>MMR001CMP015</v>
      </c>
      <c r="AU136" s="183"/>
    </row>
    <row r="137" spans="2:47" ht="18.75" customHeight="1" x14ac:dyDescent="0.3">
      <c r="B137" s="552">
        <v>43096</v>
      </c>
      <c r="C137" s="552" t="str">
        <f>MONTH(Table_NFI[[#This Row],[Distribution Date]]) &amp; "/" &amp; YEAR(Table_NFI[[#This Row],[Distribution Date]])</f>
        <v>12/2017</v>
      </c>
      <c r="D137" s="198" t="s">
        <v>825</v>
      </c>
      <c r="E137" s="198"/>
      <c r="F137" s="198" t="s">
        <v>378</v>
      </c>
      <c r="G137" s="197" t="s">
        <v>237</v>
      </c>
      <c r="H137" s="198" t="s">
        <v>284</v>
      </c>
      <c r="I137" s="183"/>
      <c r="J137" s="541"/>
      <c r="K137" s="541"/>
      <c r="L137" s="541"/>
      <c r="M137" s="541"/>
      <c r="N137" s="541"/>
      <c r="O137" s="541"/>
      <c r="P137" s="541"/>
      <c r="Q137" s="541"/>
      <c r="R137" s="541"/>
      <c r="S137" s="541"/>
      <c r="T137" s="541"/>
      <c r="U137" s="541"/>
      <c r="V137" s="541"/>
      <c r="W137" s="541"/>
      <c r="X137" s="541">
        <v>86</v>
      </c>
      <c r="Y137" s="541"/>
      <c r="Z137" s="541"/>
      <c r="AA137" s="541"/>
      <c r="AB137" s="541"/>
      <c r="AC137" s="542"/>
      <c r="AD137" s="542"/>
      <c r="AE137" s="542"/>
      <c r="AF137" s="542"/>
      <c r="AG137" s="542"/>
      <c r="AH137" s="542"/>
      <c r="AI137" s="542"/>
      <c r="AJ137" s="542"/>
      <c r="AK137" s="542"/>
      <c r="AL137" s="542"/>
      <c r="AM137" s="542"/>
      <c r="AN137" s="542"/>
      <c r="AO137" s="542"/>
      <c r="AP137" s="542">
        <f>IF(Table_NFI[[#This Row],[Winter Clothes Adult]]+Table_NFI[[#This Row],[Winter Clothes Children]]+Table_NFI[[#This Row],[Winter Items Other]]+Table_NFI[[#This Row],[Winter Blanket]]&gt;0,1,0)</f>
        <v>1</v>
      </c>
      <c r="AQ137" s="542"/>
      <c r="AR137" s="542"/>
      <c r="AS137" s="542"/>
      <c r="AT137" s="205" t="str">
        <f>IFERROR(VLOOKUP(Table_NFI[[#This Row],[Location]],CL,2,0),"")</f>
        <v>MMR001CMP014</v>
      </c>
      <c r="AU137" s="183"/>
    </row>
    <row r="138" spans="2:47" ht="18.75" customHeight="1" x14ac:dyDescent="0.3">
      <c r="B138" s="552">
        <v>43096</v>
      </c>
      <c r="C138" s="552" t="str">
        <f>MONTH(Table_NFI[[#This Row],[Distribution Date]]) &amp; "/" &amp; YEAR(Table_NFI[[#This Row],[Distribution Date]])</f>
        <v>12/2017</v>
      </c>
      <c r="D138" s="198" t="s">
        <v>825</v>
      </c>
      <c r="E138" s="198"/>
      <c r="F138" s="198" t="s">
        <v>378</v>
      </c>
      <c r="G138" s="197" t="s">
        <v>237</v>
      </c>
      <c r="H138" s="198" t="s">
        <v>258</v>
      </c>
      <c r="I138" s="183"/>
      <c r="J138" s="541"/>
      <c r="K138" s="541"/>
      <c r="L138" s="541"/>
      <c r="M138" s="541"/>
      <c r="N138" s="541"/>
      <c r="O138" s="541"/>
      <c r="P138" s="541"/>
      <c r="Q138" s="541"/>
      <c r="R138" s="541"/>
      <c r="S138" s="541"/>
      <c r="T138" s="541"/>
      <c r="U138" s="541"/>
      <c r="V138" s="541"/>
      <c r="W138" s="541"/>
      <c r="X138" s="541">
        <v>61</v>
      </c>
      <c r="Y138" s="541"/>
      <c r="Z138" s="541"/>
      <c r="AA138" s="541"/>
      <c r="AB138" s="541"/>
      <c r="AC138" s="542"/>
      <c r="AD138" s="542"/>
      <c r="AE138" s="542"/>
      <c r="AF138" s="542"/>
      <c r="AG138" s="542"/>
      <c r="AH138" s="542"/>
      <c r="AI138" s="542"/>
      <c r="AJ138" s="542"/>
      <c r="AK138" s="542"/>
      <c r="AL138" s="542"/>
      <c r="AM138" s="542"/>
      <c r="AN138" s="542"/>
      <c r="AO138" s="542"/>
      <c r="AP138" s="542">
        <f>IF(Table_NFI[[#This Row],[Winter Clothes Adult]]+Table_NFI[[#This Row],[Winter Clothes Children]]+Table_NFI[[#This Row],[Winter Items Other]]+Table_NFI[[#This Row],[Winter Blanket]]&gt;0,1,0)</f>
        <v>1</v>
      </c>
      <c r="AQ138" s="542"/>
      <c r="AR138" s="542"/>
      <c r="AS138" s="542"/>
      <c r="AT138" s="205" t="str">
        <f>IFERROR(VLOOKUP(Table_NFI[[#This Row],[Location]],CL,2,0),"")</f>
        <v>MMR001CMP016</v>
      </c>
      <c r="AU138" s="183"/>
    </row>
    <row r="139" spans="2:47" ht="18.75" customHeight="1" x14ac:dyDescent="0.3">
      <c r="B139" s="552">
        <v>43096</v>
      </c>
      <c r="C139" s="552" t="str">
        <f>MONTH(Table_NFI[[#This Row],[Distribution Date]]) &amp; "/" &amp; YEAR(Table_NFI[[#This Row],[Distribution Date]])</f>
        <v>12/2017</v>
      </c>
      <c r="D139" s="198" t="s">
        <v>825</v>
      </c>
      <c r="E139" s="198"/>
      <c r="F139" s="198" t="s">
        <v>378</v>
      </c>
      <c r="G139" s="197" t="s">
        <v>237</v>
      </c>
      <c r="H139" s="198" t="s">
        <v>260</v>
      </c>
      <c r="I139" s="183"/>
      <c r="J139" s="541"/>
      <c r="K139" s="541"/>
      <c r="L139" s="541"/>
      <c r="M139" s="541"/>
      <c r="N139" s="541"/>
      <c r="O139" s="541"/>
      <c r="P139" s="541"/>
      <c r="Q139" s="541"/>
      <c r="R139" s="541"/>
      <c r="S139" s="541"/>
      <c r="T139" s="541"/>
      <c r="U139" s="541"/>
      <c r="V139" s="541"/>
      <c r="W139" s="541"/>
      <c r="X139" s="541">
        <v>103</v>
      </c>
      <c r="Y139" s="541"/>
      <c r="Z139" s="541"/>
      <c r="AA139" s="541"/>
      <c r="AB139" s="541"/>
      <c r="AC139" s="542"/>
      <c r="AD139" s="542"/>
      <c r="AE139" s="542"/>
      <c r="AF139" s="542"/>
      <c r="AG139" s="542"/>
      <c r="AH139" s="542"/>
      <c r="AI139" s="542"/>
      <c r="AJ139" s="542"/>
      <c r="AK139" s="542"/>
      <c r="AL139" s="542"/>
      <c r="AM139" s="542"/>
      <c r="AN139" s="542"/>
      <c r="AO139" s="542"/>
      <c r="AP139" s="542">
        <f>IF(Table_NFI[[#This Row],[Winter Clothes Adult]]+Table_NFI[[#This Row],[Winter Clothes Children]]+Table_NFI[[#This Row],[Winter Items Other]]+Table_NFI[[#This Row],[Winter Blanket]]&gt;0,1,0)</f>
        <v>1</v>
      </c>
      <c r="AQ139" s="542"/>
      <c r="AR139" s="542"/>
      <c r="AS139" s="542"/>
      <c r="AT139" s="205" t="str">
        <f>IFERROR(VLOOKUP(Table_NFI[[#This Row],[Location]],CL,2,0),"")</f>
        <v>MMR001CMP008</v>
      </c>
      <c r="AU139" s="183"/>
    </row>
    <row r="140" spans="2:47" ht="18.75" customHeight="1" x14ac:dyDescent="0.3">
      <c r="B140" s="552">
        <v>43096</v>
      </c>
      <c r="C140" s="552" t="str">
        <f>MONTH(Table_NFI[[#This Row],[Distribution Date]]) &amp; "/" &amp; YEAR(Table_NFI[[#This Row],[Distribution Date]])</f>
        <v>12/2017</v>
      </c>
      <c r="D140" s="198" t="s">
        <v>825</v>
      </c>
      <c r="E140" s="198"/>
      <c r="F140" s="198" t="s">
        <v>378</v>
      </c>
      <c r="G140" s="197" t="s">
        <v>237</v>
      </c>
      <c r="H140" s="198" t="s">
        <v>262</v>
      </c>
      <c r="I140" s="183"/>
      <c r="J140" s="541"/>
      <c r="K140" s="541"/>
      <c r="L140" s="541"/>
      <c r="M140" s="541"/>
      <c r="N140" s="541"/>
      <c r="O140" s="541"/>
      <c r="P140" s="541"/>
      <c r="Q140" s="541"/>
      <c r="R140" s="541"/>
      <c r="S140" s="541"/>
      <c r="T140" s="541"/>
      <c r="U140" s="541"/>
      <c r="V140" s="541"/>
      <c r="W140" s="541"/>
      <c r="X140" s="541">
        <v>24</v>
      </c>
      <c r="Y140" s="541"/>
      <c r="Z140" s="541"/>
      <c r="AA140" s="541"/>
      <c r="AB140" s="541"/>
      <c r="AC140" s="542"/>
      <c r="AD140" s="542"/>
      <c r="AE140" s="542"/>
      <c r="AF140" s="542"/>
      <c r="AG140" s="542"/>
      <c r="AH140" s="542"/>
      <c r="AI140" s="542"/>
      <c r="AJ140" s="542"/>
      <c r="AK140" s="542"/>
      <c r="AL140" s="542"/>
      <c r="AM140" s="542"/>
      <c r="AN140" s="542"/>
      <c r="AO140" s="542"/>
      <c r="AP140" s="542">
        <f>IF(Table_NFI[[#This Row],[Winter Clothes Adult]]+Table_NFI[[#This Row],[Winter Clothes Children]]+Table_NFI[[#This Row],[Winter Items Other]]+Table_NFI[[#This Row],[Winter Blanket]]&gt;0,1,0)</f>
        <v>1</v>
      </c>
      <c r="AQ140" s="542"/>
      <c r="AR140" s="542"/>
      <c r="AS140" s="542"/>
      <c r="AT140" s="205" t="str">
        <f>IFERROR(VLOOKUP(Table_NFI[[#This Row],[Location]],CL,2,0),"")</f>
        <v>MMR001CMP020</v>
      </c>
      <c r="AU140" s="183"/>
    </row>
    <row r="141" spans="2:47" ht="18.75" customHeight="1" x14ac:dyDescent="0.3">
      <c r="B141" s="552">
        <v>43096</v>
      </c>
      <c r="C141" s="552" t="str">
        <f>MONTH(Table_NFI[[#This Row],[Distribution Date]]) &amp; "/" &amp; YEAR(Table_NFI[[#This Row],[Distribution Date]])</f>
        <v>12/2017</v>
      </c>
      <c r="D141" s="198" t="s">
        <v>825</v>
      </c>
      <c r="E141" s="198"/>
      <c r="F141" s="198" t="s">
        <v>378</v>
      </c>
      <c r="G141" s="197" t="s">
        <v>237</v>
      </c>
      <c r="H141" s="198" t="s">
        <v>264</v>
      </c>
      <c r="I141" s="183"/>
      <c r="J141" s="541"/>
      <c r="K141" s="541"/>
      <c r="L141" s="541"/>
      <c r="M141" s="541"/>
      <c r="N141" s="541"/>
      <c r="O141" s="541"/>
      <c r="P141" s="541"/>
      <c r="Q141" s="541"/>
      <c r="R141" s="541"/>
      <c r="S141" s="541"/>
      <c r="T141" s="541"/>
      <c r="U141" s="541"/>
      <c r="V141" s="541"/>
      <c r="W141" s="541"/>
      <c r="X141" s="541">
        <v>14</v>
      </c>
      <c r="Y141" s="541"/>
      <c r="Z141" s="541"/>
      <c r="AA141" s="541"/>
      <c r="AB141" s="541"/>
      <c r="AC141" s="542"/>
      <c r="AD141" s="542"/>
      <c r="AE141" s="542"/>
      <c r="AF141" s="542"/>
      <c r="AG141" s="542"/>
      <c r="AH141" s="542"/>
      <c r="AI141" s="542"/>
      <c r="AJ141" s="542"/>
      <c r="AK141" s="542"/>
      <c r="AL141" s="542"/>
      <c r="AM141" s="542"/>
      <c r="AN141" s="542"/>
      <c r="AO141" s="542"/>
      <c r="AP141" s="542">
        <f>IF(Table_NFI[[#This Row],[Winter Clothes Adult]]+Table_NFI[[#This Row],[Winter Clothes Children]]+Table_NFI[[#This Row],[Winter Items Other]]+Table_NFI[[#This Row],[Winter Blanket]]&gt;0,1,0)</f>
        <v>1</v>
      </c>
      <c r="AQ141" s="542"/>
      <c r="AR141" s="542"/>
      <c r="AS141" s="542"/>
      <c r="AT141" s="205" t="str">
        <f>IFERROR(VLOOKUP(Table_NFI[[#This Row],[Location]],CL,2,0),"")</f>
        <v>MMR001CMP021</v>
      </c>
      <c r="AU141" s="183"/>
    </row>
    <row r="142" spans="2:47" ht="18.75" customHeight="1" x14ac:dyDescent="0.3">
      <c r="B142" s="552">
        <v>43096</v>
      </c>
      <c r="C142" s="552" t="str">
        <f>MONTH(Table_NFI[[#This Row],[Distribution Date]]) &amp; "/" &amp; YEAR(Table_NFI[[#This Row],[Distribution Date]])</f>
        <v>12/2017</v>
      </c>
      <c r="D142" s="198" t="s">
        <v>825</v>
      </c>
      <c r="E142" s="198"/>
      <c r="F142" s="198" t="s">
        <v>378</v>
      </c>
      <c r="G142" s="197" t="s">
        <v>237</v>
      </c>
      <c r="H142" s="198" t="s">
        <v>270</v>
      </c>
      <c r="I142" s="183"/>
      <c r="J142" s="541"/>
      <c r="K142" s="541"/>
      <c r="L142" s="541"/>
      <c r="M142" s="541"/>
      <c r="N142" s="541"/>
      <c r="O142" s="541"/>
      <c r="P142" s="541"/>
      <c r="Q142" s="541"/>
      <c r="R142" s="541"/>
      <c r="S142" s="541"/>
      <c r="T142" s="541"/>
      <c r="U142" s="541"/>
      <c r="V142" s="541"/>
      <c r="W142" s="541"/>
      <c r="X142" s="541">
        <v>60</v>
      </c>
      <c r="Y142" s="541"/>
      <c r="Z142" s="541"/>
      <c r="AA142" s="541"/>
      <c r="AB142" s="541"/>
      <c r="AC142" s="542"/>
      <c r="AD142" s="542"/>
      <c r="AE142" s="542"/>
      <c r="AF142" s="542"/>
      <c r="AG142" s="542"/>
      <c r="AH142" s="542"/>
      <c r="AI142" s="542"/>
      <c r="AJ142" s="542"/>
      <c r="AK142" s="542"/>
      <c r="AL142" s="542"/>
      <c r="AM142" s="542"/>
      <c r="AN142" s="542"/>
      <c r="AO142" s="542"/>
      <c r="AP142" s="542">
        <f>IF(Table_NFI[[#This Row],[Winter Clothes Adult]]+Table_NFI[[#This Row],[Winter Clothes Children]]+Table_NFI[[#This Row],[Winter Items Other]]+Table_NFI[[#This Row],[Winter Blanket]]&gt;0,1,0)</f>
        <v>1</v>
      </c>
      <c r="AQ142" s="542"/>
      <c r="AR142" s="542"/>
      <c r="AS142" s="542"/>
      <c r="AT142" s="205" t="str">
        <f>IFERROR(VLOOKUP(Table_NFI[[#This Row],[Location]],CL,2,0),"")</f>
        <v>MMR001CMP024</v>
      </c>
      <c r="AU142" s="183"/>
    </row>
    <row r="143" spans="2:47" ht="18.75" customHeight="1" x14ac:dyDescent="0.3">
      <c r="B143" s="552">
        <v>43096</v>
      </c>
      <c r="C143" s="552" t="str">
        <f>MONTH(Table_NFI[[#This Row],[Distribution Date]]) &amp; "/" &amp; YEAR(Table_NFI[[#This Row],[Distribution Date]])</f>
        <v>12/2017</v>
      </c>
      <c r="D143" s="198" t="s">
        <v>825</v>
      </c>
      <c r="E143" s="198"/>
      <c r="F143" s="198" t="s">
        <v>378</v>
      </c>
      <c r="G143" s="197" t="s">
        <v>237</v>
      </c>
      <c r="H143" s="198" t="s">
        <v>268</v>
      </c>
      <c r="I143" s="183"/>
      <c r="J143" s="541"/>
      <c r="K143" s="541"/>
      <c r="L143" s="541"/>
      <c r="M143" s="541"/>
      <c r="N143" s="541"/>
      <c r="O143" s="541"/>
      <c r="P143" s="541"/>
      <c r="Q143" s="541"/>
      <c r="R143" s="541"/>
      <c r="S143" s="541"/>
      <c r="T143" s="541"/>
      <c r="U143" s="541"/>
      <c r="V143" s="541"/>
      <c r="W143" s="541"/>
      <c r="X143" s="541">
        <v>66</v>
      </c>
      <c r="Y143" s="541"/>
      <c r="Z143" s="541"/>
      <c r="AA143" s="541"/>
      <c r="AB143" s="541"/>
      <c r="AC143" s="542"/>
      <c r="AD143" s="542"/>
      <c r="AE143" s="542"/>
      <c r="AF143" s="542"/>
      <c r="AG143" s="542"/>
      <c r="AH143" s="542"/>
      <c r="AI143" s="542"/>
      <c r="AJ143" s="542"/>
      <c r="AK143" s="542"/>
      <c r="AL143" s="542"/>
      <c r="AM143" s="542"/>
      <c r="AN143" s="542"/>
      <c r="AO143" s="542"/>
      <c r="AP143" s="542">
        <f>IF(Table_NFI[[#This Row],[Winter Clothes Adult]]+Table_NFI[[#This Row],[Winter Clothes Children]]+Table_NFI[[#This Row],[Winter Items Other]]+Table_NFI[[#This Row],[Winter Blanket]]&gt;0,1,0)</f>
        <v>1</v>
      </c>
      <c r="AQ143" s="542"/>
      <c r="AR143" s="542"/>
      <c r="AS143" s="542"/>
      <c r="AT143" s="205" t="str">
        <f>IFERROR(VLOOKUP(Table_NFI[[#This Row],[Location]],CL,2,0),"")</f>
        <v>MMR001CMP002</v>
      </c>
      <c r="AU143" s="183"/>
    </row>
    <row r="144" spans="2:47" ht="18.75" customHeight="1" x14ac:dyDescent="0.3">
      <c r="B144" s="552">
        <v>43096</v>
      </c>
      <c r="C144" s="552" t="str">
        <f>MONTH(Table_NFI[[#This Row],[Distribution Date]]) &amp; "/" &amp; YEAR(Table_NFI[[#This Row],[Distribution Date]])</f>
        <v>12/2017</v>
      </c>
      <c r="D144" s="198" t="s">
        <v>825</v>
      </c>
      <c r="E144" s="198"/>
      <c r="F144" s="198" t="s">
        <v>378</v>
      </c>
      <c r="G144" s="197" t="s">
        <v>237</v>
      </c>
      <c r="H144" s="198" t="s">
        <v>272</v>
      </c>
      <c r="I144" s="183"/>
      <c r="J144" s="541"/>
      <c r="K144" s="541"/>
      <c r="L144" s="541"/>
      <c r="M144" s="541"/>
      <c r="N144" s="541"/>
      <c r="O144" s="541"/>
      <c r="P144" s="541"/>
      <c r="Q144" s="541"/>
      <c r="R144" s="541"/>
      <c r="S144" s="541"/>
      <c r="T144" s="541"/>
      <c r="U144" s="541"/>
      <c r="V144" s="541"/>
      <c r="W144" s="541"/>
      <c r="X144" s="541">
        <v>46</v>
      </c>
      <c r="Y144" s="541"/>
      <c r="Z144" s="541"/>
      <c r="AA144" s="541"/>
      <c r="AB144" s="541"/>
      <c r="AC144" s="542"/>
      <c r="AD144" s="542"/>
      <c r="AE144" s="542"/>
      <c r="AF144" s="542"/>
      <c r="AG144" s="542"/>
      <c r="AH144" s="542"/>
      <c r="AI144" s="542"/>
      <c r="AJ144" s="542"/>
      <c r="AK144" s="542"/>
      <c r="AL144" s="542"/>
      <c r="AM144" s="542"/>
      <c r="AN144" s="542"/>
      <c r="AO144" s="542"/>
      <c r="AP144" s="542">
        <f>IF(Table_NFI[[#This Row],[Winter Clothes Adult]]+Table_NFI[[#This Row],[Winter Clothes Children]]+Table_NFI[[#This Row],[Winter Items Other]]+Table_NFI[[#This Row],[Winter Blanket]]&gt;0,1,0)</f>
        <v>1</v>
      </c>
      <c r="AQ144" s="542"/>
      <c r="AR144" s="542"/>
      <c r="AS144" s="542"/>
      <c r="AT144" s="205" t="str">
        <f>IFERROR(VLOOKUP(Table_NFI[[#This Row],[Location]],CL,2,0),"")</f>
        <v>MMR001CMP162</v>
      </c>
      <c r="AU144" s="183"/>
    </row>
    <row r="145" spans="2:47" ht="18.75" customHeight="1" x14ac:dyDescent="0.3">
      <c r="B145" s="552">
        <v>43096</v>
      </c>
      <c r="C145" s="552" t="str">
        <f>MONTH(Table_NFI[[#This Row],[Distribution Date]]) &amp; "/" &amp; YEAR(Table_NFI[[#This Row],[Distribution Date]])</f>
        <v>12/2017</v>
      </c>
      <c r="D145" s="198" t="s">
        <v>825</v>
      </c>
      <c r="E145" s="198"/>
      <c r="F145" s="198" t="s">
        <v>378</v>
      </c>
      <c r="G145" s="197" t="s">
        <v>237</v>
      </c>
      <c r="H145" s="198" t="s">
        <v>276</v>
      </c>
      <c r="I145" s="183"/>
      <c r="J145" s="541"/>
      <c r="K145" s="541"/>
      <c r="L145" s="541"/>
      <c r="M145" s="541"/>
      <c r="N145" s="541"/>
      <c r="O145" s="541"/>
      <c r="P145" s="541"/>
      <c r="Q145" s="541"/>
      <c r="R145" s="541"/>
      <c r="S145" s="541"/>
      <c r="T145" s="541"/>
      <c r="U145" s="541"/>
      <c r="V145" s="541"/>
      <c r="W145" s="541"/>
      <c r="X145" s="541">
        <v>119</v>
      </c>
      <c r="Y145" s="541"/>
      <c r="Z145" s="541"/>
      <c r="AA145" s="541"/>
      <c r="AB145" s="541"/>
      <c r="AC145" s="542"/>
      <c r="AD145" s="542"/>
      <c r="AE145" s="542"/>
      <c r="AF145" s="542"/>
      <c r="AG145" s="542"/>
      <c r="AH145" s="542"/>
      <c r="AI145" s="542"/>
      <c r="AJ145" s="542"/>
      <c r="AK145" s="542"/>
      <c r="AL145" s="542"/>
      <c r="AM145" s="542"/>
      <c r="AN145" s="542"/>
      <c r="AO145" s="542"/>
      <c r="AP145" s="542">
        <f>IF(Table_NFI[[#This Row],[Winter Clothes Adult]]+Table_NFI[[#This Row],[Winter Clothes Children]]+Table_NFI[[#This Row],[Winter Items Other]]+Table_NFI[[#This Row],[Winter Blanket]]&gt;0,1,0)</f>
        <v>1</v>
      </c>
      <c r="AQ145" s="542"/>
      <c r="AR145" s="542"/>
      <c r="AS145" s="542"/>
      <c r="AT145" s="205" t="str">
        <f>IFERROR(VLOOKUP(Table_NFI[[#This Row],[Location]],CL,2,0),"")</f>
        <v>MMR001CMP006</v>
      </c>
      <c r="AU145" s="183"/>
    </row>
    <row r="146" spans="2:47" ht="18.75" customHeight="1" x14ac:dyDescent="0.3">
      <c r="B146" s="552">
        <v>43096</v>
      </c>
      <c r="C146" s="552" t="str">
        <f>MONTH(Table_NFI[[#This Row],[Distribution Date]]) &amp; "/" &amp; YEAR(Table_NFI[[#This Row],[Distribution Date]])</f>
        <v>12/2017</v>
      </c>
      <c r="D146" s="198" t="s">
        <v>825</v>
      </c>
      <c r="E146" s="198"/>
      <c r="F146" s="198" t="s">
        <v>378</v>
      </c>
      <c r="G146" s="197" t="s">
        <v>237</v>
      </c>
      <c r="H146" s="198" t="s">
        <v>278</v>
      </c>
      <c r="I146" s="183"/>
      <c r="J146" s="541"/>
      <c r="K146" s="541"/>
      <c r="L146" s="541"/>
      <c r="M146" s="541"/>
      <c r="N146" s="541"/>
      <c r="O146" s="541"/>
      <c r="P146" s="541"/>
      <c r="Q146" s="541"/>
      <c r="R146" s="541"/>
      <c r="S146" s="541"/>
      <c r="T146" s="541"/>
      <c r="U146" s="541"/>
      <c r="V146" s="541"/>
      <c r="W146" s="541"/>
      <c r="X146" s="541">
        <v>23</v>
      </c>
      <c r="Y146" s="541"/>
      <c r="Z146" s="541"/>
      <c r="AA146" s="541"/>
      <c r="AB146" s="541"/>
      <c r="AC146" s="542"/>
      <c r="AD146" s="542"/>
      <c r="AE146" s="542"/>
      <c r="AF146" s="542"/>
      <c r="AG146" s="542"/>
      <c r="AH146" s="542"/>
      <c r="AI146" s="542"/>
      <c r="AJ146" s="542"/>
      <c r="AK146" s="542"/>
      <c r="AL146" s="542"/>
      <c r="AM146" s="542"/>
      <c r="AN146" s="542"/>
      <c r="AO146" s="542"/>
      <c r="AP146" s="542">
        <f>IF(Table_NFI[[#This Row],[Winter Clothes Adult]]+Table_NFI[[#This Row],[Winter Clothes Children]]+Table_NFI[[#This Row],[Winter Items Other]]+Table_NFI[[#This Row],[Winter Blanket]]&gt;0,1,0)</f>
        <v>1</v>
      </c>
      <c r="AQ146" s="542"/>
      <c r="AR146" s="542"/>
      <c r="AS146" s="542"/>
      <c r="AT146" s="205" t="str">
        <f>IFERROR(VLOOKUP(Table_NFI[[#This Row],[Location]],CL,2,0),"")</f>
        <v>MMR001CMP007</v>
      </c>
      <c r="AU146" s="183"/>
    </row>
    <row r="147" spans="2:47" ht="18.75" customHeight="1" x14ac:dyDescent="0.3">
      <c r="B147" s="552">
        <v>43096</v>
      </c>
      <c r="C147" s="552" t="str">
        <f>MONTH(Table_NFI[[#This Row],[Distribution Date]]) &amp; "/" &amp; YEAR(Table_NFI[[#This Row],[Distribution Date]])</f>
        <v>12/2017</v>
      </c>
      <c r="D147" s="198" t="s">
        <v>825</v>
      </c>
      <c r="E147" s="198"/>
      <c r="F147" s="198" t="s">
        <v>378</v>
      </c>
      <c r="G147" s="197" t="s">
        <v>237</v>
      </c>
      <c r="H147" s="198" t="s">
        <v>280</v>
      </c>
      <c r="I147" s="183"/>
      <c r="J147" s="541"/>
      <c r="K147" s="541"/>
      <c r="L147" s="541"/>
      <c r="M147" s="541"/>
      <c r="N147" s="541"/>
      <c r="O147" s="541"/>
      <c r="P147" s="541"/>
      <c r="Q147" s="541"/>
      <c r="R147" s="541"/>
      <c r="S147" s="541"/>
      <c r="T147" s="541"/>
      <c r="U147" s="541"/>
      <c r="V147" s="541"/>
      <c r="W147" s="541"/>
      <c r="X147" s="541">
        <v>91</v>
      </c>
      <c r="Y147" s="541"/>
      <c r="Z147" s="541"/>
      <c r="AA147" s="541"/>
      <c r="AB147" s="541"/>
      <c r="AC147" s="542"/>
      <c r="AD147" s="542"/>
      <c r="AE147" s="542"/>
      <c r="AF147" s="542"/>
      <c r="AG147" s="542"/>
      <c r="AH147" s="542"/>
      <c r="AI147" s="542"/>
      <c r="AJ147" s="542"/>
      <c r="AK147" s="542"/>
      <c r="AL147" s="542"/>
      <c r="AM147" s="542"/>
      <c r="AN147" s="542"/>
      <c r="AO147" s="542"/>
      <c r="AP147" s="542">
        <f>IF(Table_NFI[[#This Row],[Winter Clothes Adult]]+Table_NFI[[#This Row],[Winter Clothes Children]]+Table_NFI[[#This Row],[Winter Items Other]]+Table_NFI[[#This Row],[Winter Blanket]]&gt;0,1,0)</f>
        <v>1</v>
      </c>
      <c r="AQ147" s="542"/>
      <c r="AR147" s="542"/>
      <c r="AS147" s="542"/>
      <c r="AT147" s="205" t="str">
        <f>IFERROR(VLOOKUP(Table_NFI[[#This Row],[Location]],CL,2,0),"")</f>
        <v>MMR001CMP009</v>
      </c>
      <c r="AU147" s="183"/>
    </row>
    <row r="148" spans="2:47" ht="18.75" customHeight="1" x14ac:dyDescent="0.3">
      <c r="B148" s="552">
        <v>43096</v>
      </c>
      <c r="C148" s="552" t="str">
        <f>MONTH(Table_NFI[[#This Row],[Distribution Date]]) &amp; "/" &amp; YEAR(Table_NFI[[#This Row],[Distribution Date]])</f>
        <v>12/2017</v>
      </c>
      <c r="D148" s="198" t="s">
        <v>825</v>
      </c>
      <c r="E148" s="198"/>
      <c r="F148" s="198" t="s">
        <v>378</v>
      </c>
      <c r="G148" s="197" t="s">
        <v>237</v>
      </c>
      <c r="H148" s="198" t="s">
        <v>238</v>
      </c>
      <c r="I148" s="183"/>
      <c r="J148" s="541"/>
      <c r="K148" s="541"/>
      <c r="L148" s="541"/>
      <c r="M148" s="541"/>
      <c r="N148" s="541"/>
      <c r="O148" s="541"/>
      <c r="P148" s="541"/>
      <c r="Q148" s="541"/>
      <c r="R148" s="541"/>
      <c r="S148" s="541"/>
      <c r="T148" s="541"/>
      <c r="U148" s="541"/>
      <c r="V148" s="541"/>
      <c r="W148" s="541"/>
      <c r="X148" s="541">
        <v>69</v>
      </c>
      <c r="Y148" s="541"/>
      <c r="Z148" s="541"/>
      <c r="AA148" s="541"/>
      <c r="AB148" s="541"/>
      <c r="AC148" s="542"/>
      <c r="AD148" s="542"/>
      <c r="AE148" s="542"/>
      <c r="AF148" s="542"/>
      <c r="AG148" s="542"/>
      <c r="AH148" s="542"/>
      <c r="AI148" s="542"/>
      <c r="AJ148" s="542"/>
      <c r="AK148" s="542"/>
      <c r="AL148" s="542"/>
      <c r="AM148" s="542"/>
      <c r="AN148" s="542"/>
      <c r="AO148" s="542"/>
      <c r="AP148" s="542">
        <f>IF(Table_NFI[[#This Row],[Winter Clothes Adult]]+Table_NFI[[#This Row],[Winter Clothes Children]]+Table_NFI[[#This Row],[Winter Items Other]]+Table_NFI[[#This Row],[Winter Blanket]]&gt;0,1,0)</f>
        <v>1</v>
      </c>
      <c r="AQ148" s="542"/>
      <c r="AR148" s="542"/>
      <c r="AS148" s="542"/>
      <c r="AT148" s="205" t="str">
        <f>IFERROR(VLOOKUP(Table_NFI[[#This Row],[Location]],CL,2,0),"")</f>
        <v>MMR001CMP001</v>
      </c>
      <c r="AU148" s="183"/>
    </row>
    <row r="149" spans="2:47" ht="18.75" customHeight="1" x14ac:dyDescent="0.3">
      <c r="B149" s="552">
        <v>43096</v>
      </c>
      <c r="C149" s="552" t="str">
        <f>MONTH(Table_NFI[[#This Row],[Distribution Date]]) &amp; "/" &amp; YEAR(Table_NFI[[#This Row],[Distribution Date]])</f>
        <v>12/2017</v>
      </c>
      <c r="D149" s="198" t="s">
        <v>825</v>
      </c>
      <c r="E149" s="198"/>
      <c r="F149" s="198" t="s">
        <v>378</v>
      </c>
      <c r="G149" s="197" t="s">
        <v>237</v>
      </c>
      <c r="H149" s="198" t="s">
        <v>248</v>
      </c>
      <c r="I149" s="183"/>
      <c r="J149" s="541"/>
      <c r="K149" s="541"/>
      <c r="L149" s="541"/>
      <c r="M149" s="541"/>
      <c r="N149" s="541"/>
      <c r="O149" s="541"/>
      <c r="P149" s="541"/>
      <c r="Q149" s="541"/>
      <c r="R149" s="541"/>
      <c r="S149" s="541"/>
      <c r="T149" s="541"/>
      <c r="U149" s="541"/>
      <c r="V149" s="541"/>
      <c r="W149" s="541"/>
      <c r="X149" s="541">
        <v>7</v>
      </c>
      <c r="Y149" s="541"/>
      <c r="Z149" s="541"/>
      <c r="AA149" s="541"/>
      <c r="AB149" s="541"/>
      <c r="AC149" s="542"/>
      <c r="AD149" s="542"/>
      <c r="AE149" s="542"/>
      <c r="AF149" s="542"/>
      <c r="AG149" s="542"/>
      <c r="AH149" s="542"/>
      <c r="AI149" s="542"/>
      <c r="AJ149" s="542"/>
      <c r="AK149" s="542"/>
      <c r="AL149" s="542"/>
      <c r="AM149" s="542"/>
      <c r="AN149" s="542"/>
      <c r="AO149" s="542"/>
      <c r="AP149" s="542">
        <f>IF(Table_NFI[[#This Row],[Winter Clothes Adult]]+Table_NFI[[#This Row],[Winter Clothes Children]]+Table_NFI[[#This Row],[Winter Items Other]]+Table_NFI[[#This Row],[Winter Blanket]]&gt;0,1,0)</f>
        <v>1</v>
      </c>
      <c r="AQ149" s="542"/>
      <c r="AR149" s="542"/>
      <c r="AS149" s="542"/>
      <c r="AT149" s="205" t="str">
        <f>IFERROR(VLOOKUP(Table_NFI[[#This Row],[Location]],CL,2,0),"")</f>
        <v>MMR001CMP004</v>
      </c>
      <c r="AU149" s="183"/>
    </row>
    <row r="150" spans="2:47" ht="18.75" customHeight="1" x14ac:dyDescent="0.3">
      <c r="B150" s="552">
        <v>43096</v>
      </c>
      <c r="C150" s="552" t="str">
        <f>MONTH(Table_NFI[[#This Row],[Distribution Date]]) &amp; "/" &amp; YEAR(Table_NFI[[#This Row],[Distribution Date]])</f>
        <v>12/2017</v>
      </c>
      <c r="D150" s="198" t="s">
        <v>825</v>
      </c>
      <c r="E150" s="198"/>
      <c r="F150" s="198" t="s">
        <v>378</v>
      </c>
      <c r="G150" s="197" t="s">
        <v>237</v>
      </c>
      <c r="H150" s="198" t="s">
        <v>250</v>
      </c>
      <c r="I150" s="183"/>
      <c r="J150" s="541"/>
      <c r="K150" s="541"/>
      <c r="L150" s="541"/>
      <c r="M150" s="541"/>
      <c r="N150" s="541"/>
      <c r="O150" s="541"/>
      <c r="P150" s="541"/>
      <c r="Q150" s="541"/>
      <c r="R150" s="541"/>
      <c r="S150" s="541"/>
      <c r="T150" s="541"/>
      <c r="U150" s="541"/>
      <c r="V150" s="541"/>
      <c r="W150" s="541"/>
      <c r="X150" s="541">
        <v>30</v>
      </c>
      <c r="Y150" s="541"/>
      <c r="Z150" s="541"/>
      <c r="AA150" s="541"/>
      <c r="AB150" s="541"/>
      <c r="AC150" s="542"/>
      <c r="AD150" s="542"/>
      <c r="AE150" s="542"/>
      <c r="AF150" s="542"/>
      <c r="AG150" s="542"/>
      <c r="AH150" s="542"/>
      <c r="AI150" s="542"/>
      <c r="AJ150" s="542"/>
      <c r="AK150" s="542"/>
      <c r="AL150" s="542"/>
      <c r="AM150" s="542"/>
      <c r="AN150" s="542"/>
      <c r="AO150" s="542"/>
      <c r="AP150" s="542">
        <f>IF(Table_NFI[[#This Row],[Winter Clothes Adult]]+Table_NFI[[#This Row],[Winter Clothes Children]]+Table_NFI[[#This Row],[Winter Items Other]]+Table_NFI[[#This Row],[Winter Blanket]]&gt;0,1,0)</f>
        <v>1</v>
      </c>
      <c r="AQ150" s="542"/>
      <c r="AR150" s="542"/>
      <c r="AS150" s="542"/>
      <c r="AT150" s="205" t="str">
        <f>IFERROR(VLOOKUP(Table_NFI[[#This Row],[Location]],CL,2,0),"")</f>
        <v>MMR001CMP003</v>
      </c>
      <c r="AU150" s="183"/>
    </row>
    <row r="151" spans="2:47" ht="18.75" customHeight="1" x14ac:dyDescent="0.3">
      <c r="B151" s="552">
        <v>43096</v>
      </c>
      <c r="C151" s="552" t="str">
        <f>MONTH(Table_NFI[[#This Row],[Distribution Date]]) &amp; "/" &amp; YEAR(Table_NFI[[#This Row],[Distribution Date]])</f>
        <v>12/2017</v>
      </c>
      <c r="D151" s="198" t="s">
        <v>825</v>
      </c>
      <c r="E151" s="198"/>
      <c r="F151" s="198" t="s">
        <v>378</v>
      </c>
      <c r="G151" s="197" t="s">
        <v>237</v>
      </c>
      <c r="H151" s="198" t="s">
        <v>274</v>
      </c>
      <c r="I151" s="183"/>
      <c r="J151" s="541"/>
      <c r="K151" s="541"/>
      <c r="L151" s="541"/>
      <c r="M151" s="541"/>
      <c r="N151" s="541"/>
      <c r="O151" s="541"/>
      <c r="P151" s="541"/>
      <c r="Q151" s="541"/>
      <c r="R151" s="541"/>
      <c r="S151" s="541"/>
      <c r="T151" s="541"/>
      <c r="U151" s="541"/>
      <c r="V151" s="541"/>
      <c r="W151" s="541"/>
      <c r="X151" s="541">
        <v>46</v>
      </c>
      <c r="Y151" s="541"/>
      <c r="Z151" s="541"/>
      <c r="AA151" s="541"/>
      <c r="AB151" s="541"/>
      <c r="AC151" s="542"/>
      <c r="AD151" s="542"/>
      <c r="AE151" s="542"/>
      <c r="AF151" s="542"/>
      <c r="AG151" s="542"/>
      <c r="AH151" s="542"/>
      <c r="AI151" s="542"/>
      <c r="AJ151" s="542"/>
      <c r="AK151" s="542"/>
      <c r="AL151" s="542"/>
      <c r="AM151" s="542"/>
      <c r="AN151" s="542"/>
      <c r="AO151" s="542"/>
      <c r="AP151" s="542">
        <f>IF(Table_NFI[[#This Row],[Winter Clothes Adult]]+Table_NFI[[#This Row],[Winter Clothes Children]]+Table_NFI[[#This Row],[Winter Items Other]]+Table_NFI[[#This Row],[Winter Blanket]]&gt;0,1,0)</f>
        <v>1</v>
      </c>
      <c r="AQ151" s="542"/>
      <c r="AR151" s="542"/>
      <c r="AS151" s="542"/>
      <c r="AT151" s="205" t="str">
        <f>IFERROR(VLOOKUP(Table_NFI[[#This Row],[Location]],CL,2,0),"")</f>
        <v>MMR001CMP005</v>
      </c>
      <c r="AU151" s="183"/>
    </row>
    <row r="152" spans="2:47" ht="18.75" customHeight="1" x14ac:dyDescent="0.3">
      <c r="B152" s="552">
        <v>43096</v>
      </c>
      <c r="C152" s="552" t="str">
        <f>MONTH(Table_NFI[[#This Row],[Distribution Date]]) &amp; "/" &amp; YEAR(Table_NFI[[#This Row],[Distribution Date]])</f>
        <v>12/2017</v>
      </c>
      <c r="D152" s="198" t="s">
        <v>825</v>
      </c>
      <c r="E152" s="198"/>
      <c r="F152" s="198" t="s">
        <v>378</v>
      </c>
      <c r="G152" s="197" t="s">
        <v>237</v>
      </c>
      <c r="H152" s="198" t="s">
        <v>1031</v>
      </c>
      <c r="I152" s="183"/>
      <c r="J152" s="541"/>
      <c r="K152" s="541"/>
      <c r="L152" s="541"/>
      <c r="M152" s="541"/>
      <c r="N152" s="541"/>
      <c r="O152" s="541"/>
      <c r="P152" s="541"/>
      <c r="Q152" s="541"/>
      <c r="R152" s="541"/>
      <c r="S152" s="541"/>
      <c r="T152" s="541"/>
      <c r="U152" s="541"/>
      <c r="V152" s="541"/>
      <c r="W152" s="541"/>
      <c r="X152" s="541">
        <v>54</v>
      </c>
      <c r="Y152" s="541"/>
      <c r="Z152" s="541"/>
      <c r="AA152" s="541"/>
      <c r="AB152" s="541"/>
      <c r="AC152" s="542"/>
      <c r="AD152" s="542"/>
      <c r="AE152" s="542"/>
      <c r="AF152" s="542"/>
      <c r="AG152" s="542"/>
      <c r="AH152" s="542"/>
      <c r="AI152" s="542"/>
      <c r="AJ152" s="542"/>
      <c r="AK152" s="542"/>
      <c r="AL152" s="542"/>
      <c r="AM152" s="542"/>
      <c r="AN152" s="542"/>
      <c r="AO152" s="542"/>
      <c r="AP152" s="542">
        <f>IF(Table_NFI[[#This Row],[Winter Clothes Adult]]+Table_NFI[[#This Row],[Winter Clothes Children]]+Table_NFI[[#This Row],[Winter Items Other]]+Table_NFI[[#This Row],[Winter Blanket]]&gt;0,1,0)</f>
        <v>1</v>
      </c>
      <c r="AQ152" s="542"/>
      <c r="AR152" s="542"/>
      <c r="AS152" s="542"/>
      <c r="AT152" s="205" t="str">
        <f>IFERROR(VLOOKUP(Table_NFI[[#This Row],[Location]],CL,2,0),"")</f>
        <v>MMR001CMP023</v>
      </c>
      <c r="AU152" s="183"/>
    </row>
    <row r="153" spans="2:47" ht="18.75" customHeight="1" x14ac:dyDescent="0.3">
      <c r="B153" s="552">
        <v>43096</v>
      </c>
      <c r="C153" s="552" t="str">
        <f>MONTH(Table_NFI[[#This Row],[Distribution Date]]) &amp; "/" &amp; YEAR(Table_NFI[[#This Row],[Distribution Date]])</f>
        <v>12/2017</v>
      </c>
      <c r="D153" s="198" t="s">
        <v>825</v>
      </c>
      <c r="E153" s="198"/>
      <c r="F153" s="198" t="s">
        <v>378</v>
      </c>
      <c r="G153" s="197" t="s">
        <v>237</v>
      </c>
      <c r="H153" s="198" t="s">
        <v>1512</v>
      </c>
      <c r="I153" s="183"/>
      <c r="J153" s="541"/>
      <c r="K153" s="541"/>
      <c r="L153" s="541"/>
      <c r="M153" s="541"/>
      <c r="N153" s="541"/>
      <c r="O153" s="541"/>
      <c r="P153" s="541"/>
      <c r="Q153" s="541"/>
      <c r="R153" s="541"/>
      <c r="S153" s="541"/>
      <c r="T153" s="541"/>
      <c r="U153" s="541"/>
      <c r="V153" s="541"/>
      <c r="W153" s="541"/>
      <c r="X153" s="541">
        <v>20</v>
      </c>
      <c r="Y153" s="541"/>
      <c r="Z153" s="541"/>
      <c r="AA153" s="541"/>
      <c r="AB153" s="541"/>
      <c r="AC153" s="542"/>
      <c r="AD153" s="542"/>
      <c r="AE153" s="542"/>
      <c r="AF153" s="542"/>
      <c r="AG153" s="542"/>
      <c r="AH153" s="542"/>
      <c r="AI153" s="542"/>
      <c r="AJ153" s="542"/>
      <c r="AK153" s="542"/>
      <c r="AL153" s="542"/>
      <c r="AM153" s="542"/>
      <c r="AN153" s="542"/>
      <c r="AO153" s="542"/>
      <c r="AP153" s="542">
        <f>IF(Table_NFI[[#This Row],[Winter Clothes Adult]]+Table_NFI[[#This Row],[Winter Clothes Children]]+Table_NFI[[#This Row],[Winter Items Other]]+Table_NFI[[#This Row],[Winter Blanket]]&gt;0,1,0)</f>
        <v>1</v>
      </c>
      <c r="AQ153" s="542"/>
      <c r="AR153" s="542"/>
      <c r="AS153" s="542"/>
      <c r="AT153" s="205" t="str">
        <f>IFERROR(VLOOKUP(Table_NFI[[#This Row],[Location]],CL,2,0),"")</f>
        <v>MMR001CMP010</v>
      </c>
      <c r="AU153" s="183"/>
    </row>
    <row r="154" spans="2:47" ht="18.75" customHeight="1" x14ac:dyDescent="0.3">
      <c r="B154" s="552">
        <v>43096</v>
      </c>
      <c r="C154" s="552" t="str">
        <f>MONTH(Table_NFI[[#This Row],[Distribution Date]]) &amp; "/" &amp; YEAR(Table_NFI[[#This Row],[Distribution Date]])</f>
        <v>12/2017</v>
      </c>
      <c r="D154" s="198" t="s">
        <v>825</v>
      </c>
      <c r="E154" s="198"/>
      <c r="F154" s="198" t="s">
        <v>378</v>
      </c>
      <c r="G154" s="197" t="s">
        <v>180</v>
      </c>
      <c r="H154" s="198" t="s">
        <v>286</v>
      </c>
      <c r="I154" s="183"/>
      <c r="J154" s="541"/>
      <c r="K154" s="541"/>
      <c r="L154" s="541"/>
      <c r="M154" s="541"/>
      <c r="N154" s="541"/>
      <c r="O154" s="541"/>
      <c r="P154" s="541"/>
      <c r="Q154" s="541"/>
      <c r="R154" s="541"/>
      <c r="S154" s="541"/>
      <c r="T154" s="541"/>
      <c r="U154" s="541"/>
      <c r="V154" s="541"/>
      <c r="W154" s="541"/>
      <c r="X154" s="541">
        <v>23</v>
      </c>
      <c r="Y154" s="541"/>
      <c r="Z154" s="541"/>
      <c r="AA154" s="541"/>
      <c r="AB154" s="541"/>
      <c r="AC154" s="542"/>
      <c r="AD154" s="542"/>
      <c r="AE154" s="542"/>
      <c r="AF154" s="542"/>
      <c r="AG154" s="542"/>
      <c r="AH154" s="542"/>
      <c r="AI154" s="542"/>
      <c r="AJ154" s="542"/>
      <c r="AK154" s="542"/>
      <c r="AL154" s="542"/>
      <c r="AM154" s="542"/>
      <c r="AN154" s="542"/>
      <c r="AO154" s="542"/>
      <c r="AP154" s="542">
        <f>IF(Table_NFI[[#This Row],[Winter Clothes Adult]]+Table_NFI[[#This Row],[Winter Clothes Children]]+Table_NFI[[#This Row],[Winter Items Other]]+Table_NFI[[#This Row],[Winter Blanket]]&gt;0,1,0)</f>
        <v>1</v>
      </c>
      <c r="AQ154" s="542"/>
      <c r="AR154" s="542"/>
      <c r="AS154" s="542"/>
      <c r="AT154" s="205" t="str">
        <f>IFERROR(VLOOKUP(Table_NFI[[#This Row],[Location]],CL,2,0),"")</f>
        <v>MMR001CMP152</v>
      </c>
      <c r="AU154" s="183"/>
    </row>
    <row r="155" spans="2:47" ht="18.75" customHeight="1" x14ac:dyDescent="0.3">
      <c r="B155" s="552">
        <v>43096</v>
      </c>
      <c r="C155" s="552" t="str">
        <f>MONTH(Table_NFI[[#This Row],[Distribution Date]]) &amp; "/" &amp; YEAR(Table_NFI[[#This Row],[Distribution Date]])</f>
        <v>12/2017</v>
      </c>
      <c r="D155" s="198" t="s">
        <v>825</v>
      </c>
      <c r="E155" s="198"/>
      <c r="F155" s="198" t="s">
        <v>378</v>
      </c>
      <c r="G155" s="197" t="s">
        <v>180</v>
      </c>
      <c r="H155" s="198" t="s">
        <v>181</v>
      </c>
      <c r="I155" s="183"/>
      <c r="J155" s="541"/>
      <c r="K155" s="541"/>
      <c r="L155" s="541"/>
      <c r="M155" s="541"/>
      <c r="N155" s="541"/>
      <c r="O155" s="541"/>
      <c r="P155" s="541"/>
      <c r="Q155" s="541"/>
      <c r="R155" s="541"/>
      <c r="S155" s="541"/>
      <c r="T155" s="541"/>
      <c r="U155" s="541"/>
      <c r="V155" s="541"/>
      <c r="W155" s="541"/>
      <c r="X155" s="541">
        <v>11</v>
      </c>
      <c r="Y155" s="541"/>
      <c r="Z155" s="541"/>
      <c r="AA155" s="541"/>
      <c r="AB155" s="541"/>
      <c r="AC155" s="542"/>
      <c r="AD155" s="542"/>
      <c r="AE155" s="542"/>
      <c r="AF155" s="542"/>
      <c r="AG155" s="542"/>
      <c r="AH155" s="542"/>
      <c r="AI155" s="542"/>
      <c r="AJ155" s="542"/>
      <c r="AK155" s="542"/>
      <c r="AL155" s="542"/>
      <c r="AM155" s="542"/>
      <c r="AN155" s="542"/>
      <c r="AO155" s="542"/>
      <c r="AP155" s="542">
        <f>IF(Table_NFI[[#This Row],[Winter Clothes Adult]]+Table_NFI[[#This Row],[Winter Clothes Children]]+Table_NFI[[#This Row],[Winter Items Other]]+Table_NFI[[#This Row],[Winter Blanket]]&gt;0,1,0)</f>
        <v>1</v>
      </c>
      <c r="AQ155" s="542"/>
      <c r="AR155" s="542"/>
      <c r="AS155" s="542"/>
      <c r="AT155" s="205" t="str">
        <f>IFERROR(VLOOKUP(Table_NFI[[#This Row],[Location]],CL,2,0),"")</f>
        <v>MMR001CMP080</v>
      </c>
      <c r="AU155" s="183"/>
    </row>
    <row r="156" spans="2:47" ht="18.75" customHeight="1" x14ac:dyDescent="0.3">
      <c r="B156" s="552">
        <v>43096</v>
      </c>
      <c r="C156" s="552" t="str">
        <f>MONTH(Table_NFI[[#This Row],[Distribution Date]]) &amp; "/" &amp; YEAR(Table_NFI[[#This Row],[Distribution Date]])</f>
        <v>12/2017</v>
      </c>
      <c r="D156" s="198" t="s">
        <v>825</v>
      </c>
      <c r="E156" s="198"/>
      <c r="F156" s="198" t="s">
        <v>378</v>
      </c>
      <c r="G156" s="197" t="s">
        <v>180</v>
      </c>
      <c r="H156" s="198" t="s">
        <v>1562</v>
      </c>
      <c r="I156" s="183"/>
      <c r="J156" s="541"/>
      <c r="K156" s="541"/>
      <c r="L156" s="541"/>
      <c r="M156" s="541"/>
      <c r="N156" s="541"/>
      <c r="O156" s="541"/>
      <c r="P156" s="541"/>
      <c r="Q156" s="541"/>
      <c r="R156" s="541"/>
      <c r="S156" s="541"/>
      <c r="T156" s="541"/>
      <c r="U156" s="541"/>
      <c r="V156" s="541"/>
      <c r="W156" s="541"/>
      <c r="X156" s="541">
        <v>54</v>
      </c>
      <c r="Y156" s="541"/>
      <c r="Z156" s="541"/>
      <c r="AA156" s="541"/>
      <c r="AB156" s="541"/>
      <c r="AC156" s="542"/>
      <c r="AD156" s="542"/>
      <c r="AE156" s="542"/>
      <c r="AF156" s="542"/>
      <c r="AG156" s="542"/>
      <c r="AH156" s="542"/>
      <c r="AI156" s="542"/>
      <c r="AJ156" s="542"/>
      <c r="AK156" s="542"/>
      <c r="AL156" s="542"/>
      <c r="AM156" s="542"/>
      <c r="AN156" s="542"/>
      <c r="AO156" s="542"/>
      <c r="AP156" s="542">
        <f>IF(Table_NFI[[#This Row],[Winter Clothes Adult]]+Table_NFI[[#This Row],[Winter Clothes Children]]+Table_NFI[[#This Row],[Winter Items Other]]+Table_NFI[[#This Row],[Winter Blanket]]&gt;0,1,0)</f>
        <v>1</v>
      </c>
      <c r="AQ156" s="542"/>
      <c r="AR156" s="542"/>
      <c r="AS156" s="542"/>
      <c r="AT156" s="205" t="str">
        <f>IFERROR(VLOOKUP(Table_NFI[[#This Row],[Location]],CL,2,0),"")</f>
        <v/>
      </c>
      <c r="AU156" s="183"/>
    </row>
    <row r="157" spans="2:47" ht="18.75" customHeight="1" x14ac:dyDescent="0.3">
      <c r="B157" s="552">
        <v>43096</v>
      </c>
      <c r="C157" s="552" t="str">
        <f>MONTH(Table_NFI[[#This Row],[Distribution Date]]) &amp; "/" &amp; YEAR(Table_NFI[[#This Row],[Distribution Date]])</f>
        <v>12/2017</v>
      </c>
      <c r="D157" s="198" t="s">
        <v>825</v>
      </c>
      <c r="E157" s="198" t="s">
        <v>1563</v>
      </c>
      <c r="F157" s="198" t="s">
        <v>378</v>
      </c>
      <c r="G157" s="197" t="s">
        <v>301</v>
      </c>
      <c r="H157" s="198" t="s">
        <v>305</v>
      </c>
      <c r="I157" s="183"/>
      <c r="J157" s="541"/>
      <c r="K157" s="541"/>
      <c r="L157" s="541"/>
      <c r="M157" s="541"/>
      <c r="N157" s="541"/>
      <c r="O157" s="541"/>
      <c r="P157" s="541"/>
      <c r="Q157" s="541"/>
      <c r="R157" s="541"/>
      <c r="S157" s="541"/>
      <c r="T157" s="541"/>
      <c r="U157" s="541">
        <v>344</v>
      </c>
      <c r="V157" s="541">
        <v>602</v>
      </c>
      <c r="W157" s="541">
        <v>1032</v>
      </c>
      <c r="X157" s="541">
        <v>172</v>
      </c>
      <c r="Y157" s="541"/>
      <c r="Z157" s="541"/>
      <c r="AA157" s="541"/>
      <c r="AB157" s="541"/>
      <c r="AC157" s="542"/>
      <c r="AD157" s="542"/>
      <c r="AE157" s="542"/>
      <c r="AF157" s="542"/>
      <c r="AG157" s="542"/>
      <c r="AH157" s="542"/>
      <c r="AI157" s="542"/>
      <c r="AJ157" s="542"/>
      <c r="AK157" s="542"/>
      <c r="AL157" s="542"/>
      <c r="AM157" s="542"/>
      <c r="AN157" s="542"/>
      <c r="AO157" s="542"/>
      <c r="AP157" s="542">
        <f>IF(Table_NFI[[#This Row],[Winter Clothes Adult]]+Table_NFI[[#This Row],[Winter Clothes Children]]+Table_NFI[[#This Row],[Winter Items Other]]+Table_NFI[[#This Row],[Winter Blanket]]&gt;0,1,0)</f>
        <v>1</v>
      </c>
      <c r="AQ157" s="542"/>
      <c r="AR157" s="542"/>
      <c r="AS157" s="542"/>
      <c r="AT157" s="205" t="str">
        <f>IFERROR(VLOOKUP(Table_NFI[[#This Row],[Location]],CL,2,0),"")</f>
        <v>MMR001CMP067</v>
      </c>
      <c r="AU157" s="183"/>
    </row>
    <row r="158" spans="2:47" ht="18.75" customHeight="1" x14ac:dyDescent="0.3">
      <c r="B158" s="552">
        <v>43096</v>
      </c>
      <c r="C158" s="552" t="str">
        <f>MONTH(Table_NFI[[#This Row],[Distribution Date]]) &amp; "/" &amp; YEAR(Table_NFI[[#This Row],[Distribution Date]])</f>
        <v>12/2017</v>
      </c>
      <c r="D158" s="198" t="s">
        <v>825</v>
      </c>
      <c r="E158" s="198" t="s">
        <v>1563</v>
      </c>
      <c r="F158" s="198" t="s">
        <v>378</v>
      </c>
      <c r="G158" s="197" t="s">
        <v>301</v>
      </c>
      <c r="H158" s="198" t="s">
        <v>307</v>
      </c>
      <c r="I158" s="183"/>
      <c r="J158" s="541"/>
      <c r="K158" s="541"/>
      <c r="L158" s="541"/>
      <c r="M158" s="541"/>
      <c r="N158" s="541"/>
      <c r="O158" s="541"/>
      <c r="P158" s="541"/>
      <c r="Q158" s="541"/>
      <c r="R158" s="541"/>
      <c r="S158" s="541"/>
      <c r="T158" s="541"/>
      <c r="U158" s="541">
        <v>212</v>
      </c>
      <c r="V158" s="541">
        <v>371</v>
      </c>
      <c r="W158" s="541">
        <v>636</v>
      </c>
      <c r="X158" s="541">
        <v>106</v>
      </c>
      <c r="Y158" s="541"/>
      <c r="Z158" s="541"/>
      <c r="AA158" s="541"/>
      <c r="AB158" s="541"/>
      <c r="AC158" s="542"/>
      <c r="AD158" s="542"/>
      <c r="AE158" s="542"/>
      <c r="AF158" s="542"/>
      <c r="AG158" s="542"/>
      <c r="AH158" s="542"/>
      <c r="AI158" s="542"/>
      <c r="AJ158" s="542"/>
      <c r="AK158" s="542"/>
      <c r="AL158" s="542"/>
      <c r="AM158" s="542"/>
      <c r="AN158" s="542"/>
      <c r="AO158" s="542"/>
      <c r="AP158" s="542">
        <f>IF(Table_NFI[[#This Row],[Winter Clothes Adult]]+Table_NFI[[#This Row],[Winter Clothes Children]]+Table_NFI[[#This Row],[Winter Items Other]]+Table_NFI[[#This Row],[Winter Blanket]]&gt;0,1,0)</f>
        <v>1</v>
      </c>
      <c r="AQ158" s="542"/>
      <c r="AR158" s="542"/>
      <c r="AS158" s="542"/>
      <c r="AT158" s="205" t="str">
        <f>IFERROR(VLOOKUP(Table_NFI[[#This Row],[Location]],CL,2,0),"")</f>
        <v>MMR001CMP068</v>
      </c>
      <c r="AU158" s="183"/>
    </row>
    <row r="159" spans="2:47" ht="18.75" customHeight="1" x14ac:dyDescent="0.3">
      <c r="B159" s="552">
        <v>43096</v>
      </c>
      <c r="C159" s="552" t="str">
        <f>MONTH(Table_NFI[[#This Row],[Distribution Date]]) &amp; "/" &amp; YEAR(Table_NFI[[#This Row],[Distribution Date]])</f>
        <v>12/2017</v>
      </c>
      <c r="D159" s="198" t="s">
        <v>1467</v>
      </c>
      <c r="E159" s="198" t="s">
        <v>1583</v>
      </c>
      <c r="F159" s="198" t="s">
        <v>506</v>
      </c>
      <c r="G159" s="197" t="s">
        <v>288</v>
      </c>
      <c r="H159" s="198" t="s">
        <v>291</v>
      </c>
      <c r="I159" s="183"/>
      <c r="J159" s="541"/>
      <c r="K159" s="541">
        <v>7</v>
      </c>
      <c r="L159" s="541"/>
      <c r="M159" s="541"/>
      <c r="N159" s="541"/>
      <c r="O159" s="541"/>
      <c r="P159" s="541"/>
      <c r="Q159" s="541"/>
      <c r="R159" s="541"/>
      <c r="S159" s="541"/>
      <c r="T159" s="541"/>
      <c r="U159" s="541"/>
      <c r="V159" s="541"/>
      <c r="W159" s="541"/>
      <c r="X159" s="541"/>
      <c r="Y159" s="541"/>
      <c r="Z159" s="541"/>
      <c r="AA159" s="541"/>
      <c r="AB159" s="541"/>
      <c r="AC159" s="542"/>
      <c r="AD159" s="542"/>
      <c r="AE159" s="542"/>
      <c r="AF159" s="542"/>
      <c r="AG159" s="542"/>
      <c r="AH159" s="542"/>
      <c r="AI159" s="542"/>
      <c r="AJ159" s="542"/>
      <c r="AK159" s="542"/>
      <c r="AL159" s="542"/>
      <c r="AM159" s="542"/>
      <c r="AN159" s="542"/>
      <c r="AO159" s="542"/>
      <c r="AP159" s="542">
        <f>IF(Table_NFI[[#This Row],[Winter Clothes Adult]]+Table_NFI[[#This Row],[Winter Clothes Children]]+Table_NFI[[#This Row],[Winter Items Other]]+Table_NFI[[#This Row],[Winter Blanket]]&gt;0,1,0)</f>
        <v>0</v>
      </c>
      <c r="AQ159" s="542"/>
      <c r="AR159" s="542"/>
      <c r="AS159" s="542"/>
      <c r="AT159" s="205" t="str">
        <f>IFERROR(VLOOKUP(Table_NFI[[#This Row],[Location]],CL,2,0),"")</f>
        <v>MMR015CMP004</v>
      </c>
      <c r="AU159" s="183"/>
    </row>
    <row r="160" spans="2:47" ht="18.75" customHeight="1" x14ac:dyDescent="0.3">
      <c r="B160" s="540">
        <v>43098</v>
      </c>
      <c r="C160" s="540" t="str">
        <f>MONTH(Table_NFI[[#This Row],[Distribution Date]]) &amp; "/" &amp; YEAR(Table_NFI[[#This Row],[Distribution Date]])</f>
        <v>12/2017</v>
      </c>
      <c r="D160" s="198" t="s">
        <v>1567</v>
      </c>
      <c r="E160" s="198" t="s">
        <v>1567</v>
      </c>
      <c r="F160" s="198" t="s">
        <v>506</v>
      </c>
      <c r="G160" s="197" t="s">
        <v>288</v>
      </c>
      <c r="H160" s="198" t="s">
        <v>917</v>
      </c>
      <c r="I160" s="183"/>
      <c r="J160" s="541"/>
      <c r="K160" s="541"/>
      <c r="L160" s="541"/>
      <c r="M160" s="541"/>
      <c r="N160" s="541"/>
      <c r="O160" s="541"/>
      <c r="P160" s="541"/>
      <c r="Q160" s="541"/>
      <c r="R160" s="541"/>
      <c r="S160" s="541"/>
      <c r="T160" s="541"/>
      <c r="U160" s="541"/>
      <c r="V160" s="541"/>
      <c r="W160" s="541">
        <v>15</v>
      </c>
      <c r="X160" s="541"/>
      <c r="Y160" s="541"/>
      <c r="Z160" s="541"/>
      <c r="AA160" s="541"/>
      <c r="AB160" s="541"/>
      <c r="AC160" s="542"/>
      <c r="AD160" s="542"/>
      <c r="AE160" s="542"/>
      <c r="AF160" s="542"/>
      <c r="AG160" s="542"/>
      <c r="AH160" s="542"/>
      <c r="AI160" s="542"/>
      <c r="AJ160" s="542"/>
      <c r="AK160" s="542"/>
      <c r="AL160" s="542"/>
      <c r="AM160" s="542"/>
      <c r="AN160" s="542"/>
      <c r="AO160" s="542"/>
      <c r="AP160" s="542">
        <f>IF(Table_NFI[[#This Row],[Winter Clothes Adult]]+Table_NFI[[#This Row],[Winter Clothes Children]]+Table_NFI[[#This Row],[Winter Items Other]]+Table_NFI[[#This Row],[Winter Blanket]]&gt;0,1,0)</f>
        <v>1</v>
      </c>
      <c r="AQ160" s="542"/>
      <c r="AR160" s="542"/>
      <c r="AS160" s="542"/>
      <c r="AT160" s="205" t="str">
        <f>IFERROR(VLOOKUP(Table_NFI[[#This Row],[Location]],CL,2,0),"")</f>
        <v>MMR015CMP215</v>
      </c>
      <c r="AU160" s="183"/>
    </row>
    <row r="161" spans="2:47" ht="18.75" customHeight="1" x14ac:dyDescent="0.3">
      <c r="B161" s="540">
        <v>43098</v>
      </c>
      <c r="C161" s="540" t="str">
        <f>MONTH(Table_NFI[[#This Row],[Distribution Date]]) &amp; "/" &amp; YEAR(Table_NFI[[#This Row],[Distribution Date]])</f>
        <v>12/2017</v>
      </c>
      <c r="D161" s="198" t="s">
        <v>1567</v>
      </c>
      <c r="E161" s="198" t="s">
        <v>1567</v>
      </c>
      <c r="F161" s="198" t="s">
        <v>506</v>
      </c>
      <c r="G161" s="197" t="s">
        <v>288</v>
      </c>
      <c r="H161" s="198" t="s">
        <v>291</v>
      </c>
      <c r="I161" s="183"/>
      <c r="J161" s="541"/>
      <c r="K161" s="541"/>
      <c r="L161" s="541"/>
      <c r="M161" s="541"/>
      <c r="N161" s="541"/>
      <c r="O161" s="541"/>
      <c r="P161" s="541"/>
      <c r="Q161" s="541"/>
      <c r="R161" s="541"/>
      <c r="S161" s="541"/>
      <c r="T161" s="541"/>
      <c r="U161" s="541"/>
      <c r="V161" s="541"/>
      <c r="W161" s="541">
        <v>8</v>
      </c>
      <c r="X161" s="541"/>
      <c r="Y161" s="541"/>
      <c r="Z161" s="541"/>
      <c r="AA161" s="541"/>
      <c r="AB161" s="541"/>
      <c r="AC161" s="542"/>
      <c r="AD161" s="542"/>
      <c r="AE161" s="542"/>
      <c r="AF161" s="542"/>
      <c r="AG161" s="542"/>
      <c r="AH161" s="542"/>
      <c r="AI161" s="542"/>
      <c r="AJ161" s="542"/>
      <c r="AK161" s="542"/>
      <c r="AL161" s="542"/>
      <c r="AM161" s="542"/>
      <c r="AN161" s="542"/>
      <c r="AO161" s="542"/>
      <c r="AP161" s="542">
        <f>IF(Table_NFI[[#This Row],[Winter Clothes Adult]]+Table_NFI[[#This Row],[Winter Clothes Children]]+Table_NFI[[#This Row],[Winter Items Other]]+Table_NFI[[#This Row],[Winter Blanket]]&gt;0,1,0)</f>
        <v>1</v>
      </c>
      <c r="AQ161" s="542"/>
      <c r="AR161" s="542"/>
      <c r="AS161" s="542"/>
      <c r="AT161" s="205" t="str">
        <f>IFERROR(VLOOKUP(Table_NFI[[#This Row],[Location]],CL,2,0),"")</f>
        <v>MMR015CMP004</v>
      </c>
      <c r="AU161" s="183"/>
    </row>
    <row r="162" spans="2:47" ht="18.75" customHeight="1" x14ac:dyDescent="0.3">
      <c r="B162" s="540">
        <v>43098</v>
      </c>
      <c r="C162" s="540" t="str">
        <f>MONTH(Table_NFI[[#This Row],[Distribution Date]]) &amp; "/" &amp; YEAR(Table_NFI[[#This Row],[Distribution Date]])</f>
        <v>12/2017</v>
      </c>
      <c r="D162" s="198" t="s">
        <v>1567</v>
      </c>
      <c r="E162" s="198" t="s">
        <v>1567</v>
      </c>
      <c r="F162" s="198" t="s">
        <v>506</v>
      </c>
      <c r="G162" s="197" t="s">
        <v>288</v>
      </c>
      <c r="H162" s="198" t="s">
        <v>372</v>
      </c>
      <c r="I162" s="183"/>
      <c r="J162" s="541"/>
      <c r="K162" s="541"/>
      <c r="L162" s="541"/>
      <c r="M162" s="541"/>
      <c r="N162" s="541"/>
      <c r="O162" s="541"/>
      <c r="P162" s="541"/>
      <c r="Q162" s="541"/>
      <c r="R162" s="541"/>
      <c r="S162" s="541"/>
      <c r="T162" s="541"/>
      <c r="U162" s="541"/>
      <c r="V162" s="541"/>
      <c r="W162" s="541">
        <v>1</v>
      </c>
      <c r="X162" s="541"/>
      <c r="Y162" s="541"/>
      <c r="Z162" s="541"/>
      <c r="AA162" s="541"/>
      <c r="AB162" s="541"/>
      <c r="AC162" s="542"/>
      <c r="AD162" s="542"/>
      <c r="AE162" s="542"/>
      <c r="AF162" s="542"/>
      <c r="AG162" s="542"/>
      <c r="AH162" s="542"/>
      <c r="AI162" s="542"/>
      <c r="AJ162" s="542"/>
      <c r="AK162" s="542"/>
      <c r="AL162" s="542"/>
      <c r="AM162" s="542"/>
      <c r="AN162" s="542"/>
      <c r="AO162" s="542"/>
      <c r="AP162" s="542">
        <f>IF(Table_NFI[[#This Row],[Winter Clothes Adult]]+Table_NFI[[#This Row],[Winter Clothes Children]]+Table_NFI[[#This Row],[Winter Items Other]]+Table_NFI[[#This Row],[Winter Blanket]]&gt;0,1,0)</f>
        <v>1</v>
      </c>
      <c r="AQ162" s="542"/>
      <c r="AR162" s="542"/>
      <c r="AS162" s="542"/>
      <c r="AT162" s="205" t="str">
        <f>IFERROR(VLOOKUP(Table_NFI[[#This Row],[Location]],CL,2,0),"")</f>
        <v>MMR015CMP003</v>
      </c>
      <c r="AU162" s="183"/>
    </row>
    <row r="163" spans="2:47" ht="18.75" customHeight="1" x14ac:dyDescent="0.3">
      <c r="B163" s="552">
        <v>43098</v>
      </c>
      <c r="C163" s="552" t="str">
        <f>MONTH(Table_NFI[[#This Row],[Distribution Date]]) &amp; "/" &amp; YEAR(Table_NFI[[#This Row],[Distribution Date]])</f>
        <v>12/2017</v>
      </c>
      <c r="D163" s="219" t="s">
        <v>1555</v>
      </c>
      <c r="E163" s="219" t="s">
        <v>1555</v>
      </c>
      <c r="F163" s="219" t="s">
        <v>378</v>
      </c>
      <c r="G163" s="197" t="s">
        <v>151</v>
      </c>
      <c r="H163" s="198" t="s">
        <v>154</v>
      </c>
      <c r="I163" s="183"/>
      <c r="J163" s="541"/>
      <c r="K163" s="541"/>
      <c r="L163" s="541">
        <v>11</v>
      </c>
      <c r="M163" s="541"/>
      <c r="N163" s="541"/>
      <c r="O163" s="541"/>
      <c r="P163" s="541"/>
      <c r="Q163" s="541"/>
      <c r="R163" s="541"/>
      <c r="S163" s="541"/>
      <c r="T163" s="541"/>
      <c r="U163" s="541"/>
      <c r="V163" s="541"/>
      <c r="W163" s="541"/>
      <c r="X163" s="541"/>
      <c r="Y163" s="541"/>
      <c r="Z163" s="541"/>
      <c r="AA163" s="541"/>
      <c r="AB163" s="541"/>
      <c r="AC163" s="542"/>
      <c r="AD163" s="542"/>
      <c r="AE163" s="542"/>
      <c r="AF163" s="542"/>
      <c r="AG163" s="542"/>
      <c r="AH163" s="542"/>
      <c r="AI163" s="542"/>
      <c r="AJ163" s="542"/>
      <c r="AK163" s="542"/>
      <c r="AL163" s="542"/>
      <c r="AM163" s="542"/>
      <c r="AN163" s="542"/>
      <c r="AO163" s="542"/>
      <c r="AP163" s="542">
        <f>IF(Table_NFI[[#This Row],[Winter Clothes Adult]]+Table_NFI[[#This Row],[Winter Clothes Children]]+Table_NFI[[#This Row],[Winter Items Other]]+Table_NFI[[#This Row],[Winter Blanket]]&gt;0,1,0)</f>
        <v>0</v>
      </c>
      <c r="AQ163" s="542"/>
      <c r="AR163" s="542"/>
      <c r="AS163" s="542"/>
      <c r="AT163" s="205" t="str">
        <f>IFERROR(VLOOKUP(Table_NFI[[#This Row],[Location]],CL,2,0),"")</f>
        <v>MMR001CMP132</v>
      </c>
      <c r="AU163" s="183" t="s">
        <v>1559</v>
      </c>
    </row>
    <row r="164" spans="2:47" ht="18.75" customHeight="1" x14ac:dyDescent="0.3">
      <c r="B164" s="552">
        <v>43098</v>
      </c>
      <c r="C164" s="552" t="str">
        <f>MONTH(Table_NFI[[#This Row],[Distribution Date]]) &amp; "/" &amp; YEAR(Table_NFI[[#This Row],[Distribution Date]])</f>
        <v>12/2017</v>
      </c>
      <c r="D164" s="219" t="s">
        <v>1555</v>
      </c>
      <c r="E164" s="219" t="s">
        <v>1555</v>
      </c>
      <c r="F164" s="219" t="s">
        <v>378</v>
      </c>
      <c r="G164" s="197" t="s">
        <v>151</v>
      </c>
      <c r="H164" s="198" t="s">
        <v>911</v>
      </c>
      <c r="I164" s="183"/>
      <c r="J164" s="541"/>
      <c r="K164" s="541"/>
      <c r="L164" s="541">
        <v>3</v>
      </c>
      <c r="M164" s="541"/>
      <c r="N164" s="541"/>
      <c r="O164" s="541"/>
      <c r="P164" s="541"/>
      <c r="Q164" s="541"/>
      <c r="R164" s="541"/>
      <c r="S164" s="541"/>
      <c r="T164" s="541"/>
      <c r="U164" s="541"/>
      <c r="V164" s="541"/>
      <c r="W164" s="541"/>
      <c r="X164" s="541"/>
      <c r="Y164" s="541"/>
      <c r="Z164" s="541"/>
      <c r="AA164" s="541"/>
      <c r="AB164" s="541"/>
      <c r="AC164" s="542"/>
      <c r="AD164" s="542"/>
      <c r="AE164" s="542"/>
      <c r="AF164" s="542"/>
      <c r="AG164" s="542"/>
      <c r="AH164" s="542"/>
      <c r="AI164" s="542"/>
      <c r="AJ164" s="542"/>
      <c r="AK164" s="542"/>
      <c r="AL164" s="542"/>
      <c r="AM164" s="542"/>
      <c r="AN164" s="542"/>
      <c r="AO164" s="542"/>
      <c r="AP164" s="542">
        <f>IF(Table_NFI[[#This Row],[Winter Clothes Adult]]+Table_NFI[[#This Row],[Winter Clothes Children]]+Table_NFI[[#This Row],[Winter Items Other]]+Table_NFI[[#This Row],[Winter Blanket]]&gt;0,1,0)</f>
        <v>0</v>
      </c>
      <c r="AQ164" s="542"/>
      <c r="AR164" s="542"/>
      <c r="AS164" s="542"/>
      <c r="AT164" s="205" t="str">
        <f>IFERROR(VLOOKUP(Table_NFI[[#This Row],[Location]],CL,2,0),"")</f>
        <v>MMR001CMP228</v>
      </c>
      <c r="AU164" s="183" t="s">
        <v>1559</v>
      </c>
    </row>
    <row r="165" spans="2:47" ht="18.75" customHeight="1" x14ac:dyDescent="0.3">
      <c r="B165" s="552">
        <v>43098</v>
      </c>
      <c r="C165" s="552" t="str">
        <f>MONTH(Table_NFI[[#This Row],[Distribution Date]]) &amp; "/" &amp; YEAR(Table_NFI[[#This Row],[Distribution Date]])</f>
        <v>12/2017</v>
      </c>
      <c r="D165" s="219" t="s">
        <v>1555</v>
      </c>
      <c r="E165" s="219" t="s">
        <v>1555</v>
      </c>
      <c r="F165" s="219" t="s">
        <v>378</v>
      </c>
      <c r="G165" s="197" t="s">
        <v>151</v>
      </c>
      <c r="H165" s="198" t="s">
        <v>938</v>
      </c>
      <c r="I165" s="183"/>
      <c r="J165" s="541"/>
      <c r="K165" s="541"/>
      <c r="L165" s="541">
        <v>20</v>
      </c>
      <c r="M165" s="541"/>
      <c r="N165" s="541"/>
      <c r="O165" s="541"/>
      <c r="P165" s="541"/>
      <c r="Q165" s="541"/>
      <c r="R165" s="541"/>
      <c r="S165" s="541"/>
      <c r="T165" s="541"/>
      <c r="U165" s="541"/>
      <c r="V165" s="541"/>
      <c r="W165" s="541"/>
      <c r="X165" s="541"/>
      <c r="Y165" s="541"/>
      <c r="Z165" s="541"/>
      <c r="AA165" s="541"/>
      <c r="AB165" s="541"/>
      <c r="AC165" s="542"/>
      <c r="AD165" s="542"/>
      <c r="AE165" s="542"/>
      <c r="AF165" s="542"/>
      <c r="AG165" s="542"/>
      <c r="AH165" s="542"/>
      <c r="AI165" s="542"/>
      <c r="AJ165" s="542"/>
      <c r="AK165" s="542"/>
      <c r="AL165" s="542"/>
      <c r="AM165" s="542"/>
      <c r="AN165" s="542"/>
      <c r="AO165" s="542"/>
      <c r="AP165" s="542">
        <f>IF(Table_NFI[[#This Row],[Winter Clothes Adult]]+Table_NFI[[#This Row],[Winter Clothes Children]]+Table_NFI[[#This Row],[Winter Items Other]]+Table_NFI[[#This Row],[Winter Blanket]]&gt;0,1,0)</f>
        <v>0</v>
      </c>
      <c r="AQ165" s="542"/>
      <c r="AR165" s="542"/>
      <c r="AS165" s="542"/>
      <c r="AT165" s="205" t="str">
        <f>IFERROR(VLOOKUP(Table_NFI[[#This Row],[Location]],CL,2,0),"")</f>
        <v>MMR001CMP230</v>
      </c>
      <c r="AU165" s="183" t="s">
        <v>1559</v>
      </c>
    </row>
    <row r="166" spans="2:47" ht="18.75" customHeight="1" x14ac:dyDescent="0.3">
      <c r="B166" s="552">
        <v>43098</v>
      </c>
      <c r="C166" s="552" t="str">
        <f>MONTH(Table_NFI[[#This Row],[Distribution Date]]) &amp; "/" &amp; YEAR(Table_NFI[[#This Row],[Distribution Date]])</f>
        <v>12/2017</v>
      </c>
      <c r="D166" s="219" t="s">
        <v>1555</v>
      </c>
      <c r="E166" s="219" t="s">
        <v>1555</v>
      </c>
      <c r="F166" s="219" t="s">
        <v>506</v>
      </c>
      <c r="G166" s="197" t="s">
        <v>288</v>
      </c>
      <c r="H166" s="198" t="s">
        <v>917</v>
      </c>
      <c r="I166" s="183"/>
      <c r="J166" s="541"/>
      <c r="K166" s="541"/>
      <c r="L166" s="541">
        <v>14</v>
      </c>
      <c r="M166" s="541"/>
      <c r="N166" s="541"/>
      <c r="O166" s="541"/>
      <c r="P166" s="541"/>
      <c r="Q166" s="541"/>
      <c r="R166" s="541"/>
      <c r="S166" s="541"/>
      <c r="T166" s="541"/>
      <c r="U166" s="541"/>
      <c r="V166" s="541"/>
      <c r="W166" s="541"/>
      <c r="X166" s="541"/>
      <c r="Y166" s="541"/>
      <c r="Z166" s="541"/>
      <c r="AA166" s="541"/>
      <c r="AB166" s="541"/>
      <c r="AC166" s="542"/>
      <c r="AD166" s="542"/>
      <c r="AE166" s="542"/>
      <c r="AF166" s="542"/>
      <c r="AG166" s="542"/>
      <c r="AH166" s="542"/>
      <c r="AI166" s="542"/>
      <c r="AJ166" s="542"/>
      <c r="AK166" s="542"/>
      <c r="AL166" s="542"/>
      <c r="AM166" s="542"/>
      <c r="AN166" s="542"/>
      <c r="AO166" s="542"/>
      <c r="AP166" s="542">
        <f>IF(Table_NFI[[#This Row],[Winter Clothes Adult]]+Table_NFI[[#This Row],[Winter Clothes Children]]+Table_NFI[[#This Row],[Winter Items Other]]+Table_NFI[[#This Row],[Winter Blanket]]&gt;0,1,0)</f>
        <v>0</v>
      </c>
      <c r="AQ166" s="542"/>
      <c r="AR166" s="542"/>
      <c r="AS166" s="542"/>
      <c r="AT166" s="205" t="str">
        <f>IFERROR(VLOOKUP(Table_NFI[[#This Row],[Location]],CL,2,0),"")</f>
        <v>MMR015CMP215</v>
      </c>
      <c r="AU166" s="183" t="s">
        <v>1559</v>
      </c>
    </row>
    <row r="167" spans="2:47" ht="18.75" customHeight="1" x14ac:dyDescent="0.3">
      <c r="B167" s="552">
        <v>43098</v>
      </c>
      <c r="C167" s="552" t="str">
        <f>MONTH(Table_NFI[[#This Row],[Distribution Date]]) &amp; "/" &amp; YEAR(Table_NFI[[#This Row],[Distribution Date]])</f>
        <v>12/2017</v>
      </c>
      <c r="D167" s="219" t="s">
        <v>1555</v>
      </c>
      <c r="E167" s="219" t="s">
        <v>1555</v>
      </c>
      <c r="F167" s="219" t="s">
        <v>506</v>
      </c>
      <c r="G167" s="197" t="s">
        <v>288</v>
      </c>
      <c r="H167" s="198" t="s">
        <v>291</v>
      </c>
      <c r="I167" s="183"/>
      <c r="J167" s="541"/>
      <c r="K167" s="541"/>
      <c r="L167" s="541">
        <v>8</v>
      </c>
      <c r="M167" s="541"/>
      <c r="N167" s="541"/>
      <c r="O167" s="541"/>
      <c r="P167" s="541"/>
      <c r="Q167" s="541"/>
      <c r="R167" s="541"/>
      <c r="S167" s="541"/>
      <c r="T167" s="541"/>
      <c r="U167" s="541"/>
      <c r="V167" s="541"/>
      <c r="W167" s="541"/>
      <c r="X167" s="541"/>
      <c r="Y167" s="541"/>
      <c r="Z167" s="541"/>
      <c r="AA167" s="541"/>
      <c r="AB167" s="541"/>
      <c r="AC167" s="542"/>
      <c r="AD167" s="542"/>
      <c r="AE167" s="542"/>
      <c r="AF167" s="542"/>
      <c r="AG167" s="542"/>
      <c r="AH167" s="542"/>
      <c r="AI167" s="542"/>
      <c r="AJ167" s="542"/>
      <c r="AK167" s="542"/>
      <c r="AL167" s="542"/>
      <c r="AM167" s="542"/>
      <c r="AN167" s="542"/>
      <c r="AO167" s="542"/>
      <c r="AP167" s="542">
        <f>IF(Table_NFI[[#This Row],[Winter Clothes Adult]]+Table_NFI[[#This Row],[Winter Clothes Children]]+Table_NFI[[#This Row],[Winter Items Other]]+Table_NFI[[#This Row],[Winter Blanket]]&gt;0,1,0)</f>
        <v>0</v>
      </c>
      <c r="AQ167" s="542"/>
      <c r="AR167" s="542"/>
      <c r="AS167" s="542"/>
      <c r="AT167" s="205" t="str">
        <f>IFERROR(VLOOKUP(Table_NFI[[#This Row],[Location]],CL,2,0),"")</f>
        <v>MMR015CMP004</v>
      </c>
      <c r="AU167" s="183" t="s">
        <v>1559</v>
      </c>
    </row>
    <row r="168" spans="2:47" ht="18.75" customHeight="1" x14ac:dyDescent="0.3">
      <c r="B168" s="540">
        <v>43105</v>
      </c>
      <c r="C168" s="540" t="str">
        <f>MONTH(Table_NFI[[#This Row],[Distribution Date]]) &amp; "/" &amp; YEAR(Table_NFI[[#This Row],[Distribution Date]])</f>
        <v>1/2018</v>
      </c>
      <c r="D168" s="198" t="s">
        <v>1567</v>
      </c>
      <c r="E168" s="198" t="s">
        <v>1567</v>
      </c>
      <c r="F168" s="198" t="s">
        <v>506</v>
      </c>
      <c r="G168" s="198" t="s">
        <v>494</v>
      </c>
      <c r="H168" s="198" t="s">
        <v>1572</v>
      </c>
      <c r="I168" s="183"/>
      <c r="J168" s="541"/>
      <c r="K168" s="541"/>
      <c r="L168" s="541"/>
      <c r="M168" s="541"/>
      <c r="N168" s="541"/>
      <c r="O168" s="541"/>
      <c r="P168" s="541"/>
      <c r="Q168" s="541"/>
      <c r="R168" s="541"/>
      <c r="S168" s="541"/>
      <c r="T168" s="541"/>
      <c r="U168" s="541"/>
      <c r="V168" s="541"/>
      <c r="W168" s="541">
        <v>72</v>
      </c>
      <c r="X168" s="541"/>
      <c r="Y168" s="541"/>
      <c r="Z168" s="541"/>
      <c r="AA168" s="541">
        <v>10</v>
      </c>
      <c r="AB168" s="541"/>
      <c r="AC168" s="542"/>
      <c r="AD168" s="542"/>
      <c r="AE168" s="542"/>
      <c r="AF168" s="542"/>
      <c r="AG168" s="542"/>
      <c r="AH168" s="542"/>
      <c r="AI168" s="542"/>
      <c r="AJ168" s="542"/>
      <c r="AK168" s="542"/>
      <c r="AL168" s="542"/>
      <c r="AM168" s="542"/>
      <c r="AN168" s="542"/>
      <c r="AO168" s="542"/>
      <c r="AP168" s="542">
        <f>IF(Table_NFI[[#This Row],[Winter Clothes Adult]]+Table_NFI[[#This Row],[Winter Clothes Children]]+Table_NFI[[#This Row],[Winter Items Other]]+Table_NFI[[#This Row],[Winter Blanket]]&gt;0,1,0)</f>
        <v>1</v>
      </c>
      <c r="AQ168" s="542"/>
      <c r="AR168" s="542"/>
      <c r="AS168" s="542"/>
      <c r="AT168" s="205" t="str">
        <f>IFERROR(VLOOKUP(Table_NFI[[#This Row],[Location]],CL,2,0),"")</f>
        <v/>
      </c>
      <c r="AU168" s="183"/>
    </row>
    <row r="169" spans="2:47" ht="18.75" customHeight="1" x14ac:dyDescent="0.3">
      <c r="B169" s="552">
        <v>43105</v>
      </c>
      <c r="C169" s="552" t="str">
        <f>MONTH(Table_NFI[[#This Row],[Distribution Date]]) &amp; "/" &amp; YEAR(Table_NFI[[#This Row],[Distribution Date]])</f>
        <v>1/2018</v>
      </c>
      <c r="D169" s="556" t="s">
        <v>1567</v>
      </c>
      <c r="E169" s="556" t="s">
        <v>1585</v>
      </c>
      <c r="F169" s="198" t="s">
        <v>506</v>
      </c>
      <c r="G169" s="198" t="s">
        <v>494</v>
      </c>
      <c r="H169" s="532" t="s">
        <v>1572</v>
      </c>
      <c r="I169" s="183"/>
      <c r="J169" s="541"/>
      <c r="K169" s="541"/>
      <c r="L169" s="541"/>
      <c r="M169" s="541"/>
      <c r="N169" s="541"/>
      <c r="O169" s="541"/>
      <c r="P169" s="541"/>
      <c r="Q169" s="541"/>
      <c r="R169" s="541"/>
      <c r="S169" s="541"/>
      <c r="T169" s="541"/>
      <c r="U169" s="557">
        <v>144</v>
      </c>
      <c r="V169" s="541"/>
      <c r="W169" s="557">
        <v>144</v>
      </c>
      <c r="X169" s="557">
        <v>144</v>
      </c>
      <c r="Y169" s="541"/>
      <c r="Z169" s="541"/>
      <c r="AA169" s="541">
        <v>10</v>
      </c>
      <c r="AB169" s="541"/>
      <c r="AC169" s="542"/>
      <c r="AD169" s="542"/>
      <c r="AE169" s="542"/>
      <c r="AF169" s="542"/>
      <c r="AG169" s="542"/>
      <c r="AH169" s="542"/>
      <c r="AI169" s="542"/>
      <c r="AJ169" s="542"/>
      <c r="AK169" s="542"/>
      <c r="AL169" s="542"/>
      <c r="AM169" s="542"/>
      <c r="AN169" s="542"/>
      <c r="AO169" s="542"/>
      <c r="AP169" s="542">
        <f>IF(Table_NFI[[#This Row],[Winter Clothes Adult]]+Table_NFI[[#This Row],[Winter Clothes Children]]+Table_NFI[[#This Row],[Winter Items Other]]+Table_NFI[[#This Row],[Winter Blanket]]&gt;0,1,0)</f>
        <v>1</v>
      </c>
      <c r="AQ169" s="542"/>
      <c r="AR169" s="542"/>
      <c r="AS169" s="542"/>
      <c r="AT169" s="205" t="str">
        <f>IFERROR(VLOOKUP(Table_NFI[[#This Row],[Location]],CL,2,0),"")</f>
        <v/>
      </c>
      <c r="AU169" s="183"/>
    </row>
    <row r="170" spans="2:47" ht="18.75" customHeight="1" x14ac:dyDescent="0.3">
      <c r="B170" s="552">
        <v>43105</v>
      </c>
      <c r="C170" s="552" t="str">
        <f>MONTH(Table_NFI[[#This Row],[Distribution Date]]) &amp; "/" &amp; YEAR(Table_NFI[[#This Row],[Distribution Date]])</f>
        <v>1/2018</v>
      </c>
      <c r="D170" s="556" t="s">
        <v>1567</v>
      </c>
      <c r="E170" s="556" t="s">
        <v>1585</v>
      </c>
      <c r="F170" s="198" t="s">
        <v>506</v>
      </c>
      <c r="G170" s="198" t="s">
        <v>494</v>
      </c>
      <c r="H170" s="532" t="s">
        <v>1586</v>
      </c>
      <c r="I170" s="183"/>
      <c r="J170" s="541"/>
      <c r="K170" s="541"/>
      <c r="L170" s="541"/>
      <c r="M170" s="541"/>
      <c r="N170" s="541"/>
      <c r="O170" s="541"/>
      <c r="P170" s="541"/>
      <c r="Q170" s="541"/>
      <c r="R170" s="541"/>
      <c r="S170" s="541"/>
      <c r="T170" s="541"/>
      <c r="U170" s="557">
        <v>102</v>
      </c>
      <c r="V170" s="541"/>
      <c r="W170" s="557">
        <v>102</v>
      </c>
      <c r="X170" s="557">
        <v>102</v>
      </c>
      <c r="Y170" s="541"/>
      <c r="Z170" s="541"/>
      <c r="AA170" s="541">
        <v>10</v>
      </c>
      <c r="AB170" s="541"/>
      <c r="AC170" s="542"/>
      <c r="AD170" s="542"/>
      <c r="AE170" s="542"/>
      <c r="AF170" s="542"/>
      <c r="AG170" s="542"/>
      <c r="AH170" s="542"/>
      <c r="AI170" s="542"/>
      <c r="AJ170" s="542"/>
      <c r="AK170" s="542"/>
      <c r="AL170" s="542"/>
      <c r="AM170" s="542"/>
      <c r="AN170" s="542"/>
      <c r="AO170" s="542"/>
      <c r="AP170" s="542">
        <f>IF(Table_NFI[[#This Row],[Winter Clothes Adult]]+Table_NFI[[#This Row],[Winter Clothes Children]]+Table_NFI[[#This Row],[Winter Items Other]]+Table_NFI[[#This Row],[Winter Blanket]]&gt;0,1,0)</f>
        <v>1</v>
      </c>
      <c r="AQ170" s="542"/>
      <c r="AR170" s="542"/>
      <c r="AS170" s="542"/>
      <c r="AT170" s="205" t="str">
        <f>IFERROR(VLOOKUP(Table_NFI[[#This Row],[Location]],CL,2,0),"")</f>
        <v/>
      </c>
      <c r="AU170" s="183"/>
    </row>
    <row r="171" spans="2:47" ht="18.75" customHeight="1" x14ac:dyDescent="0.3">
      <c r="B171" s="552">
        <v>43105</v>
      </c>
      <c r="C171" s="552" t="str">
        <f>MONTH(Table_NFI[[#This Row],[Distribution Date]]) &amp; "/" &amp; YEAR(Table_NFI[[#This Row],[Distribution Date]])</f>
        <v>1/2018</v>
      </c>
      <c r="D171" s="556" t="s">
        <v>1567</v>
      </c>
      <c r="E171" s="556" t="s">
        <v>1585</v>
      </c>
      <c r="F171" s="198" t="s">
        <v>506</v>
      </c>
      <c r="G171" s="198" t="s">
        <v>494</v>
      </c>
      <c r="H171" s="532" t="s">
        <v>1590</v>
      </c>
      <c r="I171" s="183"/>
      <c r="J171" s="541"/>
      <c r="K171" s="541"/>
      <c r="L171" s="541"/>
      <c r="M171" s="541"/>
      <c r="N171" s="541"/>
      <c r="O171" s="541"/>
      <c r="P171" s="541"/>
      <c r="Q171" s="541"/>
      <c r="R171" s="541"/>
      <c r="S171" s="541"/>
      <c r="T171" s="541"/>
      <c r="U171" s="557">
        <v>152</v>
      </c>
      <c r="V171" s="541"/>
      <c r="W171" s="557">
        <v>152</v>
      </c>
      <c r="X171" s="557">
        <v>152</v>
      </c>
      <c r="Y171" s="541"/>
      <c r="Z171" s="541"/>
      <c r="AA171" s="541"/>
      <c r="AB171" s="541"/>
      <c r="AC171" s="542"/>
      <c r="AD171" s="542"/>
      <c r="AE171" s="542"/>
      <c r="AF171" s="542"/>
      <c r="AG171" s="542"/>
      <c r="AH171" s="542"/>
      <c r="AI171" s="542"/>
      <c r="AJ171" s="542"/>
      <c r="AK171" s="542"/>
      <c r="AL171" s="542"/>
      <c r="AM171" s="542"/>
      <c r="AN171" s="542"/>
      <c r="AO171" s="542"/>
      <c r="AP171" s="542">
        <f>IF(Table_NFI[[#This Row],[Winter Clothes Adult]]+Table_NFI[[#This Row],[Winter Clothes Children]]+Table_NFI[[#This Row],[Winter Items Other]]+Table_NFI[[#This Row],[Winter Blanket]]&gt;0,1,0)</f>
        <v>1</v>
      </c>
      <c r="AQ171" s="542"/>
      <c r="AR171" s="542"/>
      <c r="AS171" s="542"/>
      <c r="AT171" s="205" t="str">
        <f>IFERROR(VLOOKUP(Table_NFI[[#This Row],[Location]],CL,2,0),"")</f>
        <v/>
      </c>
      <c r="AU171" s="183"/>
    </row>
    <row r="172" spans="2:47" ht="18.75" customHeight="1" x14ac:dyDescent="0.3">
      <c r="B172" s="552">
        <v>43105</v>
      </c>
      <c r="C172" s="552" t="str">
        <f>MONTH(Table_NFI[[#This Row],[Distribution Date]]) &amp; "/" &amp; YEAR(Table_NFI[[#This Row],[Distribution Date]])</f>
        <v>1/2018</v>
      </c>
      <c r="D172" s="556" t="s">
        <v>1567</v>
      </c>
      <c r="E172" s="556" t="s">
        <v>1585</v>
      </c>
      <c r="F172" s="198" t="s">
        <v>506</v>
      </c>
      <c r="G172" s="198" t="s">
        <v>494</v>
      </c>
      <c r="H172" s="532" t="s">
        <v>1591</v>
      </c>
      <c r="I172" s="183"/>
      <c r="J172" s="541"/>
      <c r="K172" s="541"/>
      <c r="L172" s="541"/>
      <c r="M172" s="541"/>
      <c r="N172" s="541"/>
      <c r="O172" s="541"/>
      <c r="P172" s="541"/>
      <c r="Q172" s="541"/>
      <c r="R172" s="541"/>
      <c r="S172" s="541"/>
      <c r="T172" s="541"/>
      <c r="U172" s="557">
        <v>62</v>
      </c>
      <c r="V172" s="541"/>
      <c r="W172" s="557">
        <v>62</v>
      </c>
      <c r="X172" s="557">
        <v>62</v>
      </c>
      <c r="Y172" s="541"/>
      <c r="Z172" s="541"/>
      <c r="AA172" s="541"/>
      <c r="AB172" s="541"/>
      <c r="AC172" s="542"/>
      <c r="AD172" s="542"/>
      <c r="AE172" s="542"/>
      <c r="AF172" s="542"/>
      <c r="AG172" s="542"/>
      <c r="AH172" s="542"/>
      <c r="AI172" s="542"/>
      <c r="AJ172" s="542"/>
      <c r="AK172" s="542"/>
      <c r="AL172" s="542"/>
      <c r="AM172" s="542"/>
      <c r="AN172" s="542"/>
      <c r="AO172" s="542"/>
      <c r="AP172" s="542">
        <f>IF(Table_NFI[[#This Row],[Winter Clothes Adult]]+Table_NFI[[#This Row],[Winter Clothes Children]]+Table_NFI[[#This Row],[Winter Items Other]]+Table_NFI[[#This Row],[Winter Blanket]]&gt;0,1,0)</f>
        <v>1</v>
      </c>
      <c r="AQ172" s="542"/>
      <c r="AR172" s="542"/>
      <c r="AS172" s="542"/>
      <c r="AT172" s="205" t="str">
        <f>IFERROR(VLOOKUP(Table_NFI[[#This Row],[Location]],CL,2,0),"")</f>
        <v/>
      </c>
      <c r="AU172" s="183"/>
    </row>
    <row r="173" spans="2:47" ht="18.75" customHeight="1" x14ac:dyDescent="0.3">
      <c r="B173" s="540">
        <v>43106</v>
      </c>
      <c r="C173" s="540" t="str">
        <f>MONTH(Table_NFI[[#This Row],[Distribution Date]]) &amp; "/" &amp; YEAR(Table_NFI[[#This Row],[Distribution Date]])</f>
        <v>1/2018</v>
      </c>
      <c r="D173" s="198" t="s">
        <v>1567</v>
      </c>
      <c r="E173" s="198" t="s">
        <v>1567</v>
      </c>
      <c r="F173" s="198" t="s">
        <v>506</v>
      </c>
      <c r="G173" s="198" t="s">
        <v>494</v>
      </c>
      <c r="H173" s="198" t="s">
        <v>1569</v>
      </c>
      <c r="I173" s="183"/>
      <c r="J173" s="541"/>
      <c r="K173" s="541"/>
      <c r="L173" s="541"/>
      <c r="M173" s="541"/>
      <c r="N173" s="541"/>
      <c r="O173" s="541"/>
      <c r="P173" s="541"/>
      <c r="Q173" s="541"/>
      <c r="R173" s="541"/>
      <c r="S173" s="541"/>
      <c r="T173" s="541"/>
      <c r="U173" s="541"/>
      <c r="V173" s="541"/>
      <c r="W173" s="541">
        <v>51</v>
      </c>
      <c r="X173" s="541"/>
      <c r="Y173" s="541"/>
      <c r="Z173" s="541"/>
      <c r="AA173" s="541">
        <v>10</v>
      </c>
      <c r="AB173" s="541"/>
      <c r="AC173" s="542"/>
      <c r="AD173" s="542"/>
      <c r="AE173" s="542"/>
      <c r="AF173" s="542"/>
      <c r="AG173" s="542"/>
      <c r="AH173" s="542"/>
      <c r="AI173" s="542"/>
      <c r="AJ173" s="542"/>
      <c r="AK173" s="542"/>
      <c r="AL173" s="542"/>
      <c r="AM173" s="542"/>
      <c r="AN173" s="542"/>
      <c r="AO173" s="542"/>
      <c r="AP173" s="542">
        <f>IF(Table_NFI[[#This Row],[Winter Clothes Adult]]+Table_NFI[[#This Row],[Winter Clothes Children]]+Table_NFI[[#This Row],[Winter Items Other]]+Table_NFI[[#This Row],[Winter Blanket]]&gt;0,1,0)</f>
        <v>1</v>
      </c>
      <c r="AQ173" s="542"/>
      <c r="AR173" s="542"/>
      <c r="AS173" s="542"/>
      <c r="AT173" s="205" t="str">
        <f>IFERROR(VLOOKUP(Table_NFI[[#This Row],[Location]],CL,2,0),"")</f>
        <v/>
      </c>
      <c r="AU173" s="183"/>
    </row>
    <row r="174" spans="2:47" ht="18.75" customHeight="1" x14ac:dyDescent="0.3">
      <c r="B174" s="540">
        <v>43107</v>
      </c>
      <c r="C174" s="540" t="str">
        <f>MONTH(Table_NFI[[#This Row],[Distribution Date]]) &amp; "/" &amp; YEAR(Table_NFI[[#This Row],[Distribution Date]])</f>
        <v>1/2018</v>
      </c>
      <c r="D174" s="198" t="s">
        <v>1567</v>
      </c>
      <c r="E174" s="198" t="s">
        <v>1567</v>
      </c>
      <c r="F174" s="198" t="s">
        <v>506</v>
      </c>
      <c r="G174" s="198" t="s">
        <v>494</v>
      </c>
      <c r="H174" s="198" t="s">
        <v>1571</v>
      </c>
      <c r="I174" s="183"/>
      <c r="J174" s="541"/>
      <c r="K174" s="541"/>
      <c r="L174" s="541"/>
      <c r="M174" s="541"/>
      <c r="N174" s="541"/>
      <c r="O174" s="541"/>
      <c r="P174" s="541"/>
      <c r="Q174" s="541"/>
      <c r="R174" s="541"/>
      <c r="S174" s="541"/>
      <c r="T174" s="541"/>
      <c r="U174" s="541"/>
      <c r="V174" s="541"/>
      <c r="W174" s="541">
        <v>76</v>
      </c>
      <c r="X174" s="541"/>
      <c r="Y174" s="541"/>
      <c r="Z174" s="541"/>
      <c r="AA174" s="541"/>
      <c r="AB174" s="541"/>
      <c r="AC174" s="542"/>
      <c r="AD174" s="542"/>
      <c r="AE174" s="542"/>
      <c r="AF174" s="542"/>
      <c r="AG174" s="542"/>
      <c r="AH174" s="542"/>
      <c r="AI174" s="542"/>
      <c r="AJ174" s="542"/>
      <c r="AK174" s="542"/>
      <c r="AL174" s="542"/>
      <c r="AM174" s="542"/>
      <c r="AN174" s="542"/>
      <c r="AO174" s="542"/>
      <c r="AP174" s="542">
        <f>IF(Table_NFI[[#This Row],[Winter Clothes Adult]]+Table_NFI[[#This Row],[Winter Clothes Children]]+Table_NFI[[#This Row],[Winter Items Other]]+Table_NFI[[#This Row],[Winter Blanket]]&gt;0,1,0)</f>
        <v>1</v>
      </c>
      <c r="AQ174" s="542"/>
      <c r="AR174" s="542"/>
      <c r="AS174" s="542"/>
      <c r="AT174" s="205" t="str">
        <f>IFERROR(VLOOKUP(Table_NFI[[#This Row],[Location]],CL,2,0),"")</f>
        <v/>
      </c>
      <c r="AU174" s="183"/>
    </row>
    <row r="175" spans="2:47" ht="18.75" customHeight="1" x14ac:dyDescent="0.3">
      <c r="B175" s="540">
        <v>43108</v>
      </c>
      <c r="C175" s="540" t="str">
        <f>MONTH(Table_NFI[[#This Row],[Distribution Date]]) &amp; "/" &amp; YEAR(Table_NFI[[#This Row],[Distribution Date]])</f>
        <v>1/2018</v>
      </c>
      <c r="D175" s="198" t="s">
        <v>1567</v>
      </c>
      <c r="E175" s="198" t="s">
        <v>1567</v>
      </c>
      <c r="F175" s="198" t="s">
        <v>506</v>
      </c>
      <c r="G175" s="198" t="s">
        <v>494</v>
      </c>
      <c r="H175" s="198" t="s">
        <v>1570</v>
      </c>
      <c r="I175" s="183"/>
      <c r="J175" s="541"/>
      <c r="K175" s="541"/>
      <c r="L175" s="541"/>
      <c r="M175" s="541"/>
      <c r="N175" s="541"/>
      <c r="O175" s="541"/>
      <c r="P175" s="541"/>
      <c r="Q175" s="541"/>
      <c r="R175" s="541"/>
      <c r="S175" s="541"/>
      <c r="T175" s="541"/>
      <c r="U175" s="541"/>
      <c r="V175" s="541"/>
      <c r="W175" s="541">
        <v>31</v>
      </c>
      <c r="X175" s="541"/>
      <c r="Y175" s="541"/>
      <c r="Z175" s="541"/>
      <c r="AA175" s="541"/>
      <c r="AB175" s="541"/>
      <c r="AC175" s="542"/>
      <c r="AD175" s="542"/>
      <c r="AE175" s="542"/>
      <c r="AF175" s="542"/>
      <c r="AG175" s="542"/>
      <c r="AH175" s="542"/>
      <c r="AI175" s="542"/>
      <c r="AJ175" s="542"/>
      <c r="AK175" s="542"/>
      <c r="AL175" s="542"/>
      <c r="AM175" s="542"/>
      <c r="AN175" s="542"/>
      <c r="AO175" s="542"/>
      <c r="AP175" s="542">
        <f>IF(Table_NFI[[#This Row],[Winter Clothes Adult]]+Table_NFI[[#This Row],[Winter Clothes Children]]+Table_NFI[[#This Row],[Winter Items Other]]+Table_NFI[[#This Row],[Winter Blanket]]&gt;0,1,0)</f>
        <v>1</v>
      </c>
      <c r="AQ175" s="542"/>
      <c r="AR175" s="542"/>
      <c r="AS175" s="542"/>
      <c r="AT175" s="205" t="str">
        <f>IFERROR(VLOOKUP(Table_NFI[[#This Row],[Location]],CL,2,0),"")</f>
        <v/>
      </c>
      <c r="AU175" s="183"/>
    </row>
    <row r="176" spans="2:47" ht="18.75" customHeight="1" x14ac:dyDescent="0.3">
      <c r="B176" s="552">
        <v>43126</v>
      </c>
      <c r="C176" s="552" t="str">
        <f>MONTH(Table_NFI[[#This Row],[Distribution Date]]) &amp; "/" &amp; YEAR(Table_NFI[[#This Row],[Distribution Date]])</f>
        <v>1/2018</v>
      </c>
      <c r="D176" s="556" t="s">
        <v>1567</v>
      </c>
      <c r="E176" s="556" t="s">
        <v>1585</v>
      </c>
      <c r="F176" s="198" t="s">
        <v>506</v>
      </c>
      <c r="G176" s="197" t="s">
        <v>297</v>
      </c>
      <c r="H176" s="558" t="s">
        <v>1587</v>
      </c>
      <c r="I176" s="183"/>
      <c r="J176" s="541">
        <v>18</v>
      </c>
      <c r="K176" s="541"/>
      <c r="L176" s="541"/>
      <c r="M176" s="541"/>
      <c r="N176" s="541"/>
      <c r="O176" s="541"/>
      <c r="P176" s="541"/>
      <c r="Q176" s="541"/>
      <c r="R176" s="541"/>
      <c r="S176" s="541"/>
      <c r="T176" s="541"/>
      <c r="U176" s="541"/>
      <c r="V176" s="541"/>
      <c r="W176" s="541"/>
      <c r="X176" s="541"/>
      <c r="Y176" s="541"/>
      <c r="Z176" s="541"/>
      <c r="AA176" s="541"/>
      <c r="AB176" s="541"/>
      <c r="AC176" s="542"/>
      <c r="AD176" s="542"/>
      <c r="AE176" s="542"/>
      <c r="AF176" s="542"/>
      <c r="AG176" s="542"/>
      <c r="AH176" s="542"/>
      <c r="AI176" s="542"/>
      <c r="AJ176" s="542"/>
      <c r="AK176" s="542"/>
      <c r="AL176" s="542"/>
      <c r="AM176" s="542"/>
      <c r="AN176" s="542"/>
      <c r="AO176" s="542"/>
      <c r="AP176" s="542">
        <f>IF(Table_NFI[[#This Row],[Winter Clothes Adult]]+Table_NFI[[#This Row],[Winter Clothes Children]]+Table_NFI[[#This Row],[Winter Items Other]]+Table_NFI[[#This Row],[Winter Blanket]]&gt;0,1,0)</f>
        <v>0</v>
      </c>
      <c r="AQ176" s="542"/>
      <c r="AR176" s="542"/>
      <c r="AS176" s="542"/>
      <c r="AT176" s="205" t="str">
        <f>IFERROR(VLOOKUP(Table_NFI[[#This Row],[Location]],CL,2,0),"")</f>
        <v/>
      </c>
      <c r="AU176" s="183"/>
    </row>
    <row r="177" spans="2:47" ht="18.75" customHeight="1" x14ac:dyDescent="0.3">
      <c r="B177" s="553">
        <v>43127</v>
      </c>
      <c r="C177" s="553" t="str">
        <f>MONTH(Table_NFI[[#This Row],[Distribution Date]]) &amp; "/" &amp; YEAR(Table_NFI[[#This Row],[Distribution Date]])</f>
        <v>1/2018</v>
      </c>
      <c r="D177" s="198" t="s">
        <v>462</v>
      </c>
      <c r="E177" s="198" t="s">
        <v>420</v>
      </c>
      <c r="F177" s="198" t="s">
        <v>378</v>
      </c>
      <c r="G177" s="197" t="s">
        <v>27</v>
      </c>
      <c r="H177" s="198" t="s">
        <v>28</v>
      </c>
      <c r="I177" s="183"/>
      <c r="J177" s="541"/>
      <c r="K177" s="541"/>
      <c r="L177" s="541"/>
      <c r="M177" s="541"/>
      <c r="N177" s="541"/>
      <c r="O177" s="541"/>
      <c r="P177" s="541"/>
      <c r="Q177" s="541"/>
      <c r="R177" s="541"/>
      <c r="S177" s="541"/>
      <c r="T177" s="541"/>
      <c r="U177" s="541">
        <v>284</v>
      </c>
      <c r="V177" s="541">
        <v>236</v>
      </c>
      <c r="W177" s="541"/>
      <c r="X177" s="541"/>
      <c r="Y177" s="541"/>
      <c r="Z177" s="541"/>
      <c r="AA177" s="541"/>
      <c r="AB177" s="541"/>
      <c r="AC177" s="542"/>
      <c r="AD177" s="542"/>
      <c r="AE177" s="542"/>
      <c r="AF177" s="542"/>
      <c r="AG177" s="542"/>
      <c r="AH177" s="542"/>
      <c r="AI177" s="542"/>
      <c r="AJ177" s="542"/>
      <c r="AK177" s="542"/>
      <c r="AL177" s="542"/>
      <c r="AM177" s="542"/>
      <c r="AN177" s="542"/>
      <c r="AO177" s="542"/>
      <c r="AP177" s="542">
        <f>IF(Table_NFI[[#This Row],[Winter Clothes Adult]]+Table_NFI[[#This Row],[Winter Clothes Children]]+Table_NFI[[#This Row],[Winter Items Other]]+Table_NFI[[#This Row],[Winter Blanket]]&gt;0,1,0)</f>
        <v>1</v>
      </c>
      <c r="AQ177" s="542"/>
      <c r="AR177" s="542"/>
      <c r="AS177" s="542"/>
      <c r="AT177" s="205" t="str">
        <f>IFERROR(VLOOKUP(Table_NFI[[#This Row],[Location]],CL,2,0),"")</f>
        <v>MMR001CMP042</v>
      </c>
      <c r="AU177" s="183"/>
    </row>
    <row r="178" spans="2:47" ht="18.75" customHeight="1" x14ac:dyDescent="0.3">
      <c r="B178" s="553">
        <v>43127</v>
      </c>
      <c r="C178" s="553" t="str">
        <f>MONTH(Table_NFI[[#This Row],[Distribution Date]]) &amp; "/" &amp; YEAR(Table_NFI[[#This Row],[Distribution Date]])</f>
        <v>1/2018</v>
      </c>
      <c r="D178" s="198" t="s">
        <v>462</v>
      </c>
      <c r="E178" s="198" t="s">
        <v>420</v>
      </c>
      <c r="F178" s="198" t="s">
        <v>378</v>
      </c>
      <c r="G178" s="197" t="s">
        <v>27</v>
      </c>
      <c r="H178" s="198" t="s">
        <v>363</v>
      </c>
      <c r="I178" s="183"/>
      <c r="J178" s="541"/>
      <c r="K178" s="541"/>
      <c r="L178" s="541"/>
      <c r="M178" s="541"/>
      <c r="N178" s="541"/>
      <c r="O178" s="541"/>
      <c r="P178" s="541"/>
      <c r="Q178" s="541"/>
      <c r="R178" s="541"/>
      <c r="S178" s="541"/>
      <c r="T178" s="541"/>
      <c r="U178" s="541">
        <v>295</v>
      </c>
      <c r="V178" s="541">
        <v>345</v>
      </c>
      <c r="W178" s="541"/>
      <c r="X178" s="541"/>
      <c r="Y178" s="541"/>
      <c r="Z178" s="541"/>
      <c r="AA178" s="541"/>
      <c r="AB178" s="541"/>
      <c r="AC178" s="542"/>
      <c r="AD178" s="542"/>
      <c r="AE178" s="542"/>
      <c r="AF178" s="542"/>
      <c r="AG178" s="542"/>
      <c r="AH178" s="542"/>
      <c r="AI178" s="542"/>
      <c r="AJ178" s="542"/>
      <c r="AK178" s="542"/>
      <c r="AL178" s="542"/>
      <c r="AM178" s="542"/>
      <c r="AN178" s="542"/>
      <c r="AO178" s="542"/>
      <c r="AP178" s="542">
        <f>IF(Table_NFI[[#This Row],[Winter Clothes Adult]]+Table_NFI[[#This Row],[Winter Clothes Children]]+Table_NFI[[#This Row],[Winter Items Other]]+Table_NFI[[#This Row],[Winter Blanket]]&gt;0,1,0)</f>
        <v>1</v>
      </c>
      <c r="AQ178" s="542"/>
      <c r="AR178" s="542"/>
      <c r="AS178" s="542"/>
      <c r="AT178" s="205" t="str">
        <f>IFERROR(VLOOKUP(Table_NFI[[#This Row],[Location]],CL,2,0),"")</f>
        <v>MMR001CMP195</v>
      </c>
      <c r="AU178" s="183"/>
    </row>
    <row r="179" spans="2:47" ht="18.75" customHeight="1" x14ac:dyDescent="0.3">
      <c r="B179" s="552">
        <v>43140</v>
      </c>
      <c r="C179" s="552" t="str">
        <f>MONTH(Table_NFI[[#This Row],[Distribution Date]]) &amp; "/" &amp; YEAR(Table_NFI[[#This Row],[Distribution Date]])</f>
        <v>2/2018</v>
      </c>
      <c r="D179" s="556" t="s">
        <v>1567</v>
      </c>
      <c r="E179" s="556" t="s">
        <v>1585</v>
      </c>
      <c r="F179" s="198" t="s">
        <v>506</v>
      </c>
      <c r="G179" s="197" t="s">
        <v>719</v>
      </c>
      <c r="H179" s="197" t="s">
        <v>1588</v>
      </c>
      <c r="I179" s="183"/>
      <c r="J179" s="541">
        <v>52</v>
      </c>
      <c r="K179" s="541"/>
      <c r="L179" s="541"/>
      <c r="M179" s="541"/>
      <c r="N179" s="541"/>
      <c r="O179" s="541"/>
      <c r="P179" s="541"/>
      <c r="Q179" s="541"/>
      <c r="R179" s="541"/>
      <c r="S179" s="541"/>
      <c r="T179" s="541"/>
      <c r="U179" s="541"/>
      <c r="V179" s="541"/>
      <c r="W179" s="541"/>
      <c r="X179" s="541"/>
      <c r="Y179" s="541"/>
      <c r="Z179" s="541"/>
      <c r="AA179" s="541"/>
      <c r="AB179" s="541"/>
      <c r="AC179" s="542"/>
      <c r="AD179" s="542"/>
      <c r="AE179" s="542"/>
      <c r="AF179" s="542"/>
      <c r="AG179" s="542"/>
      <c r="AH179" s="542"/>
      <c r="AI179" s="542"/>
      <c r="AJ179" s="542"/>
      <c r="AK179" s="542"/>
      <c r="AL179" s="542"/>
      <c r="AM179" s="542"/>
      <c r="AN179" s="542"/>
      <c r="AO179" s="542"/>
      <c r="AP179" s="542">
        <f>IF(Table_NFI[[#This Row],[Winter Clothes Adult]]+Table_NFI[[#This Row],[Winter Clothes Children]]+Table_NFI[[#This Row],[Winter Items Other]]+Table_NFI[[#This Row],[Winter Blanket]]&gt;0,1,0)</f>
        <v>0</v>
      </c>
      <c r="AQ179" s="542"/>
      <c r="AR179" s="542"/>
      <c r="AS179" s="542"/>
      <c r="AT179" s="205" t="str">
        <f>IFERROR(VLOOKUP(Table_NFI[[#This Row],[Location]],CL,2,0),"")</f>
        <v/>
      </c>
      <c r="AU179" s="183"/>
    </row>
    <row r="180" spans="2:47" ht="18.75" customHeight="1" x14ac:dyDescent="0.3">
      <c r="B180" s="552">
        <v>43140</v>
      </c>
      <c r="C180" s="552" t="str">
        <f>MONTH(Table_NFI[[#This Row],[Distribution Date]]) &amp; "/" &amp; YEAR(Table_NFI[[#This Row],[Distribution Date]])</f>
        <v>2/2018</v>
      </c>
      <c r="D180" s="556" t="s">
        <v>1567</v>
      </c>
      <c r="E180" s="556" t="s">
        <v>1585</v>
      </c>
      <c r="F180" s="198" t="s">
        <v>506</v>
      </c>
      <c r="G180" s="197" t="s">
        <v>719</v>
      </c>
      <c r="H180" s="197" t="s">
        <v>1589</v>
      </c>
      <c r="I180" s="183"/>
      <c r="J180" s="541">
        <v>13</v>
      </c>
      <c r="K180" s="541"/>
      <c r="L180" s="541"/>
      <c r="M180" s="541"/>
      <c r="N180" s="541"/>
      <c r="O180" s="541"/>
      <c r="P180" s="541"/>
      <c r="Q180" s="541"/>
      <c r="R180" s="541"/>
      <c r="S180" s="541"/>
      <c r="T180" s="541"/>
      <c r="U180" s="541"/>
      <c r="V180" s="541"/>
      <c r="W180" s="541"/>
      <c r="X180" s="541"/>
      <c r="Y180" s="541"/>
      <c r="Z180" s="541"/>
      <c r="AA180" s="541"/>
      <c r="AB180" s="541"/>
      <c r="AC180" s="542"/>
      <c r="AD180" s="542"/>
      <c r="AE180" s="542"/>
      <c r="AF180" s="542"/>
      <c r="AG180" s="542"/>
      <c r="AH180" s="542"/>
      <c r="AI180" s="542"/>
      <c r="AJ180" s="542"/>
      <c r="AK180" s="542"/>
      <c r="AL180" s="542"/>
      <c r="AM180" s="542"/>
      <c r="AN180" s="542"/>
      <c r="AO180" s="542"/>
      <c r="AP180" s="542">
        <f>IF(Table_NFI[[#This Row],[Winter Clothes Adult]]+Table_NFI[[#This Row],[Winter Clothes Children]]+Table_NFI[[#This Row],[Winter Items Other]]+Table_NFI[[#This Row],[Winter Blanket]]&gt;0,1,0)</f>
        <v>0</v>
      </c>
      <c r="AQ180" s="542"/>
      <c r="AR180" s="542"/>
      <c r="AS180" s="542"/>
      <c r="AT180" s="205" t="str">
        <f>IFERROR(VLOOKUP(Table_NFI[[#This Row],[Location]],CL,2,0),"")</f>
        <v/>
      </c>
      <c r="AU180" s="183"/>
    </row>
    <row r="181" spans="2:47" x14ac:dyDescent="0.3">
      <c r="B181" s="540">
        <v>43098</v>
      </c>
      <c r="C181" s="540" t="str">
        <f>MONTH(Table_NFI[[#This Row],[Distribution Date]]) &amp; "/" &amp; YEAR(Table_NFI[[#This Row],[Distribution Date]])</f>
        <v>12/2017</v>
      </c>
      <c r="D181" s="198" t="s">
        <v>1089</v>
      </c>
      <c r="E181" s="198" t="s">
        <v>1089</v>
      </c>
      <c r="F181" s="198" t="s">
        <v>378</v>
      </c>
      <c r="G181" s="197" t="s">
        <v>27</v>
      </c>
      <c r="H181" s="198" t="s">
        <v>790</v>
      </c>
      <c r="I181" s="183"/>
      <c r="J181" s="541"/>
      <c r="K181" s="541"/>
      <c r="L181" s="541"/>
      <c r="M181" s="541"/>
      <c r="N181" s="541"/>
      <c r="O181" s="541"/>
      <c r="P181" s="541">
        <v>270</v>
      </c>
      <c r="Q181" s="541"/>
      <c r="R181" s="541"/>
      <c r="S181" s="541"/>
      <c r="T181" s="541"/>
      <c r="U181" s="541">
        <v>95</v>
      </c>
      <c r="V181" s="541"/>
      <c r="W181" s="541"/>
      <c r="X181" s="541">
        <v>123</v>
      </c>
      <c r="Y181" s="541"/>
      <c r="Z181" s="541"/>
      <c r="AA181" s="541"/>
      <c r="AB181" s="541"/>
      <c r="AC181" s="542" t="e">
        <f>IF(NFI_Expiration=1,IF(#REF!&lt;VLOOKUP(L$5,NFI,5,0),1,0)*Table_NFI[[#This Row],[NFI Core Kit]],Table_NFI[NFI Core Kit])</f>
        <v>#REF!</v>
      </c>
      <c r="AD181" s="542" t="e">
        <f>IF(NFI_Expiration=1,IF(#REF!&lt;VLOOKUP(M$5,NFI,5,0),1,0)*Table_NFI[[#This Row],[Sanitary Kit]],Table_NFI[Sanitary Kit])</f>
        <v>#REF!</v>
      </c>
      <c r="AE181" s="542" t="e">
        <f>IF(NFI_Expiration=1,IF(#REF!&lt;VLOOKUP(N$5,NFI,5,0),1,0)*Table_NFI[[#This Row],[Mosquito net]],Table_NFI[Mosquito net])</f>
        <v>#REF!</v>
      </c>
      <c r="AF181" s="542" t="e">
        <f>IF(NFI_Expiration=1,IF(#REF!&lt;VLOOKUP(O$5,NFI,5,0),1,0)*Table_NFI[[#This Row],[Tarpaulin]],Table_NFI[[#This Row],[Tarpaulin]])</f>
        <v>#REF!</v>
      </c>
      <c r="AG181" s="542" t="e">
        <f>IF(NFI_Expiration=1,IF(#REF!&lt;VLOOKUP(P$5,NFI,5,0),1,0)*Table_NFI[[#This Row],[Blanket]],Table_NFI[[#This Row],[Blanket]])</f>
        <v>#REF!</v>
      </c>
      <c r="AH181" s="542" t="e">
        <f>IF(NFI_Expiration=1,IF(#REF!&lt;VLOOKUP(Q$5,NFI,5,0),1,0)*Table_NFI[[#This Row],[Kitchen Set]],Table_NFI[Kitchen Set])</f>
        <v>#REF!</v>
      </c>
      <c r="AI181" s="542" t="e">
        <f>IF(NFI_Expiration=1,IF(#REF!&lt;VLOOKUP(R$5,NFI,5,0),1,0)*Table_NFI[[#This Row],[Clothes Kit]],Table_NFI[Clothes Kit])</f>
        <v>#REF!</v>
      </c>
      <c r="AJ181" s="542" t="e">
        <f>IF(NFI_Expiration=1,IF(#REF!&lt;VLOOKUP(S$5,NFI,5,0),1,0)*Table_NFI[[#This Row],[Plastic Bucket]],Table_NFI[Plastic Bucket])</f>
        <v>#REF!</v>
      </c>
      <c r="AK181" s="542" t="e">
        <f>IF(NFI_Expiration=1,IF(#REF!&lt;VLOOKUP(T$5,NFI,5,0),1,0)*Table_NFI[[#This Row],[Plastic Mat]],Table_NFI[Plastic Mat])*IF(Table_NFI[[#This Row],[Distribution Date]]&gt;"2014-04-01",1,2.5)</f>
        <v>#REF!</v>
      </c>
      <c r="AL181" s="542" t="e">
        <f>IF(NFI_Expiration=1,IF(#REF!&lt;VLOOKUP(U$5,NFI,5,0),1,0)*Table_NFI[[#This Row],[Winter Clothes Adult]],Table_NFI[Winter Clothes Adult])</f>
        <v>#REF!</v>
      </c>
      <c r="AM181" s="542"/>
      <c r="AN181" s="542"/>
      <c r="AO181" s="542"/>
      <c r="AP181" s="542">
        <f>IF(Table_NFI[[#This Row],[Winter Clothes Adult]]+Table_NFI[[#This Row],[Winter Clothes Children]]+Table_NFI[[#This Row],[Winter Items Other]]+Table_NFI[[#This Row],[Winter Blanket]]&gt;0,1,0)</f>
        <v>1</v>
      </c>
      <c r="AQ181" s="542"/>
      <c r="AR181" s="542"/>
      <c r="AS181" s="542"/>
      <c r="AT181" s="205" t="str">
        <f>IFERROR(VLOOKUP(Table_NFI[[#This Row],[Location]],CL,2,0),"")</f>
        <v>MMR001CMP210</v>
      </c>
      <c r="AU181" s="183"/>
    </row>
    <row r="182" spans="2:47" x14ac:dyDescent="0.3">
      <c r="B182" s="540">
        <v>43098</v>
      </c>
      <c r="C182" s="540" t="str">
        <f>MONTH(Table_NFI[[#This Row],[Distribution Date]]) &amp; "/" &amp; YEAR(Table_NFI[[#This Row],[Distribution Date]])</f>
        <v>12/2017</v>
      </c>
      <c r="D182" s="198" t="s">
        <v>1089</v>
      </c>
      <c r="E182" s="198" t="s">
        <v>1089</v>
      </c>
      <c r="F182" s="198" t="s">
        <v>378</v>
      </c>
      <c r="G182" s="197" t="s">
        <v>27</v>
      </c>
      <c r="H182" s="198" t="s">
        <v>875</v>
      </c>
      <c r="I182" s="183"/>
      <c r="J182" s="541"/>
      <c r="K182" s="541"/>
      <c r="L182" s="541"/>
      <c r="M182" s="541"/>
      <c r="N182" s="541"/>
      <c r="O182" s="541"/>
      <c r="P182" s="541">
        <v>171</v>
      </c>
      <c r="Q182" s="541"/>
      <c r="R182" s="541"/>
      <c r="S182" s="541"/>
      <c r="T182" s="541"/>
      <c r="U182" s="541">
        <v>86</v>
      </c>
      <c r="V182" s="541"/>
      <c r="W182" s="541"/>
      <c r="X182" s="541">
        <v>60</v>
      </c>
      <c r="Y182" s="541"/>
      <c r="Z182" s="541"/>
      <c r="AA182" s="541"/>
      <c r="AB182" s="541"/>
      <c r="AC182" s="542" t="e">
        <f>IF(NFI_Expiration=1,IF(#REF!&lt;VLOOKUP(L$5,NFI,5,0),1,0)*Table_NFI[[#This Row],[NFI Core Kit]],Table_NFI[NFI Core Kit])</f>
        <v>#REF!</v>
      </c>
      <c r="AD182" s="542" t="e">
        <f>IF(NFI_Expiration=1,IF(#REF!&lt;VLOOKUP(M$5,NFI,5,0),1,0)*Table_NFI[[#This Row],[Sanitary Kit]],Table_NFI[Sanitary Kit])</f>
        <v>#REF!</v>
      </c>
      <c r="AE182" s="542" t="e">
        <f>IF(NFI_Expiration=1,IF(#REF!&lt;VLOOKUP(N$5,NFI,5,0),1,0)*Table_NFI[[#This Row],[Mosquito net]],Table_NFI[Mosquito net])</f>
        <v>#REF!</v>
      </c>
      <c r="AF182" s="542" t="e">
        <f>IF(NFI_Expiration=1,IF(#REF!&lt;VLOOKUP(O$5,NFI,5,0),1,0)*Table_NFI[[#This Row],[Tarpaulin]],Table_NFI[[#This Row],[Tarpaulin]])</f>
        <v>#REF!</v>
      </c>
      <c r="AG182" s="542" t="e">
        <f>IF(NFI_Expiration=1,IF(#REF!&lt;VLOOKUP(P$5,NFI,5,0),1,0)*Table_NFI[[#This Row],[Blanket]],Table_NFI[[#This Row],[Blanket]])</f>
        <v>#REF!</v>
      </c>
      <c r="AH182" s="542" t="e">
        <f>IF(NFI_Expiration=1,IF(#REF!&lt;VLOOKUP(Q$5,NFI,5,0),1,0)*Table_NFI[[#This Row],[Kitchen Set]],Table_NFI[Kitchen Set])</f>
        <v>#REF!</v>
      </c>
      <c r="AI182" s="542" t="e">
        <f>IF(NFI_Expiration=1,IF(#REF!&lt;VLOOKUP(R$5,NFI,5,0),1,0)*Table_NFI[[#This Row],[Clothes Kit]],Table_NFI[Clothes Kit])</f>
        <v>#REF!</v>
      </c>
      <c r="AJ182" s="542" t="e">
        <f>IF(NFI_Expiration=1,IF(#REF!&lt;VLOOKUP(S$5,NFI,5,0),1,0)*Table_NFI[[#This Row],[Plastic Bucket]],Table_NFI[Plastic Bucket])</f>
        <v>#REF!</v>
      </c>
      <c r="AK182" s="542" t="e">
        <f>IF(NFI_Expiration=1,IF(#REF!&lt;VLOOKUP(T$5,NFI,5,0),1,0)*Table_NFI[[#This Row],[Plastic Mat]],Table_NFI[Plastic Mat])*IF(Table_NFI[[#This Row],[Distribution Date]]&gt;"2014-04-01",1,2.5)</f>
        <v>#REF!</v>
      </c>
      <c r="AL182" s="542" t="e">
        <f>IF(NFI_Expiration=1,IF(#REF!&lt;VLOOKUP(U$5,NFI,5,0),1,0)*Table_NFI[[#This Row],[Winter Clothes Adult]],Table_NFI[Winter Clothes Adult])</f>
        <v>#REF!</v>
      </c>
      <c r="AM182" s="542"/>
      <c r="AN182" s="542"/>
      <c r="AO182" s="542"/>
      <c r="AP182" s="542">
        <f>IF(Table_NFI[[#This Row],[Winter Clothes Adult]]+Table_NFI[[#This Row],[Winter Clothes Children]]+Table_NFI[[#This Row],[Winter Items Other]]+Table_NFI[[#This Row],[Winter Blanket]]&gt;0,1,0)</f>
        <v>1</v>
      </c>
      <c r="AQ182" s="542"/>
      <c r="AR182" s="542"/>
      <c r="AS182" s="542"/>
      <c r="AT182" s="205" t="str">
        <f>IFERROR(VLOOKUP(Table_NFI[[#This Row],[Location]],CL,2,0),"")</f>
        <v>MMR001CMP225</v>
      </c>
      <c r="AU182" s="183"/>
    </row>
    <row r="183" spans="2:47" x14ac:dyDescent="0.3">
      <c r="B183" s="540">
        <v>43171</v>
      </c>
      <c r="C183" s="540" t="str">
        <f>MONTH(Table_NFI[[#This Row],[Distribution Date]]) &amp; "/" &amp; YEAR(Table_NFI[[#This Row],[Distribution Date]])</f>
        <v>3/2018</v>
      </c>
      <c r="D183" s="198" t="s">
        <v>1089</v>
      </c>
      <c r="E183" s="198" t="s">
        <v>1089</v>
      </c>
      <c r="F183" s="198" t="s">
        <v>378</v>
      </c>
      <c r="G183" s="197" t="s">
        <v>237</v>
      </c>
      <c r="H183" s="198" t="s">
        <v>272</v>
      </c>
      <c r="I183" s="183"/>
      <c r="J183" s="541"/>
      <c r="K183" s="541"/>
      <c r="L183" s="541">
        <v>9</v>
      </c>
      <c r="M183" s="541">
        <v>9</v>
      </c>
      <c r="N183" s="541">
        <v>18</v>
      </c>
      <c r="O183" s="541">
        <v>9</v>
      </c>
      <c r="P183" s="541">
        <v>28</v>
      </c>
      <c r="Q183" s="541">
        <v>9</v>
      </c>
      <c r="R183" s="541"/>
      <c r="S183" s="541">
        <v>9</v>
      </c>
      <c r="T183" s="541">
        <v>26</v>
      </c>
      <c r="U183" s="541"/>
      <c r="V183" s="541"/>
      <c r="W183" s="541"/>
      <c r="X183" s="541"/>
      <c r="Y183" s="541">
        <v>9</v>
      </c>
      <c r="Z183" s="541"/>
      <c r="AA183" s="541"/>
      <c r="AB183" s="541"/>
      <c r="AC183" s="542" t="e">
        <f>IF(NFI_Expiration=1,IF(#REF!&lt;VLOOKUP(L$5,NFI,5,0),1,0)*Table_NFI[[#This Row],[NFI Core Kit]],Table_NFI[NFI Core Kit])</f>
        <v>#REF!</v>
      </c>
      <c r="AD183" s="542" t="e">
        <f>IF(NFI_Expiration=1,IF(#REF!&lt;VLOOKUP(M$5,NFI,5,0),1,0)*Table_NFI[[#This Row],[Sanitary Kit]],Table_NFI[Sanitary Kit])</f>
        <v>#REF!</v>
      </c>
      <c r="AE183" s="542" t="e">
        <f>IF(NFI_Expiration=1,IF(#REF!&lt;VLOOKUP(N$5,NFI,5,0),1,0)*Table_NFI[[#This Row],[Mosquito net]],Table_NFI[Mosquito net])</f>
        <v>#REF!</v>
      </c>
      <c r="AF183" s="542" t="e">
        <f>IF(NFI_Expiration=1,IF(#REF!&lt;VLOOKUP(O$5,NFI,5,0),1,0)*Table_NFI[[#This Row],[Tarpaulin]],Table_NFI[[#This Row],[Tarpaulin]])</f>
        <v>#REF!</v>
      </c>
      <c r="AG183" s="542" t="e">
        <f>IF(NFI_Expiration=1,IF(#REF!&lt;VLOOKUP(P$5,NFI,5,0),1,0)*Table_NFI[[#This Row],[Blanket]],Table_NFI[[#This Row],[Blanket]])</f>
        <v>#REF!</v>
      </c>
      <c r="AH183" s="542" t="e">
        <f>IF(NFI_Expiration=1,IF(#REF!&lt;VLOOKUP(Q$5,NFI,5,0),1,0)*Table_NFI[[#This Row],[Kitchen Set]],Table_NFI[Kitchen Set])</f>
        <v>#REF!</v>
      </c>
      <c r="AI183" s="542" t="e">
        <f>IF(NFI_Expiration=1,IF(#REF!&lt;VLOOKUP(R$5,NFI,5,0),1,0)*Table_NFI[[#This Row],[Clothes Kit]],Table_NFI[Clothes Kit])</f>
        <v>#REF!</v>
      </c>
      <c r="AJ183" s="542" t="e">
        <f>IF(NFI_Expiration=1,IF(#REF!&lt;VLOOKUP(S$5,NFI,5,0),1,0)*Table_NFI[[#This Row],[Plastic Bucket]],Table_NFI[Plastic Bucket])</f>
        <v>#REF!</v>
      </c>
      <c r="AK183" s="542" t="e">
        <f>IF(NFI_Expiration=1,IF(#REF!&lt;VLOOKUP(T$5,NFI,5,0),1,0)*Table_NFI[[#This Row],[Plastic Mat]],Table_NFI[Plastic Mat])*IF(Table_NFI[[#This Row],[Distribution Date]]&gt;"2014-04-01",1,2.5)</f>
        <v>#REF!</v>
      </c>
      <c r="AL183" s="542" t="e">
        <f>IF(NFI_Expiration=1,IF(#REF!&lt;VLOOKUP(U$5,NFI,5,0),1,0)*Table_NFI[[#This Row],[Winter Clothes Adult]],Table_NFI[Winter Clothes Adult])</f>
        <v>#REF!</v>
      </c>
      <c r="AM183" s="542"/>
      <c r="AN183" s="542"/>
      <c r="AO183" s="542"/>
      <c r="AP183" s="542">
        <f>IF(Table_NFI[[#This Row],[Winter Clothes Adult]]+Table_NFI[[#This Row],[Winter Clothes Children]]+Table_NFI[[#This Row],[Winter Items Other]]+Table_NFI[[#This Row],[Winter Blanket]]&gt;0,1,0)</f>
        <v>0</v>
      </c>
      <c r="AQ183" s="542"/>
      <c r="AR183" s="542"/>
      <c r="AS183" s="542"/>
      <c r="AT183" s="205" t="str">
        <f>IFERROR(VLOOKUP(Table_NFI[[#This Row],[Location]],CL,2,0),"")</f>
        <v>MMR001CMP162</v>
      </c>
      <c r="AU183" s="183"/>
    </row>
    <row r="184" spans="2:47" x14ac:dyDescent="0.3">
      <c r="B184" s="540">
        <v>43165</v>
      </c>
      <c r="C184" s="540" t="str">
        <f>MONTH(Table_NFI[[#This Row],[Distribution Date]]) &amp; "/" &amp; YEAR(Table_NFI[[#This Row],[Distribution Date]])</f>
        <v>3/2018</v>
      </c>
      <c r="D184" s="198" t="s">
        <v>1089</v>
      </c>
      <c r="E184" s="198" t="s">
        <v>1089</v>
      </c>
      <c r="F184" s="198" t="s">
        <v>378</v>
      </c>
      <c r="G184" s="197" t="s">
        <v>309</v>
      </c>
      <c r="H184" s="198" t="s">
        <v>329</v>
      </c>
      <c r="I184" s="183"/>
      <c r="J184" s="541"/>
      <c r="K184" s="541"/>
      <c r="L184" s="541"/>
      <c r="M184" s="541"/>
      <c r="N184" s="541"/>
      <c r="O184" s="541"/>
      <c r="P184" s="541"/>
      <c r="Q184" s="541"/>
      <c r="R184" s="541"/>
      <c r="S184" s="541"/>
      <c r="T184" s="541"/>
      <c r="U184" s="541"/>
      <c r="V184" s="541"/>
      <c r="W184" s="541">
        <v>1473</v>
      </c>
      <c r="X184" s="541"/>
      <c r="Y184" s="541"/>
      <c r="Z184" s="541"/>
      <c r="AA184" s="541"/>
      <c r="AB184" s="541"/>
      <c r="AC184" s="542" t="e">
        <f>IF(NFI_Expiration=1,IF(#REF!&lt;VLOOKUP(L$5,NFI,5,0),1,0)*Table_NFI[[#This Row],[NFI Core Kit]],Table_NFI[NFI Core Kit])</f>
        <v>#REF!</v>
      </c>
      <c r="AD184" s="542" t="e">
        <f>IF(NFI_Expiration=1,IF(#REF!&lt;VLOOKUP(M$5,NFI,5,0),1,0)*Table_NFI[[#This Row],[Sanitary Kit]],Table_NFI[Sanitary Kit])</f>
        <v>#REF!</v>
      </c>
      <c r="AE184" s="542" t="e">
        <f>IF(NFI_Expiration=1,IF(#REF!&lt;VLOOKUP(N$5,NFI,5,0),1,0)*Table_NFI[[#This Row],[Mosquito net]],Table_NFI[Mosquito net])</f>
        <v>#REF!</v>
      </c>
      <c r="AF184" s="542" t="e">
        <f>IF(NFI_Expiration=1,IF(#REF!&lt;VLOOKUP(O$5,NFI,5,0),1,0)*Table_NFI[[#This Row],[Tarpaulin]],Table_NFI[[#This Row],[Tarpaulin]])</f>
        <v>#REF!</v>
      </c>
      <c r="AG184" s="542" t="e">
        <f>IF(NFI_Expiration=1,IF(#REF!&lt;VLOOKUP(P$5,NFI,5,0),1,0)*Table_NFI[[#This Row],[Blanket]],Table_NFI[[#This Row],[Blanket]])</f>
        <v>#REF!</v>
      </c>
      <c r="AH184" s="542" t="e">
        <f>IF(NFI_Expiration=1,IF(#REF!&lt;VLOOKUP(Q$5,NFI,5,0),1,0)*Table_NFI[[#This Row],[Kitchen Set]],Table_NFI[Kitchen Set])</f>
        <v>#REF!</v>
      </c>
      <c r="AI184" s="542" t="e">
        <f>IF(NFI_Expiration=1,IF(#REF!&lt;VLOOKUP(R$5,NFI,5,0),1,0)*Table_NFI[[#This Row],[Clothes Kit]],Table_NFI[Clothes Kit])</f>
        <v>#REF!</v>
      </c>
      <c r="AJ184" s="542" t="e">
        <f>IF(NFI_Expiration=1,IF(#REF!&lt;VLOOKUP(S$5,NFI,5,0),1,0)*Table_NFI[[#This Row],[Plastic Bucket]],Table_NFI[Plastic Bucket])</f>
        <v>#REF!</v>
      </c>
      <c r="AK184" s="542" t="e">
        <f>IF(NFI_Expiration=1,IF(#REF!&lt;VLOOKUP(T$5,NFI,5,0),1,0)*Table_NFI[[#This Row],[Plastic Mat]],Table_NFI[Plastic Mat])*IF(Table_NFI[[#This Row],[Distribution Date]]&gt;"2014-04-01",1,2.5)</f>
        <v>#REF!</v>
      </c>
      <c r="AL184" s="542" t="e">
        <f>IF(NFI_Expiration=1,IF(#REF!&lt;VLOOKUP(U$5,NFI,5,0),1,0)*Table_NFI[[#This Row],[Winter Clothes Adult]],Table_NFI[Winter Clothes Adult])</f>
        <v>#REF!</v>
      </c>
      <c r="AM184" s="542"/>
      <c r="AN184" s="542"/>
      <c r="AO184" s="542"/>
      <c r="AP184" s="542">
        <f>IF(Table_NFI[[#This Row],[Winter Clothes Adult]]+Table_NFI[[#This Row],[Winter Clothes Children]]+Table_NFI[[#This Row],[Winter Items Other]]+Table_NFI[[#This Row],[Winter Blanket]]&gt;0,1,0)</f>
        <v>1</v>
      </c>
      <c r="AQ184" s="542"/>
      <c r="AR184" s="542"/>
      <c r="AS184" s="542"/>
      <c r="AT184" s="205" t="str">
        <f>IFERROR(VLOOKUP(Table_NFI[[#This Row],[Location]],CL,2,0),"")</f>
        <v>MMR001CMP029</v>
      </c>
      <c r="AU184" s="183"/>
    </row>
    <row r="185" spans="2:47" x14ac:dyDescent="0.3">
      <c r="B185" s="540">
        <v>43109</v>
      </c>
      <c r="C185" s="540" t="str">
        <f>MONTH(Table_NFI[[#This Row],[Distribution Date]]) &amp; "/" &amp; YEAR(Table_NFI[[#This Row],[Distribution Date]])</f>
        <v>1/2018</v>
      </c>
      <c r="D185" s="198" t="s">
        <v>1461</v>
      </c>
      <c r="E185" s="198"/>
      <c r="F185" s="198" t="s">
        <v>506</v>
      </c>
      <c r="G185" s="197" t="s">
        <v>297</v>
      </c>
      <c r="H185" s="198" t="s">
        <v>759</v>
      </c>
      <c r="I185" s="183">
        <v>1</v>
      </c>
      <c r="J185" s="541"/>
      <c r="K185" s="541"/>
      <c r="L185" s="541"/>
      <c r="M185" s="541"/>
      <c r="N185" s="541"/>
      <c r="O185" s="541"/>
      <c r="P185" s="541"/>
      <c r="Q185" s="541"/>
      <c r="R185" s="541"/>
      <c r="S185" s="541"/>
      <c r="T185" s="541"/>
      <c r="U185" s="541"/>
      <c r="V185" s="541"/>
      <c r="W185" s="541"/>
      <c r="X185" s="541"/>
      <c r="Y185" s="541"/>
      <c r="Z185" s="541"/>
      <c r="AA185" s="541"/>
      <c r="AB185" s="541"/>
      <c r="AC185" s="542" t="e">
        <f>IF(NFI_Expiration=1,IF(#REF!&lt;VLOOKUP(L$5,NFI,5,0),1,0)*Table_NFI[[#This Row],[NFI Core Kit]],Table_NFI[NFI Core Kit])</f>
        <v>#REF!</v>
      </c>
      <c r="AD185" s="542" t="e">
        <f>IF(NFI_Expiration=1,IF(#REF!&lt;VLOOKUP(M$5,NFI,5,0),1,0)*Table_NFI[[#This Row],[Sanitary Kit]],Table_NFI[Sanitary Kit])</f>
        <v>#REF!</v>
      </c>
      <c r="AE185" s="542" t="e">
        <f>IF(NFI_Expiration=1,IF(#REF!&lt;VLOOKUP(N$5,NFI,5,0),1,0)*Table_NFI[[#This Row],[Mosquito net]],Table_NFI[Mosquito net])</f>
        <v>#REF!</v>
      </c>
      <c r="AF185" s="542" t="e">
        <f>IF(NFI_Expiration=1,IF(#REF!&lt;VLOOKUP(O$5,NFI,5,0),1,0)*Table_NFI[[#This Row],[Tarpaulin]],Table_NFI[[#This Row],[Tarpaulin]])</f>
        <v>#REF!</v>
      </c>
      <c r="AG185" s="542" t="e">
        <f>IF(NFI_Expiration=1,IF(#REF!&lt;VLOOKUP(P$5,NFI,5,0),1,0)*Table_NFI[[#This Row],[Blanket]],Table_NFI[[#This Row],[Blanket]])</f>
        <v>#REF!</v>
      </c>
      <c r="AH185" s="542" t="e">
        <f>IF(NFI_Expiration=1,IF(#REF!&lt;VLOOKUP(Q$5,NFI,5,0),1,0)*Table_NFI[[#This Row],[Kitchen Set]],Table_NFI[Kitchen Set])</f>
        <v>#REF!</v>
      </c>
      <c r="AI185" s="542" t="e">
        <f>IF(NFI_Expiration=1,IF(#REF!&lt;VLOOKUP(R$5,NFI,5,0),1,0)*Table_NFI[[#This Row],[Clothes Kit]],Table_NFI[Clothes Kit])</f>
        <v>#REF!</v>
      </c>
      <c r="AJ185" s="542" t="e">
        <f>IF(NFI_Expiration=1,IF(#REF!&lt;VLOOKUP(S$5,NFI,5,0),1,0)*Table_NFI[[#This Row],[Plastic Bucket]],Table_NFI[Plastic Bucket])</f>
        <v>#REF!</v>
      </c>
      <c r="AK185" s="542" t="e">
        <f>IF(NFI_Expiration=1,IF(#REF!&lt;VLOOKUP(T$5,NFI,5,0),1,0)*Table_NFI[[#This Row],[Plastic Mat]],Table_NFI[Plastic Mat])*IF(Table_NFI[[#This Row],[Distribution Date]]&gt;"2014-04-01",1,2.5)</f>
        <v>#REF!</v>
      </c>
      <c r="AL185" s="542" t="e">
        <f>IF(NFI_Expiration=1,IF(#REF!&lt;VLOOKUP(U$5,NFI,5,0),1,0)*Table_NFI[[#This Row],[Winter Clothes Adult]],Table_NFI[Winter Clothes Adult])</f>
        <v>#REF!</v>
      </c>
      <c r="AM185" s="542"/>
      <c r="AN185" s="542"/>
      <c r="AO185" s="542"/>
      <c r="AP185" s="542">
        <f>IF(Table_NFI[[#This Row],[Winter Clothes Adult]]+Table_NFI[[#This Row],[Winter Clothes Children]]+Table_NFI[[#This Row],[Winter Items Other]]+Table_NFI[[#This Row],[Winter Blanket]]&gt;0,1,0)</f>
        <v>0</v>
      </c>
      <c r="AQ185" s="542"/>
      <c r="AR185" s="542"/>
      <c r="AS185" s="542"/>
      <c r="AT185" s="205" t="str">
        <f>IFERROR(VLOOKUP(Table_NFI[[#This Row],[Location]],CL,2,0),"")</f>
        <v>MMR015CMP014</v>
      </c>
      <c r="AU185" s="183"/>
    </row>
    <row r="186" spans="2:47" x14ac:dyDescent="0.3">
      <c r="B186" s="540">
        <v>43109</v>
      </c>
      <c r="C186" s="540" t="str">
        <f>MONTH(Table_NFI[[#This Row],[Distribution Date]]) &amp; "/" &amp; YEAR(Table_NFI[[#This Row],[Distribution Date]])</f>
        <v>1/2018</v>
      </c>
      <c r="D186" s="198" t="s">
        <v>1461</v>
      </c>
      <c r="E186" s="198"/>
      <c r="F186" s="198" t="s">
        <v>506</v>
      </c>
      <c r="G186" s="197" t="s">
        <v>297</v>
      </c>
      <c r="H186" s="198" t="s">
        <v>1191</v>
      </c>
      <c r="I186" s="183">
        <v>1</v>
      </c>
      <c r="J186" s="541"/>
      <c r="K186" s="541"/>
      <c r="L186" s="541"/>
      <c r="M186" s="541"/>
      <c r="N186" s="541"/>
      <c r="O186" s="541"/>
      <c r="P186" s="541"/>
      <c r="Q186" s="541"/>
      <c r="R186" s="541"/>
      <c r="S186" s="541"/>
      <c r="T186" s="541"/>
      <c r="U186" s="541"/>
      <c r="V186" s="541"/>
      <c r="W186" s="541"/>
      <c r="X186" s="541"/>
      <c r="Y186" s="541"/>
      <c r="Z186" s="541"/>
      <c r="AA186" s="541"/>
      <c r="AB186" s="541"/>
      <c r="AC186" s="542" t="e">
        <f>IF(NFI_Expiration=1,IF(#REF!&lt;VLOOKUP(L$5,NFI,5,0),1,0)*Table_NFI[[#This Row],[NFI Core Kit]],Table_NFI[NFI Core Kit])</f>
        <v>#REF!</v>
      </c>
      <c r="AD186" s="542" t="e">
        <f>IF(NFI_Expiration=1,IF(#REF!&lt;VLOOKUP(M$5,NFI,5,0),1,0)*Table_NFI[[#This Row],[Sanitary Kit]],Table_NFI[Sanitary Kit])</f>
        <v>#REF!</v>
      </c>
      <c r="AE186" s="542" t="e">
        <f>IF(NFI_Expiration=1,IF(#REF!&lt;VLOOKUP(N$5,NFI,5,0),1,0)*Table_NFI[[#This Row],[Mosquito net]],Table_NFI[Mosquito net])</f>
        <v>#REF!</v>
      </c>
      <c r="AF186" s="542" t="e">
        <f>IF(NFI_Expiration=1,IF(#REF!&lt;VLOOKUP(O$5,NFI,5,0),1,0)*Table_NFI[[#This Row],[Tarpaulin]],Table_NFI[[#This Row],[Tarpaulin]])</f>
        <v>#REF!</v>
      </c>
      <c r="AG186" s="542" t="e">
        <f>IF(NFI_Expiration=1,IF(#REF!&lt;VLOOKUP(P$5,NFI,5,0),1,0)*Table_NFI[[#This Row],[Blanket]],Table_NFI[[#This Row],[Blanket]])</f>
        <v>#REF!</v>
      </c>
      <c r="AH186" s="542" t="e">
        <f>IF(NFI_Expiration=1,IF(#REF!&lt;VLOOKUP(Q$5,NFI,5,0),1,0)*Table_NFI[[#This Row],[Kitchen Set]],Table_NFI[Kitchen Set])</f>
        <v>#REF!</v>
      </c>
      <c r="AI186" s="542" t="e">
        <f>IF(NFI_Expiration=1,IF(#REF!&lt;VLOOKUP(R$5,NFI,5,0),1,0)*Table_NFI[[#This Row],[Clothes Kit]],Table_NFI[Clothes Kit])</f>
        <v>#REF!</v>
      </c>
      <c r="AJ186" s="542" t="e">
        <f>IF(NFI_Expiration=1,IF(#REF!&lt;VLOOKUP(S$5,NFI,5,0),1,0)*Table_NFI[[#This Row],[Plastic Bucket]],Table_NFI[Plastic Bucket])</f>
        <v>#REF!</v>
      </c>
      <c r="AK186" s="542" t="e">
        <f>IF(NFI_Expiration=1,IF(#REF!&lt;VLOOKUP(T$5,NFI,5,0),1,0)*Table_NFI[[#This Row],[Plastic Mat]],Table_NFI[Plastic Mat])*IF(Table_NFI[[#This Row],[Distribution Date]]&gt;"2014-04-01",1,2.5)</f>
        <v>#REF!</v>
      </c>
      <c r="AL186" s="542" t="e">
        <f>IF(NFI_Expiration=1,IF(#REF!&lt;VLOOKUP(U$5,NFI,5,0),1,0)*Table_NFI[[#This Row],[Winter Clothes Adult]],Table_NFI[Winter Clothes Adult])</f>
        <v>#REF!</v>
      </c>
      <c r="AM186" s="542"/>
      <c r="AN186" s="542"/>
      <c r="AO186" s="542"/>
      <c r="AP186" s="542">
        <f>IF(Table_NFI[[#This Row],[Winter Clothes Adult]]+Table_NFI[[#This Row],[Winter Clothes Children]]+Table_NFI[[#This Row],[Winter Items Other]]+Table_NFI[[#This Row],[Winter Blanket]]&gt;0,1,0)</f>
        <v>0</v>
      </c>
      <c r="AQ186" s="542"/>
      <c r="AR186" s="542"/>
      <c r="AS186" s="542"/>
      <c r="AT186" s="205" t="str">
        <f>IFERROR(VLOOKUP(Table_NFI[[#This Row],[Location]],CL,2,0),"")</f>
        <v>MMR015CMP232</v>
      </c>
      <c r="AU186" s="183" t="s">
        <v>541</v>
      </c>
    </row>
    <row r="187" spans="2:47" x14ac:dyDescent="0.3">
      <c r="B187" s="540">
        <v>43109</v>
      </c>
      <c r="C187" s="540" t="str">
        <f>MONTH(Table_NFI[[#This Row],[Distribution Date]]) &amp; "/" &amp; YEAR(Table_NFI[[#This Row],[Distribution Date]])</f>
        <v>1/2018</v>
      </c>
      <c r="D187" s="198" t="s">
        <v>1461</v>
      </c>
      <c r="E187" s="198"/>
      <c r="F187" s="198" t="s">
        <v>378</v>
      </c>
      <c r="G187" s="197" t="s">
        <v>151</v>
      </c>
      <c r="H187" s="198" t="s">
        <v>154</v>
      </c>
      <c r="I187" s="183"/>
      <c r="J187" s="541">
        <v>3</v>
      </c>
      <c r="K187" s="541"/>
      <c r="L187" s="541"/>
      <c r="M187" s="541"/>
      <c r="N187" s="541"/>
      <c r="O187" s="541"/>
      <c r="P187" s="541"/>
      <c r="Q187" s="541">
        <v>3</v>
      </c>
      <c r="R187" s="541"/>
      <c r="S187" s="541"/>
      <c r="T187" s="541"/>
      <c r="U187" s="541">
        <v>3</v>
      </c>
      <c r="V187" s="541">
        <v>3</v>
      </c>
      <c r="W187" s="541">
        <v>3</v>
      </c>
      <c r="X187" s="541"/>
      <c r="Y187" s="541"/>
      <c r="Z187" s="541"/>
      <c r="AA187" s="541"/>
      <c r="AB187" s="541"/>
      <c r="AC187" s="542" t="e">
        <f>IF(NFI_Expiration=1,IF(#REF!&lt;VLOOKUP(L$5,NFI,5,0),1,0)*Table_NFI[[#This Row],[NFI Core Kit]],Table_NFI[NFI Core Kit])</f>
        <v>#REF!</v>
      </c>
      <c r="AD187" s="542" t="e">
        <f>IF(NFI_Expiration=1,IF(#REF!&lt;VLOOKUP(M$5,NFI,5,0),1,0)*Table_NFI[[#This Row],[Sanitary Kit]],Table_NFI[Sanitary Kit])</f>
        <v>#REF!</v>
      </c>
      <c r="AE187" s="542" t="e">
        <f>IF(NFI_Expiration=1,IF(#REF!&lt;VLOOKUP(N$5,NFI,5,0),1,0)*Table_NFI[[#This Row],[Mosquito net]],Table_NFI[Mosquito net])</f>
        <v>#REF!</v>
      </c>
      <c r="AF187" s="542" t="e">
        <f>IF(NFI_Expiration=1,IF(#REF!&lt;VLOOKUP(O$5,NFI,5,0),1,0)*Table_NFI[[#This Row],[Tarpaulin]],Table_NFI[[#This Row],[Tarpaulin]])</f>
        <v>#REF!</v>
      </c>
      <c r="AG187" s="542" t="e">
        <f>IF(NFI_Expiration=1,IF(#REF!&lt;VLOOKUP(P$5,NFI,5,0),1,0)*Table_NFI[[#This Row],[Blanket]],Table_NFI[[#This Row],[Blanket]])</f>
        <v>#REF!</v>
      </c>
      <c r="AH187" s="542" t="e">
        <f>IF(NFI_Expiration=1,IF(#REF!&lt;VLOOKUP(Q$5,NFI,5,0),1,0)*Table_NFI[[#This Row],[Kitchen Set]],Table_NFI[Kitchen Set])</f>
        <v>#REF!</v>
      </c>
      <c r="AI187" s="542" t="e">
        <f>IF(NFI_Expiration=1,IF(#REF!&lt;VLOOKUP(R$5,NFI,5,0),1,0)*Table_NFI[[#This Row],[Clothes Kit]],Table_NFI[Clothes Kit])</f>
        <v>#REF!</v>
      </c>
      <c r="AJ187" s="542" t="e">
        <f>IF(NFI_Expiration=1,IF(#REF!&lt;VLOOKUP(S$5,NFI,5,0),1,0)*Table_NFI[[#This Row],[Plastic Bucket]],Table_NFI[Plastic Bucket])</f>
        <v>#REF!</v>
      </c>
      <c r="AK187" s="542" t="e">
        <f>IF(NFI_Expiration=1,IF(#REF!&lt;VLOOKUP(T$5,NFI,5,0),1,0)*Table_NFI[[#This Row],[Plastic Mat]],Table_NFI[Plastic Mat])*IF(Table_NFI[[#This Row],[Distribution Date]]&gt;"2014-04-01",1,2.5)</f>
        <v>#REF!</v>
      </c>
      <c r="AL187" s="542" t="e">
        <f>IF(NFI_Expiration=1,IF(#REF!&lt;VLOOKUP(U$5,NFI,5,0),1,0)*Table_NFI[[#This Row],[Winter Clothes Adult]],Table_NFI[Winter Clothes Adult])</f>
        <v>#REF!</v>
      </c>
      <c r="AM187" s="542"/>
      <c r="AN187" s="542"/>
      <c r="AO187" s="542"/>
      <c r="AP187" s="542">
        <f>IF(Table_NFI[[#This Row],[Winter Clothes Adult]]+Table_NFI[[#This Row],[Winter Clothes Children]]+Table_NFI[[#This Row],[Winter Items Other]]+Table_NFI[[#This Row],[Winter Blanket]]&gt;0,1,0)</f>
        <v>1</v>
      </c>
      <c r="AQ187" s="542"/>
      <c r="AR187" s="542"/>
      <c r="AS187" s="542"/>
      <c r="AT187" s="205" t="str">
        <f>IFERROR(VLOOKUP(Table_NFI[[#This Row],[Location]],CL,2,0),"")</f>
        <v>MMR001CMP132</v>
      </c>
      <c r="AU187" s="183"/>
    </row>
    <row r="188" spans="2:47" x14ac:dyDescent="0.3">
      <c r="B188" s="540">
        <v>43111</v>
      </c>
      <c r="C188" s="540" t="str">
        <f>MONTH(Table_NFI[[#This Row],[Distribution Date]]) &amp; "/" &amp; YEAR(Table_NFI[[#This Row],[Distribution Date]])</f>
        <v>1/2018</v>
      </c>
      <c r="D188" s="198" t="s">
        <v>1461</v>
      </c>
      <c r="E188" s="198"/>
      <c r="F188" s="198" t="s">
        <v>506</v>
      </c>
      <c r="G188" s="197" t="s">
        <v>297</v>
      </c>
      <c r="H188" s="198" t="s">
        <v>1278</v>
      </c>
      <c r="I188" s="183">
        <v>1</v>
      </c>
      <c r="J188" s="541"/>
      <c r="K188" s="541"/>
      <c r="L188" s="541"/>
      <c r="M188" s="541"/>
      <c r="N188" s="541"/>
      <c r="O188" s="541"/>
      <c r="P188" s="541"/>
      <c r="Q188" s="541"/>
      <c r="R188" s="541"/>
      <c r="S188" s="541"/>
      <c r="T188" s="541"/>
      <c r="U188" s="541"/>
      <c r="V188" s="541"/>
      <c r="W188" s="541"/>
      <c r="X188" s="541"/>
      <c r="Y188" s="541"/>
      <c r="Z188" s="541"/>
      <c r="AA188" s="541"/>
      <c r="AB188" s="541"/>
      <c r="AC188" s="542" t="e">
        <f>IF(NFI_Expiration=1,IF(#REF!&lt;VLOOKUP(L$5,NFI,5,0),1,0)*Table_NFI[[#This Row],[NFI Core Kit]],Table_NFI[NFI Core Kit])</f>
        <v>#REF!</v>
      </c>
      <c r="AD188" s="542" t="e">
        <f>IF(NFI_Expiration=1,IF(#REF!&lt;VLOOKUP(M$5,NFI,5,0),1,0)*Table_NFI[[#This Row],[Sanitary Kit]],Table_NFI[Sanitary Kit])</f>
        <v>#REF!</v>
      </c>
      <c r="AE188" s="542" t="e">
        <f>IF(NFI_Expiration=1,IF(#REF!&lt;VLOOKUP(N$5,NFI,5,0),1,0)*Table_NFI[[#This Row],[Mosquito net]],Table_NFI[Mosquito net])</f>
        <v>#REF!</v>
      </c>
      <c r="AF188" s="542" t="e">
        <f>IF(NFI_Expiration=1,IF(#REF!&lt;VLOOKUP(O$5,NFI,5,0),1,0)*Table_NFI[[#This Row],[Tarpaulin]],Table_NFI[[#This Row],[Tarpaulin]])</f>
        <v>#REF!</v>
      </c>
      <c r="AG188" s="542" t="e">
        <f>IF(NFI_Expiration=1,IF(#REF!&lt;VLOOKUP(P$5,NFI,5,0),1,0)*Table_NFI[[#This Row],[Blanket]],Table_NFI[[#This Row],[Blanket]])</f>
        <v>#REF!</v>
      </c>
      <c r="AH188" s="542" t="e">
        <f>IF(NFI_Expiration=1,IF(#REF!&lt;VLOOKUP(Q$5,NFI,5,0),1,0)*Table_NFI[[#This Row],[Kitchen Set]],Table_NFI[Kitchen Set])</f>
        <v>#REF!</v>
      </c>
      <c r="AI188" s="542" t="e">
        <f>IF(NFI_Expiration=1,IF(#REF!&lt;VLOOKUP(R$5,NFI,5,0),1,0)*Table_NFI[[#This Row],[Clothes Kit]],Table_NFI[Clothes Kit])</f>
        <v>#REF!</v>
      </c>
      <c r="AJ188" s="542" t="e">
        <f>IF(NFI_Expiration=1,IF(#REF!&lt;VLOOKUP(S$5,NFI,5,0),1,0)*Table_NFI[[#This Row],[Plastic Bucket]],Table_NFI[Plastic Bucket])</f>
        <v>#REF!</v>
      </c>
      <c r="AK188" s="542" t="e">
        <f>IF(NFI_Expiration=1,IF(#REF!&lt;VLOOKUP(T$5,NFI,5,0),1,0)*Table_NFI[[#This Row],[Plastic Mat]],Table_NFI[Plastic Mat])*IF(Table_NFI[[#This Row],[Distribution Date]]&gt;"2014-04-01",1,2.5)</f>
        <v>#REF!</v>
      </c>
      <c r="AL188" s="542" t="e">
        <f>IF(NFI_Expiration=1,IF(#REF!&lt;VLOOKUP(U$5,NFI,5,0),1,0)*Table_NFI[[#This Row],[Winter Clothes Adult]],Table_NFI[Winter Clothes Adult])</f>
        <v>#REF!</v>
      </c>
      <c r="AM188" s="542"/>
      <c r="AN188" s="542"/>
      <c r="AO188" s="542"/>
      <c r="AP188" s="542">
        <f>IF(Table_NFI[[#This Row],[Winter Clothes Adult]]+Table_NFI[[#This Row],[Winter Clothes Children]]+Table_NFI[[#This Row],[Winter Items Other]]+Table_NFI[[#This Row],[Winter Blanket]]&gt;0,1,0)</f>
        <v>0</v>
      </c>
      <c r="AQ188" s="542"/>
      <c r="AR188" s="542"/>
      <c r="AS188" s="542"/>
      <c r="AT188" s="205" t="str">
        <f>IFERROR(VLOOKUP(Table_NFI[[#This Row],[Location]],CL,2,0),"")</f>
        <v>MMR015CMP248</v>
      </c>
      <c r="AU188" s="183"/>
    </row>
    <row r="189" spans="2:47" x14ac:dyDescent="0.3">
      <c r="B189" s="540">
        <v>43112</v>
      </c>
      <c r="C189" s="540" t="str">
        <f>MONTH(Table_NFI[[#This Row],[Distribution Date]]) &amp; "/" &amp; YEAR(Table_NFI[[#This Row],[Distribution Date]])</f>
        <v>1/2018</v>
      </c>
      <c r="D189" s="198" t="s">
        <v>1461</v>
      </c>
      <c r="E189" s="198"/>
      <c r="F189" s="198" t="s">
        <v>506</v>
      </c>
      <c r="G189" s="197" t="s">
        <v>297</v>
      </c>
      <c r="H189" s="198" t="s">
        <v>759</v>
      </c>
      <c r="I189" s="183">
        <v>1</v>
      </c>
      <c r="J189" s="541"/>
      <c r="K189" s="541"/>
      <c r="L189" s="541"/>
      <c r="M189" s="541"/>
      <c r="N189" s="541"/>
      <c r="O189" s="541"/>
      <c r="P189" s="541"/>
      <c r="Q189" s="541"/>
      <c r="R189" s="541"/>
      <c r="S189" s="541"/>
      <c r="T189" s="541"/>
      <c r="U189" s="541"/>
      <c r="V189" s="541"/>
      <c r="W189" s="541"/>
      <c r="X189" s="541"/>
      <c r="Y189" s="541"/>
      <c r="Z189" s="541"/>
      <c r="AA189" s="541"/>
      <c r="AB189" s="541"/>
      <c r="AC189" s="542" t="e">
        <f>IF(NFI_Expiration=1,IF(#REF!&lt;VLOOKUP(L$5,NFI,5,0),1,0)*Table_NFI[[#This Row],[NFI Core Kit]],Table_NFI[NFI Core Kit])</f>
        <v>#REF!</v>
      </c>
      <c r="AD189" s="542" t="e">
        <f>IF(NFI_Expiration=1,IF(#REF!&lt;VLOOKUP(M$5,NFI,5,0),1,0)*Table_NFI[[#This Row],[Sanitary Kit]],Table_NFI[Sanitary Kit])</f>
        <v>#REF!</v>
      </c>
      <c r="AE189" s="542" t="e">
        <f>IF(NFI_Expiration=1,IF(#REF!&lt;VLOOKUP(N$5,NFI,5,0),1,0)*Table_NFI[[#This Row],[Mosquito net]],Table_NFI[Mosquito net])</f>
        <v>#REF!</v>
      </c>
      <c r="AF189" s="542" t="e">
        <f>IF(NFI_Expiration=1,IF(#REF!&lt;VLOOKUP(O$5,NFI,5,0),1,0)*Table_NFI[[#This Row],[Tarpaulin]],Table_NFI[[#This Row],[Tarpaulin]])</f>
        <v>#REF!</v>
      </c>
      <c r="AG189" s="542" t="e">
        <f>IF(NFI_Expiration=1,IF(#REF!&lt;VLOOKUP(P$5,NFI,5,0),1,0)*Table_NFI[[#This Row],[Blanket]],Table_NFI[[#This Row],[Blanket]])</f>
        <v>#REF!</v>
      </c>
      <c r="AH189" s="542" t="e">
        <f>IF(NFI_Expiration=1,IF(#REF!&lt;VLOOKUP(Q$5,NFI,5,0),1,0)*Table_NFI[[#This Row],[Kitchen Set]],Table_NFI[Kitchen Set])</f>
        <v>#REF!</v>
      </c>
      <c r="AI189" s="542" t="e">
        <f>IF(NFI_Expiration=1,IF(#REF!&lt;VLOOKUP(R$5,NFI,5,0),1,0)*Table_NFI[[#This Row],[Clothes Kit]],Table_NFI[Clothes Kit])</f>
        <v>#REF!</v>
      </c>
      <c r="AJ189" s="542" t="e">
        <f>IF(NFI_Expiration=1,IF(#REF!&lt;VLOOKUP(S$5,NFI,5,0),1,0)*Table_NFI[[#This Row],[Plastic Bucket]],Table_NFI[Plastic Bucket])</f>
        <v>#REF!</v>
      </c>
      <c r="AK189" s="542" t="e">
        <f>IF(NFI_Expiration=1,IF(#REF!&lt;VLOOKUP(T$5,NFI,5,0),1,0)*Table_NFI[[#This Row],[Plastic Mat]],Table_NFI[Plastic Mat])*IF(Table_NFI[[#This Row],[Distribution Date]]&gt;"2014-04-01",1,2.5)</f>
        <v>#REF!</v>
      </c>
      <c r="AL189" s="542" t="e">
        <f>IF(NFI_Expiration=1,IF(#REF!&lt;VLOOKUP(U$5,NFI,5,0),1,0)*Table_NFI[[#This Row],[Winter Clothes Adult]],Table_NFI[Winter Clothes Adult])</f>
        <v>#REF!</v>
      </c>
      <c r="AM189" s="542"/>
      <c r="AN189" s="542"/>
      <c r="AO189" s="542"/>
      <c r="AP189" s="542">
        <f>IF(Table_NFI[[#This Row],[Winter Clothes Adult]]+Table_NFI[[#This Row],[Winter Clothes Children]]+Table_NFI[[#This Row],[Winter Items Other]]+Table_NFI[[#This Row],[Winter Blanket]]&gt;0,1,0)</f>
        <v>0</v>
      </c>
      <c r="AQ189" s="542"/>
      <c r="AR189" s="542"/>
      <c r="AS189" s="542"/>
      <c r="AT189" s="205" t="str">
        <f>IFERROR(VLOOKUP(Table_NFI[[#This Row],[Location]],CL,2,0),"")</f>
        <v>MMR015CMP014</v>
      </c>
      <c r="AU189" s="183"/>
    </row>
    <row r="190" spans="2:47" x14ac:dyDescent="0.3">
      <c r="B190" s="540">
        <v>43115</v>
      </c>
      <c r="C190" s="540" t="str">
        <f>MONTH(Table_NFI[[#This Row],[Distribution Date]]) &amp; "/" &amp; YEAR(Table_NFI[[#This Row],[Distribution Date]])</f>
        <v>1/2018</v>
      </c>
      <c r="D190" s="198" t="s">
        <v>1461</v>
      </c>
      <c r="E190" s="198"/>
      <c r="F190" s="198" t="s">
        <v>506</v>
      </c>
      <c r="G190" s="197" t="s">
        <v>297</v>
      </c>
      <c r="H190" s="198" t="s">
        <v>1191</v>
      </c>
      <c r="I190" s="183">
        <v>18</v>
      </c>
      <c r="J190" s="541"/>
      <c r="K190" s="541"/>
      <c r="L190" s="541"/>
      <c r="M190" s="541"/>
      <c r="N190" s="541"/>
      <c r="O190" s="541"/>
      <c r="P190" s="541"/>
      <c r="Q190" s="541"/>
      <c r="R190" s="541"/>
      <c r="S190" s="541"/>
      <c r="T190" s="541"/>
      <c r="U190" s="541"/>
      <c r="V190" s="541"/>
      <c r="W190" s="541"/>
      <c r="X190" s="541"/>
      <c r="Y190" s="541"/>
      <c r="Z190" s="541"/>
      <c r="AA190" s="541"/>
      <c r="AB190" s="541"/>
      <c r="AC190" s="542" t="e">
        <f>IF(NFI_Expiration=1,IF(#REF!&lt;VLOOKUP(L$5,NFI,5,0),1,0)*Table_NFI[[#This Row],[NFI Core Kit]],Table_NFI[NFI Core Kit])</f>
        <v>#REF!</v>
      </c>
      <c r="AD190" s="542" t="e">
        <f>IF(NFI_Expiration=1,IF(#REF!&lt;VLOOKUP(M$5,NFI,5,0),1,0)*Table_NFI[[#This Row],[Sanitary Kit]],Table_NFI[Sanitary Kit])</f>
        <v>#REF!</v>
      </c>
      <c r="AE190" s="542" t="e">
        <f>IF(NFI_Expiration=1,IF(#REF!&lt;VLOOKUP(N$5,NFI,5,0),1,0)*Table_NFI[[#This Row],[Mosquito net]],Table_NFI[Mosquito net])</f>
        <v>#REF!</v>
      </c>
      <c r="AF190" s="542" t="e">
        <f>IF(NFI_Expiration=1,IF(#REF!&lt;VLOOKUP(O$5,NFI,5,0),1,0)*Table_NFI[[#This Row],[Tarpaulin]],Table_NFI[[#This Row],[Tarpaulin]])</f>
        <v>#REF!</v>
      </c>
      <c r="AG190" s="542" t="e">
        <f>IF(NFI_Expiration=1,IF(#REF!&lt;VLOOKUP(P$5,NFI,5,0),1,0)*Table_NFI[[#This Row],[Blanket]],Table_NFI[[#This Row],[Blanket]])</f>
        <v>#REF!</v>
      </c>
      <c r="AH190" s="542" t="e">
        <f>IF(NFI_Expiration=1,IF(#REF!&lt;VLOOKUP(Q$5,NFI,5,0),1,0)*Table_NFI[[#This Row],[Kitchen Set]],Table_NFI[Kitchen Set])</f>
        <v>#REF!</v>
      </c>
      <c r="AI190" s="542" t="e">
        <f>IF(NFI_Expiration=1,IF(#REF!&lt;VLOOKUP(R$5,NFI,5,0),1,0)*Table_NFI[[#This Row],[Clothes Kit]],Table_NFI[Clothes Kit])</f>
        <v>#REF!</v>
      </c>
      <c r="AJ190" s="542" t="e">
        <f>IF(NFI_Expiration=1,IF(#REF!&lt;VLOOKUP(S$5,NFI,5,0),1,0)*Table_NFI[[#This Row],[Plastic Bucket]],Table_NFI[Plastic Bucket])</f>
        <v>#REF!</v>
      </c>
      <c r="AK190" s="542" t="e">
        <f>IF(NFI_Expiration=1,IF(#REF!&lt;VLOOKUP(T$5,NFI,5,0),1,0)*Table_NFI[[#This Row],[Plastic Mat]],Table_NFI[Plastic Mat])*IF(Table_NFI[[#This Row],[Distribution Date]]&gt;"2014-04-01",1,2.5)</f>
        <v>#REF!</v>
      </c>
      <c r="AL190" s="542" t="e">
        <f>IF(NFI_Expiration=1,IF(#REF!&lt;VLOOKUP(U$5,NFI,5,0),1,0)*Table_NFI[[#This Row],[Winter Clothes Adult]],Table_NFI[Winter Clothes Adult])</f>
        <v>#REF!</v>
      </c>
      <c r="AM190" s="542"/>
      <c r="AN190" s="542"/>
      <c r="AO190" s="542"/>
      <c r="AP190" s="542">
        <f>IF(Table_NFI[[#This Row],[Winter Clothes Adult]]+Table_NFI[[#This Row],[Winter Clothes Children]]+Table_NFI[[#This Row],[Winter Items Other]]+Table_NFI[[#This Row],[Winter Blanket]]&gt;0,1,0)</f>
        <v>0</v>
      </c>
      <c r="AQ190" s="542"/>
      <c r="AR190" s="542"/>
      <c r="AS190" s="542"/>
      <c r="AT190" s="205" t="str">
        <f>IFERROR(VLOOKUP(Table_NFI[[#This Row],[Location]],CL,2,0),"")</f>
        <v>MMR015CMP232</v>
      </c>
      <c r="AU190" s="183" t="s">
        <v>1620</v>
      </c>
    </row>
    <row r="191" spans="2:47" x14ac:dyDescent="0.3">
      <c r="B191" s="540">
        <v>43115</v>
      </c>
      <c r="C191" s="540" t="str">
        <f>MONTH(Table_NFI[[#This Row],[Distribution Date]]) &amp; "/" &amp; YEAR(Table_NFI[[#This Row],[Distribution Date]])</f>
        <v>1/2018</v>
      </c>
      <c r="D191" s="198" t="s">
        <v>1461</v>
      </c>
      <c r="E191" s="198"/>
      <c r="F191" s="198" t="s">
        <v>506</v>
      </c>
      <c r="G191" s="197" t="s">
        <v>288</v>
      </c>
      <c r="H191" s="198" t="s">
        <v>372</v>
      </c>
      <c r="I191" s="183">
        <v>2</v>
      </c>
      <c r="J191" s="541"/>
      <c r="K191" s="541"/>
      <c r="L191" s="541"/>
      <c r="M191" s="541"/>
      <c r="N191" s="541"/>
      <c r="O191" s="541"/>
      <c r="P191" s="541"/>
      <c r="Q191" s="541">
        <v>2</v>
      </c>
      <c r="R191" s="541"/>
      <c r="S191" s="541">
        <v>2</v>
      </c>
      <c r="T191" s="541"/>
      <c r="U191" s="541"/>
      <c r="V191" s="541"/>
      <c r="W191" s="541"/>
      <c r="X191" s="541">
        <v>2</v>
      </c>
      <c r="Y191" s="541"/>
      <c r="Z191" s="541"/>
      <c r="AA191" s="541"/>
      <c r="AB191" s="541"/>
      <c r="AC191" s="542" t="e">
        <f>IF(NFI_Expiration=1,IF(#REF!&lt;VLOOKUP(L$5,NFI,5,0),1,0)*Table_NFI[[#This Row],[NFI Core Kit]],Table_NFI[NFI Core Kit])</f>
        <v>#REF!</v>
      </c>
      <c r="AD191" s="542" t="e">
        <f>IF(NFI_Expiration=1,IF(#REF!&lt;VLOOKUP(M$5,NFI,5,0),1,0)*Table_NFI[[#This Row],[Sanitary Kit]],Table_NFI[Sanitary Kit])</f>
        <v>#REF!</v>
      </c>
      <c r="AE191" s="542" t="e">
        <f>IF(NFI_Expiration=1,IF(#REF!&lt;VLOOKUP(N$5,NFI,5,0),1,0)*Table_NFI[[#This Row],[Mosquito net]],Table_NFI[Mosquito net])</f>
        <v>#REF!</v>
      </c>
      <c r="AF191" s="542" t="e">
        <f>IF(NFI_Expiration=1,IF(#REF!&lt;VLOOKUP(O$5,NFI,5,0),1,0)*Table_NFI[[#This Row],[Tarpaulin]],Table_NFI[[#This Row],[Tarpaulin]])</f>
        <v>#REF!</v>
      </c>
      <c r="AG191" s="542" t="e">
        <f>IF(NFI_Expiration=1,IF(#REF!&lt;VLOOKUP(P$5,NFI,5,0),1,0)*Table_NFI[[#This Row],[Blanket]],Table_NFI[[#This Row],[Blanket]])</f>
        <v>#REF!</v>
      </c>
      <c r="AH191" s="542" t="e">
        <f>IF(NFI_Expiration=1,IF(#REF!&lt;VLOOKUP(Q$5,NFI,5,0),1,0)*Table_NFI[[#This Row],[Kitchen Set]],Table_NFI[Kitchen Set])</f>
        <v>#REF!</v>
      </c>
      <c r="AI191" s="542" t="e">
        <f>IF(NFI_Expiration=1,IF(#REF!&lt;VLOOKUP(R$5,NFI,5,0),1,0)*Table_NFI[[#This Row],[Clothes Kit]],Table_NFI[Clothes Kit])</f>
        <v>#REF!</v>
      </c>
      <c r="AJ191" s="542" t="e">
        <f>IF(NFI_Expiration=1,IF(#REF!&lt;VLOOKUP(S$5,NFI,5,0),1,0)*Table_NFI[[#This Row],[Plastic Bucket]],Table_NFI[Plastic Bucket])</f>
        <v>#REF!</v>
      </c>
      <c r="AK191" s="542" t="e">
        <f>IF(NFI_Expiration=1,IF(#REF!&lt;VLOOKUP(T$5,NFI,5,0),1,0)*Table_NFI[[#This Row],[Plastic Mat]],Table_NFI[Plastic Mat])*IF(Table_NFI[[#This Row],[Distribution Date]]&gt;"2014-04-01",1,2.5)</f>
        <v>#REF!</v>
      </c>
      <c r="AL191" s="542" t="e">
        <f>IF(NFI_Expiration=1,IF(#REF!&lt;VLOOKUP(U$5,NFI,5,0),1,0)*Table_NFI[[#This Row],[Winter Clothes Adult]],Table_NFI[Winter Clothes Adult])</f>
        <v>#REF!</v>
      </c>
      <c r="AM191" s="542"/>
      <c r="AN191" s="542"/>
      <c r="AO191" s="542"/>
      <c r="AP191" s="542">
        <f>IF(Table_NFI[[#This Row],[Winter Clothes Adult]]+Table_NFI[[#This Row],[Winter Clothes Children]]+Table_NFI[[#This Row],[Winter Items Other]]+Table_NFI[[#This Row],[Winter Blanket]]&gt;0,1,0)</f>
        <v>1</v>
      </c>
      <c r="AQ191" s="542"/>
      <c r="AR191" s="542"/>
      <c r="AS191" s="542"/>
      <c r="AT191" s="205" t="str">
        <f>IFERROR(VLOOKUP(Table_NFI[[#This Row],[Location]],CL,2,0),"")</f>
        <v>MMR015CMP003</v>
      </c>
      <c r="AU191" s="183" t="s">
        <v>1620</v>
      </c>
    </row>
    <row r="192" spans="2:47" x14ac:dyDescent="0.3">
      <c r="B192" s="540">
        <v>43115</v>
      </c>
      <c r="C192" s="540" t="str">
        <f>MONTH(Table_NFI[[#This Row],[Distribution Date]]) &amp; "/" &amp; YEAR(Table_NFI[[#This Row],[Distribution Date]])</f>
        <v>1/2018</v>
      </c>
      <c r="D192" s="198" t="s">
        <v>1461</v>
      </c>
      <c r="E192" s="198"/>
      <c r="F192" s="198" t="s">
        <v>506</v>
      </c>
      <c r="G192" s="197" t="s">
        <v>288</v>
      </c>
      <c r="H192" s="198" t="s">
        <v>291</v>
      </c>
      <c r="I192" s="183">
        <v>8</v>
      </c>
      <c r="J192" s="541"/>
      <c r="K192" s="541"/>
      <c r="L192" s="541"/>
      <c r="M192" s="541"/>
      <c r="N192" s="541"/>
      <c r="O192" s="541"/>
      <c r="P192" s="541"/>
      <c r="Q192" s="541">
        <v>8</v>
      </c>
      <c r="R192" s="541"/>
      <c r="S192" s="541">
        <v>8</v>
      </c>
      <c r="T192" s="541"/>
      <c r="U192" s="541"/>
      <c r="V192" s="541"/>
      <c r="W192" s="541"/>
      <c r="X192" s="541">
        <v>8</v>
      </c>
      <c r="Y192" s="541"/>
      <c r="Z192" s="541"/>
      <c r="AA192" s="541"/>
      <c r="AB192" s="541"/>
      <c r="AC192" s="542" t="e">
        <f>IF(NFI_Expiration=1,IF(#REF!&lt;VLOOKUP(L$5,NFI,5,0),1,0)*Table_NFI[[#This Row],[NFI Core Kit]],Table_NFI[NFI Core Kit])</f>
        <v>#REF!</v>
      </c>
      <c r="AD192" s="542" t="e">
        <f>IF(NFI_Expiration=1,IF(#REF!&lt;VLOOKUP(M$5,NFI,5,0),1,0)*Table_NFI[[#This Row],[Sanitary Kit]],Table_NFI[Sanitary Kit])</f>
        <v>#REF!</v>
      </c>
      <c r="AE192" s="542" t="e">
        <f>IF(NFI_Expiration=1,IF(#REF!&lt;VLOOKUP(N$5,NFI,5,0),1,0)*Table_NFI[[#This Row],[Mosquito net]],Table_NFI[Mosquito net])</f>
        <v>#REF!</v>
      </c>
      <c r="AF192" s="542" t="e">
        <f>IF(NFI_Expiration=1,IF(#REF!&lt;VLOOKUP(O$5,NFI,5,0),1,0)*Table_NFI[[#This Row],[Tarpaulin]],Table_NFI[[#This Row],[Tarpaulin]])</f>
        <v>#REF!</v>
      </c>
      <c r="AG192" s="542" t="e">
        <f>IF(NFI_Expiration=1,IF(#REF!&lt;VLOOKUP(P$5,NFI,5,0),1,0)*Table_NFI[[#This Row],[Blanket]],Table_NFI[[#This Row],[Blanket]])</f>
        <v>#REF!</v>
      </c>
      <c r="AH192" s="542" t="e">
        <f>IF(NFI_Expiration=1,IF(#REF!&lt;VLOOKUP(Q$5,NFI,5,0),1,0)*Table_NFI[[#This Row],[Kitchen Set]],Table_NFI[Kitchen Set])</f>
        <v>#REF!</v>
      </c>
      <c r="AI192" s="542" t="e">
        <f>IF(NFI_Expiration=1,IF(#REF!&lt;VLOOKUP(R$5,NFI,5,0),1,0)*Table_NFI[[#This Row],[Clothes Kit]],Table_NFI[Clothes Kit])</f>
        <v>#REF!</v>
      </c>
      <c r="AJ192" s="542" t="e">
        <f>IF(NFI_Expiration=1,IF(#REF!&lt;VLOOKUP(S$5,NFI,5,0),1,0)*Table_NFI[[#This Row],[Plastic Bucket]],Table_NFI[Plastic Bucket])</f>
        <v>#REF!</v>
      </c>
      <c r="AK192" s="542" t="e">
        <f>IF(NFI_Expiration=1,IF(#REF!&lt;VLOOKUP(T$5,NFI,5,0),1,0)*Table_NFI[[#This Row],[Plastic Mat]],Table_NFI[Plastic Mat])*IF(Table_NFI[[#This Row],[Distribution Date]]&gt;"2014-04-01",1,2.5)</f>
        <v>#REF!</v>
      </c>
      <c r="AL192" s="542" t="e">
        <f>IF(NFI_Expiration=1,IF(#REF!&lt;VLOOKUP(U$5,NFI,5,0),1,0)*Table_NFI[[#This Row],[Winter Clothes Adult]],Table_NFI[Winter Clothes Adult])</f>
        <v>#REF!</v>
      </c>
      <c r="AM192" s="542"/>
      <c r="AN192" s="542"/>
      <c r="AO192" s="542"/>
      <c r="AP192" s="542">
        <f>IF(Table_NFI[[#This Row],[Winter Clothes Adult]]+Table_NFI[[#This Row],[Winter Clothes Children]]+Table_NFI[[#This Row],[Winter Items Other]]+Table_NFI[[#This Row],[Winter Blanket]]&gt;0,1,0)</f>
        <v>1</v>
      </c>
      <c r="AQ192" s="542"/>
      <c r="AR192" s="542"/>
      <c r="AS192" s="542"/>
      <c r="AT192" s="205" t="str">
        <f>IFERROR(VLOOKUP(Table_NFI[[#This Row],[Location]],CL,2,0),"")</f>
        <v>MMR015CMP004</v>
      </c>
      <c r="AU192" s="183" t="s">
        <v>1620</v>
      </c>
    </row>
    <row r="193" spans="2:47" x14ac:dyDescent="0.3">
      <c r="B193" s="540">
        <v>43115</v>
      </c>
      <c r="C193" s="540" t="str">
        <f>MONTH(Table_NFI[[#This Row],[Distribution Date]]) &amp; "/" &amp; YEAR(Table_NFI[[#This Row],[Distribution Date]])</f>
        <v>1/2018</v>
      </c>
      <c r="D193" s="198" t="s">
        <v>1461</v>
      </c>
      <c r="E193" s="198"/>
      <c r="F193" s="198" t="s">
        <v>506</v>
      </c>
      <c r="G193" s="197" t="s">
        <v>288</v>
      </c>
      <c r="H193" s="198" t="s">
        <v>917</v>
      </c>
      <c r="I193" s="183">
        <v>15</v>
      </c>
      <c r="J193" s="541"/>
      <c r="K193" s="541"/>
      <c r="L193" s="541"/>
      <c r="M193" s="541"/>
      <c r="N193" s="541"/>
      <c r="O193" s="541"/>
      <c r="P193" s="541"/>
      <c r="Q193" s="541">
        <v>15</v>
      </c>
      <c r="R193" s="541"/>
      <c r="S193" s="541">
        <v>15</v>
      </c>
      <c r="T193" s="541"/>
      <c r="U193" s="541"/>
      <c r="V193" s="541"/>
      <c r="W193" s="541"/>
      <c r="X193" s="541">
        <v>15</v>
      </c>
      <c r="Y193" s="541"/>
      <c r="Z193" s="541"/>
      <c r="AA193" s="541"/>
      <c r="AB193" s="541"/>
      <c r="AC193" s="542" t="e">
        <f>IF(NFI_Expiration=1,IF(#REF!&lt;VLOOKUP(L$5,NFI,5,0),1,0)*Table_NFI[[#This Row],[NFI Core Kit]],Table_NFI[NFI Core Kit])</f>
        <v>#REF!</v>
      </c>
      <c r="AD193" s="542" t="e">
        <f>IF(NFI_Expiration=1,IF(#REF!&lt;VLOOKUP(M$5,NFI,5,0),1,0)*Table_NFI[[#This Row],[Sanitary Kit]],Table_NFI[Sanitary Kit])</f>
        <v>#REF!</v>
      </c>
      <c r="AE193" s="542" t="e">
        <f>IF(NFI_Expiration=1,IF(#REF!&lt;VLOOKUP(N$5,NFI,5,0),1,0)*Table_NFI[[#This Row],[Mosquito net]],Table_NFI[Mosquito net])</f>
        <v>#REF!</v>
      </c>
      <c r="AF193" s="542" t="e">
        <f>IF(NFI_Expiration=1,IF(#REF!&lt;VLOOKUP(O$5,NFI,5,0),1,0)*Table_NFI[[#This Row],[Tarpaulin]],Table_NFI[[#This Row],[Tarpaulin]])</f>
        <v>#REF!</v>
      </c>
      <c r="AG193" s="542" t="e">
        <f>IF(NFI_Expiration=1,IF(#REF!&lt;VLOOKUP(P$5,NFI,5,0),1,0)*Table_NFI[[#This Row],[Blanket]],Table_NFI[[#This Row],[Blanket]])</f>
        <v>#REF!</v>
      </c>
      <c r="AH193" s="542" t="e">
        <f>IF(NFI_Expiration=1,IF(#REF!&lt;VLOOKUP(Q$5,NFI,5,0),1,0)*Table_NFI[[#This Row],[Kitchen Set]],Table_NFI[Kitchen Set])</f>
        <v>#REF!</v>
      </c>
      <c r="AI193" s="542" t="e">
        <f>IF(NFI_Expiration=1,IF(#REF!&lt;VLOOKUP(R$5,NFI,5,0),1,0)*Table_NFI[[#This Row],[Clothes Kit]],Table_NFI[Clothes Kit])</f>
        <v>#REF!</v>
      </c>
      <c r="AJ193" s="542" t="e">
        <f>IF(NFI_Expiration=1,IF(#REF!&lt;VLOOKUP(S$5,NFI,5,0),1,0)*Table_NFI[[#This Row],[Plastic Bucket]],Table_NFI[Plastic Bucket])</f>
        <v>#REF!</v>
      </c>
      <c r="AK193" s="542" t="e">
        <f>IF(NFI_Expiration=1,IF(#REF!&lt;VLOOKUP(T$5,NFI,5,0),1,0)*Table_NFI[[#This Row],[Plastic Mat]],Table_NFI[Plastic Mat])*IF(Table_NFI[[#This Row],[Distribution Date]]&gt;"2014-04-01",1,2.5)</f>
        <v>#REF!</v>
      </c>
      <c r="AL193" s="542" t="e">
        <f>IF(NFI_Expiration=1,IF(#REF!&lt;VLOOKUP(U$5,NFI,5,0),1,0)*Table_NFI[[#This Row],[Winter Clothes Adult]],Table_NFI[Winter Clothes Adult])</f>
        <v>#REF!</v>
      </c>
      <c r="AM193" s="542"/>
      <c r="AN193" s="542"/>
      <c r="AO193" s="542"/>
      <c r="AP193" s="542">
        <f>IF(Table_NFI[[#This Row],[Winter Clothes Adult]]+Table_NFI[[#This Row],[Winter Clothes Children]]+Table_NFI[[#This Row],[Winter Items Other]]+Table_NFI[[#This Row],[Winter Blanket]]&gt;0,1,0)</f>
        <v>1</v>
      </c>
      <c r="AQ193" s="542"/>
      <c r="AR193" s="542"/>
      <c r="AS193" s="542"/>
      <c r="AT193" s="205" t="str">
        <f>IFERROR(VLOOKUP(Table_NFI[[#This Row],[Location]],CL,2,0),"")</f>
        <v>MMR015CMP215</v>
      </c>
      <c r="AU193" s="183" t="s">
        <v>1620</v>
      </c>
    </row>
    <row r="194" spans="2:47" x14ac:dyDescent="0.3">
      <c r="B194" s="540">
        <v>43116</v>
      </c>
      <c r="C194" s="540" t="str">
        <f>MONTH(Table_NFI[[#This Row],[Distribution Date]]) &amp; "/" &amp; YEAR(Table_NFI[[#This Row],[Distribution Date]])</f>
        <v>1/2018</v>
      </c>
      <c r="D194" s="198" t="s">
        <v>1461</v>
      </c>
      <c r="E194" s="198"/>
      <c r="F194" s="198" t="s">
        <v>378</v>
      </c>
      <c r="G194" s="197" t="s">
        <v>151</v>
      </c>
      <c r="H194" s="198" t="s">
        <v>911</v>
      </c>
      <c r="I194" s="183"/>
      <c r="J194" s="541">
        <v>8</v>
      </c>
      <c r="K194" s="541"/>
      <c r="L194" s="541"/>
      <c r="M194" s="541"/>
      <c r="N194" s="541"/>
      <c r="O194" s="541"/>
      <c r="P194" s="541"/>
      <c r="Q194" s="541">
        <v>8</v>
      </c>
      <c r="R194" s="541"/>
      <c r="S194" s="541"/>
      <c r="T194" s="541"/>
      <c r="U194" s="541">
        <v>8</v>
      </c>
      <c r="V194" s="541">
        <v>8</v>
      </c>
      <c r="W194" s="541">
        <v>8</v>
      </c>
      <c r="X194" s="541">
        <v>8</v>
      </c>
      <c r="Y194" s="541"/>
      <c r="Z194" s="541"/>
      <c r="AA194" s="541"/>
      <c r="AB194" s="541"/>
      <c r="AC194" s="542" t="e">
        <f>IF(NFI_Expiration=1,IF(#REF!&lt;VLOOKUP(L$5,NFI,5,0),1,0)*Table_NFI[[#This Row],[NFI Core Kit]],Table_NFI[NFI Core Kit])</f>
        <v>#REF!</v>
      </c>
      <c r="AD194" s="542" t="e">
        <f>IF(NFI_Expiration=1,IF(#REF!&lt;VLOOKUP(M$5,NFI,5,0),1,0)*Table_NFI[[#This Row],[Sanitary Kit]],Table_NFI[Sanitary Kit])</f>
        <v>#REF!</v>
      </c>
      <c r="AE194" s="542" t="e">
        <f>IF(NFI_Expiration=1,IF(#REF!&lt;VLOOKUP(N$5,NFI,5,0),1,0)*Table_NFI[[#This Row],[Mosquito net]],Table_NFI[Mosquito net])</f>
        <v>#REF!</v>
      </c>
      <c r="AF194" s="542" t="e">
        <f>IF(NFI_Expiration=1,IF(#REF!&lt;VLOOKUP(O$5,NFI,5,0),1,0)*Table_NFI[[#This Row],[Tarpaulin]],Table_NFI[[#This Row],[Tarpaulin]])</f>
        <v>#REF!</v>
      </c>
      <c r="AG194" s="542" t="e">
        <f>IF(NFI_Expiration=1,IF(#REF!&lt;VLOOKUP(P$5,NFI,5,0),1,0)*Table_NFI[[#This Row],[Blanket]],Table_NFI[[#This Row],[Blanket]])</f>
        <v>#REF!</v>
      </c>
      <c r="AH194" s="542" t="e">
        <f>IF(NFI_Expiration=1,IF(#REF!&lt;VLOOKUP(Q$5,NFI,5,0),1,0)*Table_NFI[[#This Row],[Kitchen Set]],Table_NFI[Kitchen Set])</f>
        <v>#REF!</v>
      </c>
      <c r="AI194" s="542" t="e">
        <f>IF(NFI_Expiration=1,IF(#REF!&lt;VLOOKUP(R$5,NFI,5,0),1,0)*Table_NFI[[#This Row],[Clothes Kit]],Table_NFI[Clothes Kit])</f>
        <v>#REF!</v>
      </c>
      <c r="AJ194" s="542" t="e">
        <f>IF(NFI_Expiration=1,IF(#REF!&lt;VLOOKUP(S$5,NFI,5,0),1,0)*Table_NFI[[#This Row],[Plastic Bucket]],Table_NFI[Plastic Bucket])</f>
        <v>#REF!</v>
      </c>
      <c r="AK194" s="542" t="e">
        <f>IF(NFI_Expiration=1,IF(#REF!&lt;VLOOKUP(T$5,NFI,5,0),1,0)*Table_NFI[[#This Row],[Plastic Mat]],Table_NFI[Plastic Mat])*IF(Table_NFI[[#This Row],[Distribution Date]]&gt;"2014-04-01",1,2.5)</f>
        <v>#REF!</v>
      </c>
      <c r="AL194" s="542" t="e">
        <f>IF(NFI_Expiration=1,IF(#REF!&lt;VLOOKUP(U$5,NFI,5,0),1,0)*Table_NFI[[#This Row],[Winter Clothes Adult]],Table_NFI[Winter Clothes Adult])</f>
        <v>#REF!</v>
      </c>
      <c r="AM194" s="542"/>
      <c r="AN194" s="542"/>
      <c r="AO194" s="542"/>
      <c r="AP194" s="542">
        <f>IF(Table_NFI[[#This Row],[Winter Clothes Adult]]+Table_NFI[[#This Row],[Winter Clothes Children]]+Table_NFI[[#This Row],[Winter Items Other]]+Table_NFI[[#This Row],[Winter Blanket]]&gt;0,1,0)</f>
        <v>1</v>
      </c>
      <c r="AQ194" s="542"/>
      <c r="AR194" s="542"/>
      <c r="AS194" s="542"/>
      <c r="AT194" s="205" t="str">
        <f>IFERROR(VLOOKUP(Table_NFI[[#This Row],[Location]],CL,2,0),"")</f>
        <v>MMR001CMP228</v>
      </c>
      <c r="AU194" s="183" t="s">
        <v>1621</v>
      </c>
    </row>
    <row r="195" spans="2:47" x14ac:dyDescent="0.3">
      <c r="B195" s="540">
        <v>43116</v>
      </c>
      <c r="C195" s="540" t="str">
        <f>MONTH(Table_NFI[[#This Row],[Distribution Date]]) &amp; "/" &amp; YEAR(Table_NFI[[#This Row],[Distribution Date]])</f>
        <v>1/2018</v>
      </c>
      <c r="D195" s="198" t="s">
        <v>1461</v>
      </c>
      <c r="E195" s="198"/>
      <c r="F195" s="198" t="s">
        <v>378</v>
      </c>
      <c r="G195" s="197" t="s">
        <v>151</v>
      </c>
      <c r="H195" s="198" t="s">
        <v>160</v>
      </c>
      <c r="I195" s="183"/>
      <c r="J195" s="541">
        <v>1</v>
      </c>
      <c r="K195" s="541"/>
      <c r="L195" s="541"/>
      <c r="M195" s="541"/>
      <c r="N195" s="541"/>
      <c r="O195" s="541"/>
      <c r="P195" s="541"/>
      <c r="Q195" s="541">
        <v>1</v>
      </c>
      <c r="R195" s="541"/>
      <c r="S195" s="541"/>
      <c r="T195" s="541"/>
      <c r="U195" s="541">
        <v>1</v>
      </c>
      <c r="V195" s="541">
        <v>1</v>
      </c>
      <c r="W195" s="541">
        <v>1</v>
      </c>
      <c r="X195" s="541">
        <v>1</v>
      </c>
      <c r="Y195" s="541"/>
      <c r="Z195" s="541"/>
      <c r="AA195" s="541"/>
      <c r="AB195" s="541"/>
      <c r="AC195" s="542" t="e">
        <f>IF(NFI_Expiration=1,IF(#REF!&lt;VLOOKUP(L$5,NFI,5,0),1,0)*Table_NFI[[#This Row],[NFI Core Kit]],Table_NFI[NFI Core Kit])</f>
        <v>#REF!</v>
      </c>
      <c r="AD195" s="542" t="e">
        <f>IF(NFI_Expiration=1,IF(#REF!&lt;VLOOKUP(M$5,NFI,5,0),1,0)*Table_NFI[[#This Row],[Sanitary Kit]],Table_NFI[Sanitary Kit])</f>
        <v>#REF!</v>
      </c>
      <c r="AE195" s="542" t="e">
        <f>IF(NFI_Expiration=1,IF(#REF!&lt;VLOOKUP(N$5,NFI,5,0),1,0)*Table_NFI[[#This Row],[Mosquito net]],Table_NFI[Mosquito net])</f>
        <v>#REF!</v>
      </c>
      <c r="AF195" s="542" t="e">
        <f>IF(NFI_Expiration=1,IF(#REF!&lt;VLOOKUP(O$5,NFI,5,0),1,0)*Table_NFI[[#This Row],[Tarpaulin]],Table_NFI[[#This Row],[Tarpaulin]])</f>
        <v>#REF!</v>
      </c>
      <c r="AG195" s="542" t="e">
        <f>IF(NFI_Expiration=1,IF(#REF!&lt;VLOOKUP(P$5,NFI,5,0),1,0)*Table_NFI[[#This Row],[Blanket]],Table_NFI[[#This Row],[Blanket]])</f>
        <v>#REF!</v>
      </c>
      <c r="AH195" s="542" t="e">
        <f>IF(NFI_Expiration=1,IF(#REF!&lt;VLOOKUP(Q$5,NFI,5,0),1,0)*Table_NFI[[#This Row],[Kitchen Set]],Table_NFI[Kitchen Set])</f>
        <v>#REF!</v>
      </c>
      <c r="AI195" s="542" t="e">
        <f>IF(NFI_Expiration=1,IF(#REF!&lt;VLOOKUP(R$5,NFI,5,0),1,0)*Table_NFI[[#This Row],[Clothes Kit]],Table_NFI[Clothes Kit])</f>
        <v>#REF!</v>
      </c>
      <c r="AJ195" s="542" t="e">
        <f>IF(NFI_Expiration=1,IF(#REF!&lt;VLOOKUP(S$5,NFI,5,0),1,0)*Table_NFI[[#This Row],[Plastic Bucket]],Table_NFI[Plastic Bucket])</f>
        <v>#REF!</v>
      </c>
      <c r="AK195" s="542" t="e">
        <f>IF(NFI_Expiration=1,IF(#REF!&lt;VLOOKUP(T$5,NFI,5,0),1,0)*Table_NFI[[#This Row],[Plastic Mat]],Table_NFI[Plastic Mat])*IF(Table_NFI[[#This Row],[Distribution Date]]&gt;"2014-04-01",1,2.5)</f>
        <v>#REF!</v>
      </c>
      <c r="AL195" s="542" t="e">
        <f>IF(NFI_Expiration=1,IF(#REF!&lt;VLOOKUP(U$5,NFI,5,0),1,0)*Table_NFI[[#This Row],[Winter Clothes Adult]],Table_NFI[Winter Clothes Adult])</f>
        <v>#REF!</v>
      </c>
      <c r="AM195" s="542"/>
      <c r="AN195" s="542"/>
      <c r="AO195" s="542"/>
      <c r="AP195" s="542">
        <f>IF(Table_NFI[[#This Row],[Winter Clothes Adult]]+Table_NFI[[#This Row],[Winter Clothes Children]]+Table_NFI[[#This Row],[Winter Items Other]]+Table_NFI[[#This Row],[Winter Blanket]]&gt;0,1,0)</f>
        <v>1</v>
      </c>
      <c r="AQ195" s="542"/>
      <c r="AR195" s="542"/>
      <c r="AS195" s="542"/>
      <c r="AT195" s="205" t="str">
        <f>IFERROR(VLOOKUP(Table_NFI[[#This Row],[Location]],CL,2,0),"")</f>
        <v>MMR001CMP133</v>
      </c>
      <c r="AU195" s="183" t="s">
        <v>1622</v>
      </c>
    </row>
    <row r="196" spans="2:47" x14ac:dyDescent="0.3">
      <c r="B196" s="540">
        <v>43116</v>
      </c>
      <c r="C196" s="540" t="str">
        <f>MONTH(Table_NFI[[#This Row],[Distribution Date]]) &amp; "/" &amp; YEAR(Table_NFI[[#This Row],[Distribution Date]])</f>
        <v>1/2018</v>
      </c>
      <c r="D196" s="198" t="s">
        <v>1461</v>
      </c>
      <c r="E196" s="198"/>
      <c r="F196" s="198" t="s">
        <v>378</v>
      </c>
      <c r="G196" s="197" t="s">
        <v>151</v>
      </c>
      <c r="H196" s="198" t="s">
        <v>938</v>
      </c>
      <c r="I196" s="183"/>
      <c r="J196" s="541">
        <v>25</v>
      </c>
      <c r="K196" s="541"/>
      <c r="L196" s="541"/>
      <c r="M196" s="541"/>
      <c r="N196" s="541"/>
      <c r="O196" s="541"/>
      <c r="P196" s="541"/>
      <c r="Q196" s="541">
        <v>25</v>
      </c>
      <c r="R196" s="541"/>
      <c r="S196" s="541"/>
      <c r="T196" s="541"/>
      <c r="U196" s="541">
        <v>25</v>
      </c>
      <c r="V196" s="541">
        <v>25</v>
      </c>
      <c r="W196" s="541">
        <v>25</v>
      </c>
      <c r="X196" s="541">
        <v>25</v>
      </c>
      <c r="Y196" s="541"/>
      <c r="Z196" s="541"/>
      <c r="AA196" s="541"/>
      <c r="AB196" s="541"/>
      <c r="AC196" s="542" t="e">
        <f>IF(NFI_Expiration=1,IF(#REF!&lt;VLOOKUP(L$5,NFI,5,0),1,0)*Table_NFI[[#This Row],[NFI Core Kit]],Table_NFI[NFI Core Kit])</f>
        <v>#REF!</v>
      </c>
      <c r="AD196" s="542" t="e">
        <f>IF(NFI_Expiration=1,IF(#REF!&lt;VLOOKUP(M$5,NFI,5,0),1,0)*Table_NFI[[#This Row],[Sanitary Kit]],Table_NFI[Sanitary Kit])</f>
        <v>#REF!</v>
      </c>
      <c r="AE196" s="542" t="e">
        <f>IF(NFI_Expiration=1,IF(#REF!&lt;VLOOKUP(N$5,NFI,5,0),1,0)*Table_NFI[[#This Row],[Mosquito net]],Table_NFI[Mosquito net])</f>
        <v>#REF!</v>
      </c>
      <c r="AF196" s="542" t="e">
        <f>IF(NFI_Expiration=1,IF(#REF!&lt;VLOOKUP(O$5,NFI,5,0),1,0)*Table_NFI[[#This Row],[Tarpaulin]],Table_NFI[[#This Row],[Tarpaulin]])</f>
        <v>#REF!</v>
      </c>
      <c r="AG196" s="542" t="e">
        <f>IF(NFI_Expiration=1,IF(#REF!&lt;VLOOKUP(P$5,NFI,5,0),1,0)*Table_NFI[[#This Row],[Blanket]],Table_NFI[[#This Row],[Blanket]])</f>
        <v>#REF!</v>
      </c>
      <c r="AH196" s="542" t="e">
        <f>IF(NFI_Expiration=1,IF(#REF!&lt;VLOOKUP(Q$5,NFI,5,0),1,0)*Table_NFI[[#This Row],[Kitchen Set]],Table_NFI[Kitchen Set])</f>
        <v>#REF!</v>
      </c>
      <c r="AI196" s="542" t="e">
        <f>IF(NFI_Expiration=1,IF(#REF!&lt;VLOOKUP(R$5,NFI,5,0),1,0)*Table_NFI[[#This Row],[Clothes Kit]],Table_NFI[Clothes Kit])</f>
        <v>#REF!</v>
      </c>
      <c r="AJ196" s="542" t="e">
        <f>IF(NFI_Expiration=1,IF(#REF!&lt;VLOOKUP(S$5,NFI,5,0),1,0)*Table_NFI[[#This Row],[Plastic Bucket]],Table_NFI[Plastic Bucket])</f>
        <v>#REF!</v>
      </c>
      <c r="AK196" s="542" t="e">
        <f>IF(NFI_Expiration=1,IF(#REF!&lt;VLOOKUP(T$5,NFI,5,0),1,0)*Table_NFI[[#This Row],[Plastic Mat]],Table_NFI[Plastic Mat])*IF(Table_NFI[[#This Row],[Distribution Date]]&gt;"2014-04-01",1,2.5)</f>
        <v>#REF!</v>
      </c>
      <c r="AL196" s="542" t="e">
        <f>IF(NFI_Expiration=1,IF(#REF!&lt;VLOOKUP(U$5,NFI,5,0),1,0)*Table_NFI[[#This Row],[Winter Clothes Adult]],Table_NFI[Winter Clothes Adult])</f>
        <v>#REF!</v>
      </c>
      <c r="AM196" s="542"/>
      <c r="AN196" s="542"/>
      <c r="AO196" s="542"/>
      <c r="AP196" s="542">
        <f>IF(Table_NFI[[#This Row],[Winter Clothes Adult]]+Table_NFI[[#This Row],[Winter Clothes Children]]+Table_NFI[[#This Row],[Winter Items Other]]+Table_NFI[[#This Row],[Winter Blanket]]&gt;0,1,0)</f>
        <v>1</v>
      </c>
      <c r="AQ196" s="542"/>
      <c r="AR196" s="542"/>
      <c r="AS196" s="542"/>
      <c r="AT196" s="205" t="str">
        <f>IFERROR(VLOOKUP(Table_NFI[[#This Row],[Location]],CL,2,0),"")</f>
        <v>MMR001CMP230</v>
      </c>
      <c r="AU196" s="183" t="s">
        <v>1623</v>
      </c>
    </row>
    <row r="197" spans="2:47" x14ac:dyDescent="0.3">
      <c r="B197" s="540">
        <v>43125</v>
      </c>
      <c r="C197" s="540" t="str">
        <f>MONTH(Table_NFI[[#This Row],[Distribution Date]]) &amp; "/" &amp; YEAR(Table_NFI[[#This Row],[Distribution Date]])</f>
        <v>1/2018</v>
      </c>
      <c r="D197" s="198" t="s">
        <v>1461</v>
      </c>
      <c r="E197" s="198"/>
      <c r="F197" s="198" t="s">
        <v>506</v>
      </c>
      <c r="G197" s="197" t="s">
        <v>297</v>
      </c>
      <c r="H197" s="198" t="s">
        <v>1191</v>
      </c>
      <c r="I197" s="183">
        <v>1</v>
      </c>
      <c r="J197" s="541"/>
      <c r="K197" s="541"/>
      <c r="L197" s="541"/>
      <c r="M197" s="541">
        <v>7</v>
      </c>
      <c r="N197" s="541"/>
      <c r="O197" s="541"/>
      <c r="P197" s="541"/>
      <c r="Q197" s="541">
        <v>6</v>
      </c>
      <c r="R197" s="541"/>
      <c r="S197" s="541"/>
      <c r="T197" s="541"/>
      <c r="U197" s="541">
        <v>19</v>
      </c>
      <c r="V197" s="541">
        <v>19</v>
      </c>
      <c r="W197" s="541"/>
      <c r="X197" s="541">
        <v>19</v>
      </c>
      <c r="Y197" s="541"/>
      <c r="Z197" s="541"/>
      <c r="AA197" s="541"/>
      <c r="AB197" s="541"/>
      <c r="AC197" s="542" t="e">
        <f>IF(NFI_Expiration=1,IF(#REF!&lt;VLOOKUP(L$5,NFI,5,0),1,0)*Table_NFI[[#This Row],[NFI Core Kit]],Table_NFI[NFI Core Kit])</f>
        <v>#REF!</v>
      </c>
      <c r="AD197" s="542" t="e">
        <f>IF(NFI_Expiration=1,IF(#REF!&lt;VLOOKUP(M$5,NFI,5,0),1,0)*Table_NFI[[#This Row],[Sanitary Kit]],Table_NFI[Sanitary Kit])</f>
        <v>#REF!</v>
      </c>
      <c r="AE197" s="542" t="e">
        <f>IF(NFI_Expiration=1,IF(#REF!&lt;VLOOKUP(N$5,NFI,5,0),1,0)*Table_NFI[[#This Row],[Mosquito net]],Table_NFI[Mosquito net])</f>
        <v>#REF!</v>
      </c>
      <c r="AF197" s="542" t="e">
        <f>IF(NFI_Expiration=1,IF(#REF!&lt;VLOOKUP(O$5,NFI,5,0),1,0)*Table_NFI[[#This Row],[Tarpaulin]],Table_NFI[[#This Row],[Tarpaulin]])</f>
        <v>#REF!</v>
      </c>
      <c r="AG197" s="542" t="e">
        <f>IF(NFI_Expiration=1,IF(#REF!&lt;VLOOKUP(P$5,NFI,5,0),1,0)*Table_NFI[[#This Row],[Blanket]],Table_NFI[[#This Row],[Blanket]])</f>
        <v>#REF!</v>
      </c>
      <c r="AH197" s="542" t="e">
        <f>IF(NFI_Expiration=1,IF(#REF!&lt;VLOOKUP(Q$5,NFI,5,0),1,0)*Table_NFI[[#This Row],[Kitchen Set]],Table_NFI[Kitchen Set])</f>
        <v>#REF!</v>
      </c>
      <c r="AI197" s="542" t="e">
        <f>IF(NFI_Expiration=1,IF(#REF!&lt;VLOOKUP(R$5,NFI,5,0),1,0)*Table_NFI[[#This Row],[Clothes Kit]],Table_NFI[Clothes Kit])</f>
        <v>#REF!</v>
      </c>
      <c r="AJ197" s="542" t="e">
        <f>IF(NFI_Expiration=1,IF(#REF!&lt;VLOOKUP(S$5,NFI,5,0),1,0)*Table_NFI[[#This Row],[Plastic Bucket]],Table_NFI[Plastic Bucket])</f>
        <v>#REF!</v>
      </c>
      <c r="AK197" s="542" t="e">
        <f>IF(NFI_Expiration=1,IF(#REF!&lt;VLOOKUP(T$5,NFI,5,0),1,0)*Table_NFI[[#This Row],[Plastic Mat]],Table_NFI[Plastic Mat])*IF(Table_NFI[[#This Row],[Distribution Date]]&gt;"2014-04-01",1,2.5)</f>
        <v>#REF!</v>
      </c>
      <c r="AL197" s="542" t="e">
        <f>IF(NFI_Expiration=1,IF(#REF!&lt;VLOOKUP(U$5,NFI,5,0),1,0)*Table_NFI[[#This Row],[Winter Clothes Adult]],Table_NFI[Winter Clothes Adult])</f>
        <v>#REF!</v>
      </c>
      <c r="AM197" s="542"/>
      <c r="AN197" s="542"/>
      <c r="AO197" s="542"/>
      <c r="AP197" s="542">
        <f>IF(Table_NFI[[#This Row],[Winter Clothes Adult]]+Table_NFI[[#This Row],[Winter Clothes Children]]+Table_NFI[[#This Row],[Winter Items Other]]+Table_NFI[[#This Row],[Winter Blanket]]&gt;0,1,0)</f>
        <v>1</v>
      </c>
      <c r="AQ197" s="542"/>
      <c r="AR197" s="542"/>
      <c r="AS197" s="542"/>
      <c r="AT197" s="205" t="str">
        <f>IFERROR(VLOOKUP(Table_NFI[[#This Row],[Location]],CL,2,0),"")</f>
        <v>MMR015CMP232</v>
      </c>
      <c r="AU197" s="183"/>
    </row>
    <row r="198" spans="2:47" x14ac:dyDescent="0.3">
      <c r="B198" s="540">
        <v>43139</v>
      </c>
      <c r="C198" s="540" t="str">
        <f>MONTH(Table_NFI[[#This Row],[Distribution Date]]) &amp; "/" &amp; YEAR(Table_NFI[[#This Row],[Distribution Date]])</f>
        <v>2/2018</v>
      </c>
      <c r="D198" s="198" t="s">
        <v>1461</v>
      </c>
      <c r="E198" s="198"/>
      <c r="F198" s="198" t="s">
        <v>506</v>
      </c>
      <c r="G198" s="197" t="s">
        <v>297</v>
      </c>
      <c r="H198" s="198" t="s">
        <v>759</v>
      </c>
      <c r="I198" s="183">
        <v>18</v>
      </c>
      <c r="J198" s="541"/>
      <c r="K198" s="541"/>
      <c r="L198" s="541"/>
      <c r="M198" s="541"/>
      <c r="N198" s="541"/>
      <c r="O198" s="541"/>
      <c r="P198" s="541"/>
      <c r="Q198" s="541"/>
      <c r="R198" s="541"/>
      <c r="S198" s="541"/>
      <c r="T198" s="541"/>
      <c r="U198" s="541"/>
      <c r="V198" s="541"/>
      <c r="W198" s="541"/>
      <c r="X198" s="541"/>
      <c r="Y198" s="541"/>
      <c r="Z198" s="541"/>
      <c r="AA198" s="541"/>
      <c r="AB198" s="541"/>
      <c r="AC198" s="542" t="e">
        <f>IF(NFI_Expiration=1,IF(#REF!&lt;VLOOKUP(L$5,NFI,5,0),1,0)*Table_NFI[[#This Row],[NFI Core Kit]],Table_NFI[NFI Core Kit])</f>
        <v>#REF!</v>
      </c>
      <c r="AD198" s="542" t="e">
        <f>IF(NFI_Expiration=1,IF(#REF!&lt;VLOOKUP(M$5,NFI,5,0),1,0)*Table_NFI[[#This Row],[Sanitary Kit]],Table_NFI[Sanitary Kit])</f>
        <v>#REF!</v>
      </c>
      <c r="AE198" s="542" t="e">
        <f>IF(NFI_Expiration=1,IF(#REF!&lt;VLOOKUP(N$5,NFI,5,0),1,0)*Table_NFI[[#This Row],[Mosquito net]],Table_NFI[Mosquito net])</f>
        <v>#REF!</v>
      </c>
      <c r="AF198" s="542" t="e">
        <f>IF(NFI_Expiration=1,IF(#REF!&lt;VLOOKUP(O$5,NFI,5,0),1,0)*Table_NFI[[#This Row],[Tarpaulin]],Table_NFI[[#This Row],[Tarpaulin]])</f>
        <v>#REF!</v>
      </c>
      <c r="AG198" s="542" t="e">
        <f>IF(NFI_Expiration=1,IF(#REF!&lt;VLOOKUP(P$5,NFI,5,0),1,0)*Table_NFI[[#This Row],[Blanket]],Table_NFI[[#This Row],[Blanket]])</f>
        <v>#REF!</v>
      </c>
      <c r="AH198" s="542" t="e">
        <f>IF(NFI_Expiration=1,IF(#REF!&lt;VLOOKUP(Q$5,NFI,5,0),1,0)*Table_NFI[[#This Row],[Kitchen Set]],Table_NFI[Kitchen Set])</f>
        <v>#REF!</v>
      </c>
      <c r="AI198" s="542" t="e">
        <f>IF(NFI_Expiration=1,IF(#REF!&lt;VLOOKUP(R$5,NFI,5,0),1,0)*Table_NFI[[#This Row],[Clothes Kit]],Table_NFI[Clothes Kit])</f>
        <v>#REF!</v>
      </c>
      <c r="AJ198" s="542" t="e">
        <f>IF(NFI_Expiration=1,IF(#REF!&lt;VLOOKUP(S$5,NFI,5,0),1,0)*Table_NFI[[#This Row],[Plastic Bucket]],Table_NFI[Plastic Bucket])</f>
        <v>#REF!</v>
      </c>
      <c r="AK198" s="542" t="e">
        <f>IF(NFI_Expiration=1,IF(#REF!&lt;VLOOKUP(T$5,NFI,5,0),1,0)*Table_NFI[[#This Row],[Plastic Mat]],Table_NFI[Plastic Mat])*IF(Table_NFI[[#This Row],[Distribution Date]]&gt;"2014-04-01",1,2.5)</f>
        <v>#REF!</v>
      </c>
      <c r="AL198" s="542" t="e">
        <f>IF(NFI_Expiration=1,IF(#REF!&lt;VLOOKUP(U$5,NFI,5,0),1,0)*Table_NFI[[#This Row],[Winter Clothes Adult]],Table_NFI[Winter Clothes Adult])</f>
        <v>#REF!</v>
      </c>
      <c r="AM198" s="542"/>
      <c r="AN198" s="542"/>
      <c r="AO198" s="542"/>
      <c r="AP198" s="542">
        <f>IF(Table_NFI[[#This Row],[Winter Clothes Adult]]+Table_NFI[[#This Row],[Winter Clothes Children]]+Table_NFI[[#This Row],[Winter Items Other]]+Table_NFI[[#This Row],[Winter Blanket]]&gt;0,1,0)</f>
        <v>0</v>
      </c>
      <c r="AQ198" s="542"/>
      <c r="AR198" s="542"/>
      <c r="AS198" s="542"/>
      <c r="AT198" s="205" t="str">
        <f>IFERROR(VLOOKUP(Table_NFI[[#This Row],[Location]],CL,2,0),"")</f>
        <v>MMR015CMP014</v>
      </c>
      <c r="AU198" s="183" t="s">
        <v>1624</v>
      </c>
    </row>
    <row r="199" spans="2:47" x14ac:dyDescent="0.3">
      <c r="B199" s="540">
        <v>43143</v>
      </c>
      <c r="C199" s="540" t="str">
        <f>MONTH(Table_NFI[[#This Row],[Distribution Date]]) &amp; "/" &amp; YEAR(Table_NFI[[#This Row],[Distribution Date]])</f>
        <v>2/2018</v>
      </c>
      <c r="D199" s="198" t="s">
        <v>1461</v>
      </c>
      <c r="E199" s="198"/>
      <c r="F199" s="198" t="s">
        <v>378</v>
      </c>
      <c r="G199" s="197" t="s">
        <v>151</v>
      </c>
      <c r="H199" s="198" t="s">
        <v>154</v>
      </c>
      <c r="I199" s="183"/>
      <c r="J199" s="541">
        <v>8</v>
      </c>
      <c r="K199" s="541"/>
      <c r="L199" s="541"/>
      <c r="M199" s="541"/>
      <c r="N199" s="541"/>
      <c r="O199" s="541"/>
      <c r="P199" s="541"/>
      <c r="Q199" s="541">
        <v>8</v>
      </c>
      <c r="R199" s="541"/>
      <c r="S199" s="541"/>
      <c r="T199" s="541"/>
      <c r="U199" s="541">
        <v>8</v>
      </c>
      <c r="V199" s="541">
        <v>8</v>
      </c>
      <c r="W199" s="541">
        <v>8</v>
      </c>
      <c r="X199" s="541"/>
      <c r="Y199" s="541"/>
      <c r="Z199" s="541"/>
      <c r="AA199" s="541"/>
      <c r="AB199" s="541"/>
      <c r="AC199" s="542" t="e">
        <f>IF(NFI_Expiration=1,IF(#REF!&lt;VLOOKUP(L$5,NFI,5,0),1,0)*Table_NFI[[#This Row],[NFI Core Kit]],Table_NFI[NFI Core Kit])</f>
        <v>#REF!</v>
      </c>
      <c r="AD199" s="542" t="e">
        <f>IF(NFI_Expiration=1,IF(#REF!&lt;VLOOKUP(M$5,NFI,5,0),1,0)*Table_NFI[[#This Row],[Sanitary Kit]],Table_NFI[Sanitary Kit])</f>
        <v>#REF!</v>
      </c>
      <c r="AE199" s="542" t="e">
        <f>IF(NFI_Expiration=1,IF(#REF!&lt;VLOOKUP(N$5,NFI,5,0),1,0)*Table_NFI[[#This Row],[Mosquito net]],Table_NFI[Mosquito net])</f>
        <v>#REF!</v>
      </c>
      <c r="AF199" s="542" t="e">
        <f>IF(NFI_Expiration=1,IF(#REF!&lt;VLOOKUP(O$5,NFI,5,0),1,0)*Table_NFI[[#This Row],[Tarpaulin]],Table_NFI[[#This Row],[Tarpaulin]])</f>
        <v>#REF!</v>
      </c>
      <c r="AG199" s="542" t="e">
        <f>IF(NFI_Expiration=1,IF(#REF!&lt;VLOOKUP(P$5,NFI,5,0),1,0)*Table_NFI[[#This Row],[Blanket]],Table_NFI[[#This Row],[Blanket]])</f>
        <v>#REF!</v>
      </c>
      <c r="AH199" s="542" t="e">
        <f>IF(NFI_Expiration=1,IF(#REF!&lt;VLOOKUP(Q$5,NFI,5,0),1,0)*Table_NFI[[#This Row],[Kitchen Set]],Table_NFI[Kitchen Set])</f>
        <v>#REF!</v>
      </c>
      <c r="AI199" s="542" t="e">
        <f>IF(NFI_Expiration=1,IF(#REF!&lt;VLOOKUP(R$5,NFI,5,0),1,0)*Table_NFI[[#This Row],[Clothes Kit]],Table_NFI[Clothes Kit])</f>
        <v>#REF!</v>
      </c>
      <c r="AJ199" s="542" t="e">
        <f>IF(NFI_Expiration=1,IF(#REF!&lt;VLOOKUP(S$5,NFI,5,0),1,0)*Table_NFI[[#This Row],[Plastic Bucket]],Table_NFI[Plastic Bucket])</f>
        <v>#REF!</v>
      </c>
      <c r="AK199" s="542" t="e">
        <f>IF(NFI_Expiration=1,IF(#REF!&lt;VLOOKUP(T$5,NFI,5,0),1,0)*Table_NFI[[#This Row],[Plastic Mat]],Table_NFI[Plastic Mat])*IF(Table_NFI[[#This Row],[Distribution Date]]&gt;"2014-04-01",1,2.5)</f>
        <v>#REF!</v>
      </c>
      <c r="AL199" s="542" t="e">
        <f>IF(NFI_Expiration=1,IF(#REF!&lt;VLOOKUP(U$5,NFI,5,0),1,0)*Table_NFI[[#This Row],[Winter Clothes Adult]],Table_NFI[Winter Clothes Adult])</f>
        <v>#REF!</v>
      </c>
      <c r="AM199" s="542"/>
      <c r="AN199" s="542"/>
      <c r="AO199" s="542"/>
      <c r="AP199" s="542">
        <f>IF(Table_NFI[[#This Row],[Winter Clothes Adult]]+Table_NFI[[#This Row],[Winter Clothes Children]]+Table_NFI[[#This Row],[Winter Items Other]]+Table_NFI[[#This Row],[Winter Blanket]]&gt;0,1,0)</f>
        <v>1</v>
      </c>
      <c r="AQ199" s="542"/>
      <c r="AR199" s="542"/>
      <c r="AS199" s="542"/>
      <c r="AT199" s="205" t="str">
        <f>IFERROR(VLOOKUP(Table_NFI[[#This Row],[Location]],CL,2,0),"")</f>
        <v>MMR001CMP132</v>
      </c>
      <c r="AU199" s="183"/>
    </row>
    <row r="200" spans="2:47" x14ac:dyDescent="0.3">
      <c r="B200" s="540">
        <v>43143</v>
      </c>
      <c r="C200" s="540" t="str">
        <f>MONTH(Table_NFI[[#This Row],[Distribution Date]]) &amp; "/" &amp; YEAR(Table_NFI[[#This Row],[Distribution Date]])</f>
        <v>2/2018</v>
      </c>
      <c r="D200" s="198" t="s">
        <v>1461</v>
      </c>
      <c r="E200" s="198"/>
      <c r="F200" s="198" t="s">
        <v>378</v>
      </c>
      <c r="G200" s="197" t="s">
        <v>151</v>
      </c>
      <c r="H200" s="198" t="s">
        <v>911</v>
      </c>
      <c r="I200" s="183">
        <v>1</v>
      </c>
      <c r="J200" s="541"/>
      <c r="K200" s="541"/>
      <c r="L200" s="541"/>
      <c r="M200" s="541"/>
      <c r="N200" s="541"/>
      <c r="O200" s="541"/>
      <c r="P200" s="541"/>
      <c r="Q200" s="541"/>
      <c r="R200" s="541"/>
      <c r="S200" s="541"/>
      <c r="T200" s="541"/>
      <c r="U200" s="541"/>
      <c r="V200" s="541"/>
      <c r="W200" s="541"/>
      <c r="X200" s="541"/>
      <c r="Y200" s="541"/>
      <c r="Z200" s="541"/>
      <c r="AA200" s="541"/>
      <c r="AB200" s="541"/>
      <c r="AC200" s="542" t="e">
        <f>IF(NFI_Expiration=1,IF(#REF!&lt;VLOOKUP(L$5,NFI,5,0),1,0)*Table_NFI[[#This Row],[NFI Core Kit]],Table_NFI[NFI Core Kit])</f>
        <v>#REF!</v>
      </c>
      <c r="AD200" s="542" t="e">
        <f>IF(NFI_Expiration=1,IF(#REF!&lt;VLOOKUP(M$5,NFI,5,0),1,0)*Table_NFI[[#This Row],[Sanitary Kit]],Table_NFI[Sanitary Kit])</f>
        <v>#REF!</v>
      </c>
      <c r="AE200" s="542" t="e">
        <f>IF(NFI_Expiration=1,IF(#REF!&lt;VLOOKUP(N$5,NFI,5,0),1,0)*Table_NFI[[#This Row],[Mosquito net]],Table_NFI[Mosquito net])</f>
        <v>#REF!</v>
      </c>
      <c r="AF200" s="542" t="e">
        <f>IF(NFI_Expiration=1,IF(#REF!&lt;VLOOKUP(O$5,NFI,5,0),1,0)*Table_NFI[[#This Row],[Tarpaulin]],Table_NFI[[#This Row],[Tarpaulin]])</f>
        <v>#REF!</v>
      </c>
      <c r="AG200" s="542" t="e">
        <f>IF(NFI_Expiration=1,IF(#REF!&lt;VLOOKUP(P$5,NFI,5,0),1,0)*Table_NFI[[#This Row],[Blanket]],Table_NFI[[#This Row],[Blanket]])</f>
        <v>#REF!</v>
      </c>
      <c r="AH200" s="542" t="e">
        <f>IF(NFI_Expiration=1,IF(#REF!&lt;VLOOKUP(Q$5,NFI,5,0),1,0)*Table_NFI[[#This Row],[Kitchen Set]],Table_NFI[Kitchen Set])</f>
        <v>#REF!</v>
      </c>
      <c r="AI200" s="542" t="e">
        <f>IF(NFI_Expiration=1,IF(#REF!&lt;VLOOKUP(R$5,NFI,5,0),1,0)*Table_NFI[[#This Row],[Clothes Kit]],Table_NFI[Clothes Kit])</f>
        <v>#REF!</v>
      </c>
      <c r="AJ200" s="542" t="e">
        <f>IF(NFI_Expiration=1,IF(#REF!&lt;VLOOKUP(S$5,NFI,5,0),1,0)*Table_NFI[[#This Row],[Plastic Bucket]],Table_NFI[Plastic Bucket])</f>
        <v>#REF!</v>
      </c>
      <c r="AK200" s="542" t="e">
        <f>IF(NFI_Expiration=1,IF(#REF!&lt;VLOOKUP(T$5,NFI,5,0),1,0)*Table_NFI[[#This Row],[Plastic Mat]],Table_NFI[Plastic Mat])*IF(Table_NFI[[#This Row],[Distribution Date]]&gt;"2014-04-01",1,2.5)</f>
        <v>#REF!</v>
      </c>
      <c r="AL200" s="542" t="e">
        <f>IF(NFI_Expiration=1,IF(#REF!&lt;VLOOKUP(U$5,NFI,5,0),1,0)*Table_NFI[[#This Row],[Winter Clothes Adult]],Table_NFI[Winter Clothes Adult])</f>
        <v>#REF!</v>
      </c>
      <c r="AM200" s="542"/>
      <c r="AN200" s="542"/>
      <c r="AO200" s="542"/>
      <c r="AP200" s="542">
        <f>IF(Table_NFI[[#This Row],[Winter Clothes Adult]]+Table_NFI[[#This Row],[Winter Clothes Children]]+Table_NFI[[#This Row],[Winter Items Other]]+Table_NFI[[#This Row],[Winter Blanket]]&gt;0,1,0)</f>
        <v>0</v>
      </c>
      <c r="AQ200" s="542"/>
      <c r="AR200" s="542"/>
      <c r="AS200" s="542"/>
      <c r="AT200" s="205" t="str">
        <f>IFERROR(VLOOKUP(Table_NFI[[#This Row],[Location]],CL,2,0),"")</f>
        <v>MMR001CMP228</v>
      </c>
      <c r="AU200" s="183"/>
    </row>
    <row r="201" spans="2:47" x14ac:dyDescent="0.3">
      <c r="B201" s="540">
        <v>43143</v>
      </c>
      <c r="C201" s="540" t="str">
        <f>MONTH(Table_NFI[[#This Row],[Distribution Date]]) &amp; "/" &amp; YEAR(Table_NFI[[#This Row],[Distribution Date]])</f>
        <v>2/2018</v>
      </c>
      <c r="D201" s="198" t="s">
        <v>1461</v>
      </c>
      <c r="E201" s="198"/>
      <c r="F201" s="198" t="s">
        <v>378</v>
      </c>
      <c r="G201" s="197" t="s">
        <v>151</v>
      </c>
      <c r="H201" s="198" t="s">
        <v>938</v>
      </c>
      <c r="I201" s="183">
        <v>1</v>
      </c>
      <c r="J201" s="541"/>
      <c r="K201" s="541"/>
      <c r="L201" s="541"/>
      <c r="M201" s="541"/>
      <c r="N201" s="541"/>
      <c r="O201" s="541"/>
      <c r="P201" s="541"/>
      <c r="Q201" s="541"/>
      <c r="R201" s="541"/>
      <c r="S201" s="541"/>
      <c r="T201" s="541"/>
      <c r="U201" s="541"/>
      <c r="V201" s="541"/>
      <c r="W201" s="541"/>
      <c r="X201" s="541"/>
      <c r="Y201" s="541"/>
      <c r="Z201" s="541"/>
      <c r="AA201" s="541"/>
      <c r="AB201" s="541"/>
      <c r="AC201" s="542" t="e">
        <f>IF(NFI_Expiration=1,IF(#REF!&lt;VLOOKUP(L$5,NFI,5,0),1,0)*Table_NFI[[#This Row],[NFI Core Kit]],Table_NFI[NFI Core Kit])</f>
        <v>#REF!</v>
      </c>
      <c r="AD201" s="542" t="e">
        <f>IF(NFI_Expiration=1,IF(#REF!&lt;VLOOKUP(M$5,NFI,5,0),1,0)*Table_NFI[[#This Row],[Sanitary Kit]],Table_NFI[Sanitary Kit])</f>
        <v>#REF!</v>
      </c>
      <c r="AE201" s="542" t="e">
        <f>IF(NFI_Expiration=1,IF(#REF!&lt;VLOOKUP(N$5,NFI,5,0),1,0)*Table_NFI[[#This Row],[Mosquito net]],Table_NFI[Mosquito net])</f>
        <v>#REF!</v>
      </c>
      <c r="AF201" s="542" t="e">
        <f>IF(NFI_Expiration=1,IF(#REF!&lt;VLOOKUP(O$5,NFI,5,0),1,0)*Table_NFI[[#This Row],[Tarpaulin]],Table_NFI[[#This Row],[Tarpaulin]])</f>
        <v>#REF!</v>
      </c>
      <c r="AG201" s="542" t="e">
        <f>IF(NFI_Expiration=1,IF(#REF!&lt;VLOOKUP(P$5,NFI,5,0),1,0)*Table_NFI[[#This Row],[Blanket]],Table_NFI[[#This Row],[Blanket]])</f>
        <v>#REF!</v>
      </c>
      <c r="AH201" s="542" t="e">
        <f>IF(NFI_Expiration=1,IF(#REF!&lt;VLOOKUP(Q$5,NFI,5,0),1,0)*Table_NFI[[#This Row],[Kitchen Set]],Table_NFI[Kitchen Set])</f>
        <v>#REF!</v>
      </c>
      <c r="AI201" s="542" t="e">
        <f>IF(NFI_Expiration=1,IF(#REF!&lt;VLOOKUP(R$5,NFI,5,0),1,0)*Table_NFI[[#This Row],[Clothes Kit]],Table_NFI[Clothes Kit])</f>
        <v>#REF!</v>
      </c>
      <c r="AJ201" s="542" t="e">
        <f>IF(NFI_Expiration=1,IF(#REF!&lt;VLOOKUP(S$5,NFI,5,0),1,0)*Table_NFI[[#This Row],[Plastic Bucket]],Table_NFI[Plastic Bucket])</f>
        <v>#REF!</v>
      </c>
      <c r="AK201" s="542" t="e">
        <f>IF(NFI_Expiration=1,IF(#REF!&lt;VLOOKUP(T$5,NFI,5,0),1,0)*Table_NFI[[#This Row],[Plastic Mat]],Table_NFI[Plastic Mat])*IF(Table_NFI[[#This Row],[Distribution Date]]&gt;"2014-04-01",1,2.5)</f>
        <v>#REF!</v>
      </c>
      <c r="AL201" s="542" t="e">
        <f>IF(NFI_Expiration=1,IF(#REF!&lt;VLOOKUP(U$5,NFI,5,0),1,0)*Table_NFI[[#This Row],[Winter Clothes Adult]],Table_NFI[Winter Clothes Adult])</f>
        <v>#REF!</v>
      </c>
      <c r="AM201" s="542"/>
      <c r="AN201" s="542"/>
      <c r="AO201" s="542"/>
      <c r="AP201" s="542">
        <f>IF(Table_NFI[[#This Row],[Winter Clothes Adult]]+Table_NFI[[#This Row],[Winter Clothes Children]]+Table_NFI[[#This Row],[Winter Items Other]]+Table_NFI[[#This Row],[Winter Blanket]]&gt;0,1,0)</f>
        <v>0</v>
      </c>
      <c r="AQ201" s="542"/>
      <c r="AR201" s="542"/>
      <c r="AS201" s="542"/>
      <c r="AT201" s="205" t="str">
        <f>IFERROR(VLOOKUP(Table_NFI[[#This Row],[Location]],CL,2,0),"")</f>
        <v>MMR001CMP230</v>
      </c>
      <c r="AU201" s="183"/>
    </row>
    <row r="202" spans="2:47" x14ac:dyDescent="0.3">
      <c r="B202" s="540">
        <v>43145</v>
      </c>
      <c r="C202" s="540" t="str">
        <f>MONTH(Table_NFI[[#This Row],[Distribution Date]]) &amp; "/" &amp; YEAR(Table_NFI[[#This Row],[Distribution Date]])</f>
        <v>2/2018</v>
      </c>
      <c r="D202" s="198" t="s">
        <v>1461</v>
      </c>
      <c r="E202" s="198"/>
      <c r="F202" s="198" t="s">
        <v>506</v>
      </c>
      <c r="G202" s="197" t="s">
        <v>297</v>
      </c>
      <c r="H202" s="198" t="s">
        <v>1278</v>
      </c>
      <c r="I202" s="183">
        <v>1</v>
      </c>
      <c r="J202" s="541"/>
      <c r="K202" s="541"/>
      <c r="L202" s="541"/>
      <c r="M202" s="541"/>
      <c r="N202" s="541"/>
      <c r="O202" s="541"/>
      <c r="P202" s="541"/>
      <c r="Q202" s="541"/>
      <c r="R202" s="541"/>
      <c r="S202" s="541"/>
      <c r="T202" s="541"/>
      <c r="U202" s="541"/>
      <c r="V202" s="541"/>
      <c r="W202" s="541"/>
      <c r="X202" s="541"/>
      <c r="Y202" s="541"/>
      <c r="Z202" s="541"/>
      <c r="AA202" s="541"/>
      <c r="AB202" s="541"/>
      <c r="AC202" s="542" t="e">
        <f>IF(NFI_Expiration=1,IF(#REF!&lt;VLOOKUP(L$5,NFI,5,0),1,0)*Table_NFI[[#This Row],[NFI Core Kit]],Table_NFI[NFI Core Kit])</f>
        <v>#REF!</v>
      </c>
      <c r="AD202" s="542" t="e">
        <f>IF(NFI_Expiration=1,IF(#REF!&lt;VLOOKUP(M$5,NFI,5,0),1,0)*Table_NFI[[#This Row],[Sanitary Kit]],Table_NFI[Sanitary Kit])</f>
        <v>#REF!</v>
      </c>
      <c r="AE202" s="542" t="e">
        <f>IF(NFI_Expiration=1,IF(#REF!&lt;VLOOKUP(N$5,NFI,5,0),1,0)*Table_NFI[[#This Row],[Mosquito net]],Table_NFI[Mosquito net])</f>
        <v>#REF!</v>
      </c>
      <c r="AF202" s="542" t="e">
        <f>IF(NFI_Expiration=1,IF(#REF!&lt;VLOOKUP(O$5,NFI,5,0),1,0)*Table_NFI[[#This Row],[Tarpaulin]],Table_NFI[[#This Row],[Tarpaulin]])</f>
        <v>#REF!</v>
      </c>
      <c r="AG202" s="542" t="e">
        <f>IF(NFI_Expiration=1,IF(#REF!&lt;VLOOKUP(P$5,NFI,5,0),1,0)*Table_NFI[[#This Row],[Blanket]],Table_NFI[[#This Row],[Blanket]])</f>
        <v>#REF!</v>
      </c>
      <c r="AH202" s="542" t="e">
        <f>IF(NFI_Expiration=1,IF(#REF!&lt;VLOOKUP(Q$5,NFI,5,0),1,0)*Table_NFI[[#This Row],[Kitchen Set]],Table_NFI[Kitchen Set])</f>
        <v>#REF!</v>
      </c>
      <c r="AI202" s="542" t="e">
        <f>IF(NFI_Expiration=1,IF(#REF!&lt;VLOOKUP(R$5,NFI,5,0),1,0)*Table_NFI[[#This Row],[Clothes Kit]],Table_NFI[Clothes Kit])</f>
        <v>#REF!</v>
      </c>
      <c r="AJ202" s="542" t="e">
        <f>IF(NFI_Expiration=1,IF(#REF!&lt;VLOOKUP(S$5,NFI,5,0),1,0)*Table_NFI[[#This Row],[Plastic Bucket]],Table_NFI[Plastic Bucket])</f>
        <v>#REF!</v>
      </c>
      <c r="AK202" s="542" t="e">
        <f>IF(NFI_Expiration=1,IF(#REF!&lt;VLOOKUP(T$5,NFI,5,0),1,0)*Table_NFI[[#This Row],[Plastic Mat]],Table_NFI[Plastic Mat])*IF(Table_NFI[[#This Row],[Distribution Date]]&gt;"2014-04-01",1,2.5)</f>
        <v>#REF!</v>
      </c>
      <c r="AL202" s="542" t="e">
        <f>IF(NFI_Expiration=1,IF(#REF!&lt;VLOOKUP(U$5,NFI,5,0),1,0)*Table_NFI[[#This Row],[Winter Clothes Adult]],Table_NFI[Winter Clothes Adult])</f>
        <v>#REF!</v>
      </c>
      <c r="AM202" s="542"/>
      <c r="AN202" s="542"/>
      <c r="AO202" s="542"/>
      <c r="AP202" s="542">
        <f>IF(Table_NFI[[#This Row],[Winter Clothes Adult]]+Table_NFI[[#This Row],[Winter Clothes Children]]+Table_NFI[[#This Row],[Winter Items Other]]+Table_NFI[[#This Row],[Winter Blanket]]&gt;0,1,0)</f>
        <v>0</v>
      </c>
      <c r="AQ202" s="542"/>
      <c r="AR202" s="542"/>
      <c r="AS202" s="542"/>
      <c r="AT202" s="205" t="str">
        <f>IFERROR(VLOOKUP(Table_NFI[[#This Row],[Location]],CL,2,0),"")</f>
        <v>MMR015CMP248</v>
      </c>
      <c r="AU202" s="183"/>
    </row>
    <row r="203" spans="2:47" x14ac:dyDescent="0.3">
      <c r="B203" s="540">
        <v>43145</v>
      </c>
      <c r="C203" s="540" t="str">
        <f>MONTH(Table_NFI[[#This Row],[Distribution Date]]) &amp; "/" &amp; YEAR(Table_NFI[[#This Row],[Distribution Date]])</f>
        <v>2/2018</v>
      </c>
      <c r="D203" s="198" t="s">
        <v>1461</v>
      </c>
      <c r="E203" s="198"/>
      <c r="F203" s="198" t="s">
        <v>506</v>
      </c>
      <c r="G203" s="197" t="s">
        <v>297</v>
      </c>
      <c r="H203" s="198" t="s">
        <v>1191</v>
      </c>
      <c r="I203" s="183">
        <v>1</v>
      </c>
      <c r="J203" s="541"/>
      <c r="K203" s="541"/>
      <c r="L203" s="541"/>
      <c r="M203" s="541"/>
      <c r="N203" s="541"/>
      <c r="O203" s="541"/>
      <c r="P203" s="541"/>
      <c r="Q203" s="541"/>
      <c r="R203" s="541"/>
      <c r="S203" s="541"/>
      <c r="T203" s="541"/>
      <c r="U203" s="541"/>
      <c r="V203" s="541"/>
      <c r="W203" s="541"/>
      <c r="X203" s="541"/>
      <c r="Y203" s="541"/>
      <c r="Z203" s="541"/>
      <c r="AA203" s="541"/>
      <c r="AB203" s="541"/>
      <c r="AC203" s="542" t="e">
        <f>IF(NFI_Expiration=1,IF(#REF!&lt;VLOOKUP(L$5,NFI,5,0),1,0)*Table_NFI[[#This Row],[NFI Core Kit]],Table_NFI[NFI Core Kit])</f>
        <v>#REF!</v>
      </c>
      <c r="AD203" s="542" t="e">
        <f>IF(NFI_Expiration=1,IF(#REF!&lt;VLOOKUP(M$5,NFI,5,0),1,0)*Table_NFI[[#This Row],[Sanitary Kit]],Table_NFI[Sanitary Kit])</f>
        <v>#REF!</v>
      </c>
      <c r="AE203" s="542" t="e">
        <f>IF(NFI_Expiration=1,IF(#REF!&lt;VLOOKUP(N$5,NFI,5,0),1,0)*Table_NFI[[#This Row],[Mosquito net]],Table_NFI[Mosquito net])</f>
        <v>#REF!</v>
      </c>
      <c r="AF203" s="542" t="e">
        <f>IF(NFI_Expiration=1,IF(#REF!&lt;VLOOKUP(O$5,NFI,5,0),1,0)*Table_NFI[[#This Row],[Tarpaulin]],Table_NFI[[#This Row],[Tarpaulin]])</f>
        <v>#REF!</v>
      </c>
      <c r="AG203" s="542" t="e">
        <f>IF(NFI_Expiration=1,IF(#REF!&lt;VLOOKUP(P$5,NFI,5,0),1,0)*Table_NFI[[#This Row],[Blanket]],Table_NFI[[#This Row],[Blanket]])</f>
        <v>#REF!</v>
      </c>
      <c r="AH203" s="542" t="e">
        <f>IF(NFI_Expiration=1,IF(#REF!&lt;VLOOKUP(Q$5,NFI,5,0),1,0)*Table_NFI[[#This Row],[Kitchen Set]],Table_NFI[Kitchen Set])</f>
        <v>#REF!</v>
      </c>
      <c r="AI203" s="542" t="e">
        <f>IF(NFI_Expiration=1,IF(#REF!&lt;VLOOKUP(R$5,NFI,5,0),1,0)*Table_NFI[[#This Row],[Clothes Kit]],Table_NFI[Clothes Kit])</f>
        <v>#REF!</v>
      </c>
      <c r="AJ203" s="542" t="e">
        <f>IF(NFI_Expiration=1,IF(#REF!&lt;VLOOKUP(S$5,NFI,5,0),1,0)*Table_NFI[[#This Row],[Plastic Bucket]],Table_NFI[Plastic Bucket])</f>
        <v>#REF!</v>
      </c>
      <c r="AK203" s="542" t="e">
        <f>IF(NFI_Expiration=1,IF(#REF!&lt;VLOOKUP(T$5,NFI,5,0),1,0)*Table_NFI[[#This Row],[Plastic Mat]],Table_NFI[Plastic Mat])*IF(Table_NFI[[#This Row],[Distribution Date]]&gt;"2014-04-01",1,2.5)</f>
        <v>#REF!</v>
      </c>
      <c r="AL203" s="542" t="e">
        <f>IF(NFI_Expiration=1,IF(#REF!&lt;VLOOKUP(U$5,NFI,5,0),1,0)*Table_NFI[[#This Row],[Winter Clothes Adult]],Table_NFI[Winter Clothes Adult])</f>
        <v>#REF!</v>
      </c>
      <c r="AM203" s="542"/>
      <c r="AN203" s="542"/>
      <c r="AO203" s="542"/>
      <c r="AP203" s="542">
        <f>IF(Table_NFI[[#This Row],[Winter Clothes Adult]]+Table_NFI[[#This Row],[Winter Clothes Children]]+Table_NFI[[#This Row],[Winter Items Other]]+Table_NFI[[#This Row],[Winter Blanket]]&gt;0,1,0)</f>
        <v>0</v>
      </c>
      <c r="AQ203" s="542"/>
      <c r="AR203" s="542"/>
      <c r="AS203" s="542"/>
      <c r="AT203" s="205" t="str">
        <f>IFERROR(VLOOKUP(Table_NFI[[#This Row],[Location]],CL,2,0),"")</f>
        <v>MMR015CMP232</v>
      </c>
      <c r="AU203" s="183"/>
    </row>
    <row r="204" spans="2:47" x14ac:dyDescent="0.3">
      <c r="B204" s="540">
        <v>43151</v>
      </c>
      <c r="C204" s="540" t="str">
        <f>MONTH(Table_NFI[[#This Row],[Distribution Date]]) &amp; "/" &amp; YEAR(Table_NFI[[#This Row],[Distribution Date]])</f>
        <v>2/2018</v>
      </c>
      <c r="D204" s="198" t="s">
        <v>1461</v>
      </c>
      <c r="E204" s="198"/>
      <c r="F204" s="198" t="s">
        <v>506</v>
      </c>
      <c r="G204" s="197" t="s">
        <v>288</v>
      </c>
      <c r="H204" s="198" t="s">
        <v>1130</v>
      </c>
      <c r="I204" s="183"/>
      <c r="J204" s="541">
        <v>2</v>
      </c>
      <c r="K204" s="541"/>
      <c r="L204" s="541"/>
      <c r="M204" s="541"/>
      <c r="N204" s="541">
        <v>2</v>
      </c>
      <c r="O204" s="541"/>
      <c r="P204" s="541">
        <v>2</v>
      </c>
      <c r="Q204" s="541">
        <v>2</v>
      </c>
      <c r="R204" s="541"/>
      <c r="S204" s="541"/>
      <c r="T204" s="541"/>
      <c r="U204" s="541">
        <v>2</v>
      </c>
      <c r="V204" s="541">
        <v>2</v>
      </c>
      <c r="W204" s="541">
        <v>2</v>
      </c>
      <c r="X204" s="541"/>
      <c r="Y204" s="541"/>
      <c r="Z204" s="541"/>
      <c r="AA204" s="541"/>
      <c r="AB204" s="541"/>
      <c r="AC204" s="542" t="e">
        <f>IF(NFI_Expiration=1,IF(#REF!&lt;VLOOKUP(L$5,NFI,5,0),1,0)*Table_NFI[[#This Row],[NFI Core Kit]],Table_NFI[NFI Core Kit])</f>
        <v>#REF!</v>
      </c>
      <c r="AD204" s="542" t="e">
        <f>IF(NFI_Expiration=1,IF(#REF!&lt;VLOOKUP(M$5,NFI,5,0),1,0)*Table_NFI[[#This Row],[Sanitary Kit]],Table_NFI[Sanitary Kit])</f>
        <v>#REF!</v>
      </c>
      <c r="AE204" s="542" t="e">
        <f>IF(NFI_Expiration=1,IF(#REF!&lt;VLOOKUP(N$5,NFI,5,0),1,0)*Table_NFI[[#This Row],[Mosquito net]],Table_NFI[Mosquito net])</f>
        <v>#REF!</v>
      </c>
      <c r="AF204" s="542" t="e">
        <f>IF(NFI_Expiration=1,IF(#REF!&lt;VLOOKUP(O$5,NFI,5,0),1,0)*Table_NFI[[#This Row],[Tarpaulin]],Table_NFI[[#This Row],[Tarpaulin]])</f>
        <v>#REF!</v>
      </c>
      <c r="AG204" s="542" t="e">
        <f>IF(NFI_Expiration=1,IF(#REF!&lt;VLOOKUP(P$5,NFI,5,0),1,0)*Table_NFI[[#This Row],[Blanket]],Table_NFI[[#This Row],[Blanket]])</f>
        <v>#REF!</v>
      </c>
      <c r="AH204" s="542" t="e">
        <f>IF(NFI_Expiration=1,IF(#REF!&lt;VLOOKUP(Q$5,NFI,5,0),1,0)*Table_NFI[[#This Row],[Kitchen Set]],Table_NFI[Kitchen Set])</f>
        <v>#REF!</v>
      </c>
      <c r="AI204" s="542" t="e">
        <f>IF(NFI_Expiration=1,IF(#REF!&lt;VLOOKUP(R$5,NFI,5,0),1,0)*Table_NFI[[#This Row],[Clothes Kit]],Table_NFI[Clothes Kit])</f>
        <v>#REF!</v>
      </c>
      <c r="AJ204" s="542" t="e">
        <f>IF(NFI_Expiration=1,IF(#REF!&lt;VLOOKUP(S$5,NFI,5,0),1,0)*Table_NFI[[#This Row],[Plastic Bucket]],Table_NFI[Plastic Bucket])</f>
        <v>#REF!</v>
      </c>
      <c r="AK204" s="542" t="e">
        <f>IF(NFI_Expiration=1,IF(#REF!&lt;VLOOKUP(T$5,NFI,5,0),1,0)*Table_NFI[[#This Row],[Plastic Mat]],Table_NFI[Plastic Mat])*IF(Table_NFI[[#This Row],[Distribution Date]]&gt;"2014-04-01",1,2.5)</f>
        <v>#REF!</v>
      </c>
      <c r="AL204" s="542" t="e">
        <f>IF(NFI_Expiration=1,IF(#REF!&lt;VLOOKUP(U$5,NFI,5,0),1,0)*Table_NFI[[#This Row],[Winter Clothes Adult]],Table_NFI[Winter Clothes Adult])</f>
        <v>#REF!</v>
      </c>
      <c r="AM204" s="542"/>
      <c r="AN204" s="542"/>
      <c r="AO204" s="542"/>
      <c r="AP204" s="542">
        <f>IF(Table_NFI[[#This Row],[Winter Clothes Adult]]+Table_NFI[[#This Row],[Winter Clothes Children]]+Table_NFI[[#This Row],[Winter Items Other]]+Table_NFI[[#This Row],[Winter Blanket]]&gt;0,1,0)</f>
        <v>1</v>
      </c>
      <c r="AQ204" s="542"/>
      <c r="AR204" s="542"/>
      <c r="AS204" s="542"/>
      <c r="AT204" s="205" t="str">
        <f>IFERROR(VLOOKUP(Table_NFI[[#This Row],[Location]],CL,2,0),"")</f>
        <v>MMR015CMP224</v>
      </c>
      <c r="AU204" s="183"/>
    </row>
    <row r="205" spans="2:47" x14ac:dyDescent="0.3">
      <c r="B205" s="540">
        <v>43152</v>
      </c>
      <c r="C205" s="540" t="str">
        <f>MONTH(Table_NFI[[#This Row],[Distribution Date]]) &amp; "/" &amp; YEAR(Table_NFI[[#This Row],[Distribution Date]])</f>
        <v>2/2018</v>
      </c>
      <c r="D205" s="198" t="s">
        <v>1461</v>
      </c>
      <c r="E205" s="198"/>
      <c r="F205" s="198" t="s">
        <v>506</v>
      </c>
      <c r="G205" s="197" t="s">
        <v>288</v>
      </c>
      <c r="H205" s="198" t="s">
        <v>1130</v>
      </c>
      <c r="I205" s="183">
        <v>1</v>
      </c>
      <c r="J205" s="541"/>
      <c r="K205" s="541"/>
      <c r="L205" s="541"/>
      <c r="M205" s="541"/>
      <c r="N205" s="541"/>
      <c r="O205" s="541"/>
      <c r="P205" s="541"/>
      <c r="Q205" s="541"/>
      <c r="R205" s="541"/>
      <c r="S205" s="541"/>
      <c r="T205" s="541"/>
      <c r="U205" s="541"/>
      <c r="V205" s="541"/>
      <c r="W205" s="541"/>
      <c r="X205" s="541"/>
      <c r="Y205" s="541"/>
      <c r="Z205" s="541"/>
      <c r="AA205" s="541"/>
      <c r="AB205" s="541"/>
      <c r="AC205" s="542" t="e">
        <f>IF(NFI_Expiration=1,IF(#REF!&lt;VLOOKUP(L$5,NFI,5,0),1,0)*Table_NFI[[#This Row],[NFI Core Kit]],Table_NFI[NFI Core Kit])</f>
        <v>#REF!</v>
      </c>
      <c r="AD205" s="542" t="e">
        <f>IF(NFI_Expiration=1,IF(#REF!&lt;VLOOKUP(M$5,NFI,5,0),1,0)*Table_NFI[[#This Row],[Sanitary Kit]],Table_NFI[Sanitary Kit])</f>
        <v>#REF!</v>
      </c>
      <c r="AE205" s="542" t="e">
        <f>IF(NFI_Expiration=1,IF(#REF!&lt;VLOOKUP(N$5,NFI,5,0),1,0)*Table_NFI[[#This Row],[Mosquito net]],Table_NFI[Mosquito net])</f>
        <v>#REF!</v>
      </c>
      <c r="AF205" s="542" t="e">
        <f>IF(NFI_Expiration=1,IF(#REF!&lt;VLOOKUP(O$5,NFI,5,0),1,0)*Table_NFI[[#This Row],[Tarpaulin]],Table_NFI[[#This Row],[Tarpaulin]])</f>
        <v>#REF!</v>
      </c>
      <c r="AG205" s="542" t="e">
        <f>IF(NFI_Expiration=1,IF(#REF!&lt;VLOOKUP(P$5,NFI,5,0),1,0)*Table_NFI[[#This Row],[Blanket]],Table_NFI[[#This Row],[Blanket]])</f>
        <v>#REF!</v>
      </c>
      <c r="AH205" s="542" t="e">
        <f>IF(NFI_Expiration=1,IF(#REF!&lt;VLOOKUP(Q$5,NFI,5,0),1,0)*Table_NFI[[#This Row],[Kitchen Set]],Table_NFI[Kitchen Set])</f>
        <v>#REF!</v>
      </c>
      <c r="AI205" s="542" t="e">
        <f>IF(NFI_Expiration=1,IF(#REF!&lt;VLOOKUP(R$5,NFI,5,0),1,0)*Table_NFI[[#This Row],[Clothes Kit]],Table_NFI[Clothes Kit])</f>
        <v>#REF!</v>
      </c>
      <c r="AJ205" s="542" t="e">
        <f>IF(NFI_Expiration=1,IF(#REF!&lt;VLOOKUP(S$5,NFI,5,0),1,0)*Table_NFI[[#This Row],[Plastic Bucket]],Table_NFI[Plastic Bucket])</f>
        <v>#REF!</v>
      </c>
      <c r="AK205" s="542" t="e">
        <f>IF(NFI_Expiration=1,IF(#REF!&lt;VLOOKUP(T$5,NFI,5,0),1,0)*Table_NFI[[#This Row],[Plastic Mat]],Table_NFI[Plastic Mat])*IF(Table_NFI[[#This Row],[Distribution Date]]&gt;"2014-04-01",1,2.5)</f>
        <v>#REF!</v>
      </c>
      <c r="AL205" s="542" t="e">
        <f>IF(NFI_Expiration=1,IF(#REF!&lt;VLOOKUP(U$5,NFI,5,0),1,0)*Table_NFI[[#This Row],[Winter Clothes Adult]],Table_NFI[Winter Clothes Adult])</f>
        <v>#REF!</v>
      </c>
      <c r="AM205" s="542"/>
      <c r="AN205" s="542"/>
      <c r="AO205" s="542"/>
      <c r="AP205" s="542">
        <f>IF(Table_NFI[[#This Row],[Winter Clothes Adult]]+Table_NFI[[#This Row],[Winter Clothes Children]]+Table_NFI[[#This Row],[Winter Items Other]]+Table_NFI[[#This Row],[Winter Blanket]]&gt;0,1,0)</f>
        <v>0</v>
      </c>
      <c r="AQ205" s="542"/>
      <c r="AR205" s="542"/>
      <c r="AS205" s="542"/>
      <c r="AT205" s="205" t="str">
        <f>IFERROR(VLOOKUP(Table_NFI[[#This Row],[Location]],CL,2,0),"")</f>
        <v>MMR015CMP224</v>
      </c>
      <c r="AU205" s="183"/>
    </row>
    <row r="206" spans="2:47" x14ac:dyDescent="0.3">
      <c r="B206" s="540">
        <v>43166</v>
      </c>
      <c r="C206" s="540" t="str">
        <f>MONTH(Table_NFI[[#This Row],[Distribution Date]]) &amp; "/" &amp; YEAR(Table_NFI[[#This Row],[Distribution Date]])</f>
        <v>3/2018</v>
      </c>
      <c r="D206" s="198" t="s">
        <v>1461</v>
      </c>
      <c r="E206" s="198"/>
      <c r="F206" s="198" t="s">
        <v>378</v>
      </c>
      <c r="G206" s="197" t="s">
        <v>151</v>
      </c>
      <c r="H206" s="198" t="s">
        <v>154</v>
      </c>
      <c r="I206" s="183">
        <v>2</v>
      </c>
      <c r="J206" s="541"/>
      <c r="K206" s="541"/>
      <c r="L206" s="541"/>
      <c r="M206" s="541"/>
      <c r="N206" s="541"/>
      <c r="O206" s="541"/>
      <c r="P206" s="541"/>
      <c r="Q206" s="541"/>
      <c r="R206" s="541"/>
      <c r="S206" s="541"/>
      <c r="T206" s="541"/>
      <c r="U206" s="541"/>
      <c r="V206" s="541"/>
      <c r="W206" s="541"/>
      <c r="X206" s="541"/>
      <c r="Y206" s="541"/>
      <c r="Z206" s="541"/>
      <c r="AA206" s="541"/>
      <c r="AB206" s="541"/>
      <c r="AC206" s="542" t="e">
        <f>IF(NFI_Expiration=1,IF(#REF!&lt;VLOOKUP(L$5,NFI,5,0),1,0)*Table_NFI[[#This Row],[NFI Core Kit]],Table_NFI[NFI Core Kit])</f>
        <v>#REF!</v>
      </c>
      <c r="AD206" s="542" t="e">
        <f>IF(NFI_Expiration=1,IF(#REF!&lt;VLOOKUP(M$5,NFI,5,0),1,0)*Table_NFI[[#This Row],[Sanitary Kit]],Table_NFI[Sanitary Kit])</f>
        <v>#REF!</v>
      </c>
      <c r="AE206" s="542" t="e">
        <f>IF(NFI_Expiration=1,IF(#REF!&lt;VLOOKUP(N$5,NFI,5,0),1,0)*Table_NFI[[#This Row],[Mosquito net]],Table_NFI[Mosquito net])</f>
        <v>#REF!</v>
      </c>
      <c r="AF206" s="542" t="e">
        <f>IF(NFI_Expiration=1,IF(#REF!&lt;VLOOKUP(O$5,NFI,5,0),1,0)*Table_NFI[[#This Row],[Tarpaulin]],Table_NFI[[#This Row],[Tarpaulin]])</f>
        <v>#REF!</v>
      </c>
      <c r="AG206" s="542" t="e">
        <f>IF(NFI_Expiration=1,IF(#REF!&lt;VLOOKUP(P$5,NFI,5,0),1,0)*Table_NFI[[#This Row],[Blanket]],Table_NFI[[#This Row],[Blanket]])</f>
        <v>#REF!</v>
      </c>
      <c r="AH206" s="542" t="e">
        <f>IF(NFI_Expiration=1,IF(#REF!&lt;VLOOKUP(Q$5,NFI,5,0),1,0)*Table_NFI[[#This Row],[Kitchen Set]],Table_NFI[Kitchen Set])</f>
        <v>#REF!</v>
      </c>
      <c r="AI206" s="542" t="e">
        <f>IF(NFI_Expiration=1,IF(#REF!&lt;VLOOKUP(R$5,NFI,5,0),1,0)*Table_NFI[[#This Row],[Clothes Kit]],Table_NFI[Clothes Kit])</f>
        <v>#REF!</v>
      </c>
      <c r="AJ206" s="542" t="e">
        <f>IF(NFI_Expiration=1,IF(#REF!&lt;VLOOKUP(S$5,NFI,5,0),1,0)*Table_NFI[[#This Row],[Plastic Bucket]],Table_NFI[Plastic Bucket])</f>
        <v>#REF!</v>
      </c>
      <c r="AK206" s="542" t="e">
        <f>IF(NFI_Expiration=1,IF(#REF!&lt;VLOOKUP(T$5,NFI,5,0),1,0)*Table_NFI[[#This Row],[Plastic Mat]],Table_NFI[Plastic Mat])*IF(Table_NFI[[#This Row],[Distribution Date]]&gt;"2014-04-01",1,2.5)</f>
        <v>#REF!</v>
      </c>
      <c r="AL206" s="542" t="e">
        <f>IF(NFI_Expiration=1,IF(#REF!&lt;VLOOKUP(U$5,NFI,5,0),1,0)*Table_NFI[[#This Row],[Winter Clothes Adult]],Table_NFI[Winter Clothes Adult])</f>
        <v>#REF!</v>
      </c>
      <c r="AM206" s="542"/>
      <c r="AN206" s="542"/>
      <c r="AO206" s="542"/>
      <c r="AP206" s="542">
        <f>IF(Table_NFI[[#This Row],[Winter Clothes Adult]]+Table_NFI[[#This Row],[Winter Clothes Children]]+Table_NFI[[#This Row],[Winter Items Other]]+Table_NFI[[#This Row],[Winter Blanket]]&gt;0,1,0)</f>
        <v>0</v>
      </c>
      <c r="AQ206" s="542"/>
      <c r="AR206" s="542"/>
      <c r="AS206" s="542"/>
      <c r="AT206" s="205" t="str">
        <f>IFERROR(VLOOKUP(Table_NFI[[#This Row],[Location]],CL,2,0),"")</f>
        <v>MMR001CMP132</v>
      </c>
      <c r="AU206" s="183"/>
    </row>
    <row r="207" spans="2:47" x14ac:dyDescent="0.3">
      <c r="B207" s="540">
        <v>43175</v>
      </c>
      <c r="C207" s="540" t="str">
        <f>MONTH(Table_NFI[[#This Row],[Distribution Date]]) &amp; "/" &amp; YEAR(Table_NFI[[#This Row],[Distribution Date]])</f>
        <v>3/2018</v>
      </c>
      <c r="D207" s="198" t="s">
        <v>1461</v>
      </c>
      <c r="E207" s="198"/>
      <c r="F207" s="198" t="s">
        <v>378</v>
      </c>
      <c r="G207" s="197" t="s">
        <v>151</v>
      </c>
      <c r="H207" s="198" t="s">
        <v>154</v>
      </c>
      <c r="I207" s="183"/>
      <c r="J207" s="541">
        <v>16</v>
      </c>
      <c r="K207" s="541"/>
      <c r="L207" s="541"/>
      <c r="M207" s="541"/>
      <c r="N207" s="541"/>
      <c r="O207" s="541"/>
      <c r="P207" s="541"/>
      <c r="Q207" s="541">
        <v>16</v>
      </c>
      <c r="R207" s="541"/>
      <c r="S207" s="541"/>
      <c r="T207" s="541"/>
      <c r="U207" s="541">
        <v>16</v>
      </c>
      <c r="V207" s="541">
        <v>16</v>
      </c>
      <c r="W207" s="541">
        <v>16</v>
      </c>
      <c r="X207" s="541">
        <v>16</v>
      </c>
      <c r="Y207" s="541"/>
      <c r="Z207" s="541"/>
      <c r="AA207" s="541"/>
      <c r="AB207" s="541"/>
      <c r="AC207" s="542" t="e">
        <f>IF(NFI_Expiration=1,IF(#REF!&lt;VLOOKUP(L$5,NFI,5,0),1,0)*Table_NFI[[#This Row],[NFI Core Kit]],Table_NFI[NFI Core Kit])</f>
        <v>#REF!</v>
      </c>
      <c r="AD207" s="542" t="e">
        <f>IF(NFI_Expiration=1,IF(#REF!&lt;VLOOKUP(M$5,NFI,5,0),1,0)*Table_NFI[[#This Row],[Sanitary Kit]],Table_NFI[Sanitary Kit])</f>
        <v>#REF!</v>
      </c>
      <c r="AE207" s="542" t="e">
        <f>IF(NFI_Expiration=1,IF(#REF!&lt;VLOOKUP(N$5,NFI,5,0),1,0)*Table_NFI[[#This Row],[Mosquito net]],Table_NFI[Mosquito net])</f>
        <v>#REF!</v>
      </c>
      <c r="AF207" s="542" t="e">
        <f>IF(NFI_Expiration=1,IF(#REF!&lt;VLOOKUP(O$5,NFI,5,0),1,0)*Table_NFI[[#This Row],[Tarpaulin]],Table_NFI[[#This Row],[Tarpaulin]])</f>
        <v>#REF!</v>
      </c>
      <c r="AG207" s="542" t="e">
        <f>IF(NFI_Expiration=1,IF(#REF!&lt;VLOOKUP(P$5,NFI,5,0),1,0)*Table_NFI[[#This Row],[Blanket]],Table_NFI[[#This Row],[Blanket]])</f>
        <v>#REF!</v>
      </c>
      <c r="AH207" s="542" t="e">
        <f>IF(NFI_Expiration=1,IF(#REF!&lt;VLOOKUP(Q$5,NFI,5,0),1,0)*Table_NFI[[#This Row],[Kitchen Set]],Table_NFI[Kitchen Set])</f>
        <v>#REF!</v>
      </c>
      <c r="AI207" s="542" t="e">
        <f>IF(NFI_Expiration=1,IF(#REF!&lt;VLOOKUP(R$5,NFI,5,0),1,0)*Table_NFI[[#This Row],[Clothes Kit]],Table_NFI[Clothes Kit])</f>
        <v>#REF!</v>
      </c>
      <c r="AJ207" s="542" t="e">
        <f>IF(NFI_Expiration=1,IF(#REF!&lt;VLOOKUP(S$5,NFI,5,0),1,0)*Table_NFI[[#This Row],[Plastic Bucket]],Table_NFI[Plastic Bucket])</f>
        <v>#REF!</v>
      </c>
      <c r="AK207" s="542" t="e">
        <f>IF(NFI_Expiration=1,IF(#REF!&lt;VLOOKUP(T$5,NFI,5,0),1,0)*Table_NFI[[#This Row],[Plastic Mat]],Table_NFI[Plastic Mat])*IF(Table_NFI[[#This Row],[Distribution Date]]&gt;"2014-04-01",1,2.5)</f>
        <v>#REF!</v>
      </c>
      <c r="AL207" s="542" t="e">
        <f>IF(NFI_Expiration=1,IF(#REF!&lt;VLOOKUP(U$5,NFI,5,0),1,0)*Table_NFI[[#This Row],[Winter Clothes Adult]],Table_NFI[Winter Clothes Adult])</f>
        <v>#REF!</v>
      </c>
      <c r="AM207" s="542"/>
      <c r="AN207" s="542"/>
      <c r="AO207" s="542"/>
      <c r="AP207" s="542">
        <f>IF(Table_NFI[[#This Row],[Winter Clothes Adult]]+Table_NFI[[#This Row],[Winter Clothes Children]]+Table_NFI[[#This Row],[Winter Items Other]]+Table_NFI[[#This Row],[Winter Blanket]]&gt;0,1,0)</f>
        <v>1</v>
      </c>
      <c r="AQ207" s="542"/>
      <c r="AR207" s="542"/>
      <c r="AS207" s="542"/>
      <c r="AT207" s="205" t="str">
        <f>IFERROR(VLOOKUP(Table_NFI[[#This Row],[Location]],CL,2,0),"")</f>
        <v>MMR001CMP132</v>
      </c>
      <c r="AU207" s="183"/>
    </row>
    <row r="208" spans="2:47" x14ac:dyDescent="0.3">
      <c r="B208" s="540">
        <v>43185</v>
      </c>
      <c r="C208" s="540" t="str">
        <f>MONTH(Table_NFI[[#This Row],[Distribution Date]]) &amp; "/" &amp; YEAR(Table_NFI[[#This Row],[Distribution Date]])</f>
        <v>3/2018</v>
      </c>
      <c r="D208" s="198" t="s">
        <v>1461</v>
      </c>
      <c r="E208" s="198"/>
      <c r="F208" s="198" t="s">
        <v>506</v>
      </c>
      <c r="G208" s="197" t="s">
        <v>297</v>
      </c>
      <c r="H208" s="198" t="s">
        <v>1137</v>
      </c>
      <c r="I208" s="183"/>
      <c r="J208" s="541"/>
      <c r="K208" s="541"/>
      <c r="L208" s="541"/>
      <c r="M208" s="541"/>
      <c r="N208" s="541"/>
      <c r="O208" s="541"/>
      <c r="P208" s="541"/>
      <c r="Q208" s="541"/>
      <c r="R208" s="541"/>
      <c r="S208" s="541"/>
      <c r="T208" s="541"/>
      <c r="U208" s="541"/>
      <c r="V208" s="541"/>
      <c r="W208" s="541"/>
      <c r="X208" s="541"/>
      <c r="Y208" s="541"/>
      <c r="Z208" s="541"/>
      <c r="AA208" s="541">
        <v>14</v>
      </c>
      <c r="AB208" s="541"/>
      <c r="AC208" s="542" t="e">
        <f>IF(NFI_Expiration=1,IF(#REF!&lt;VLOOKUP(L$5,NFI,5,0),1,0)*Table_NFI[[#This Row],[NFI Core Kit]],Table_NFI[NFI Core Kit])</f>
        <v>#REF!</v>
      </c>
      <c r="AD208" s="542" t="e">
        <f>IF(NFI_Expiration=1,IF(#REF!&lt;VLOOKUP(M$5,NFI,5,0),1,0)*Table_NFI[[#This Row],[Sanitary Kit]],Table_NFI[Sanitary Kit])</f>
        <v>#REF!</v>
      </c>
      <c r="AE208" s="542" t="e">
        <f>IF(NFI_Expiration=1,IF(#REF!&lt;VLOOKUP(N$5,NFI,5,0),1,0)*Table_NFI[[#This Row],[Mosquito net]],Table_NFI[Mosquito net])</f>
        <v>#REF!</v>
      </c>
      <c r="AF208" s="542" t="e">
        <f>IF(NFI_Expiration=1,IF(#REF!&lt;VLOOKUP(O$5,NFI,5,0),1,0)*Table_NFI[[#This Row],[Tarpaulin]],Table_NFI[[#This Row],[Tarpaulin]])</f>
        <v>#REF!</v>
      </c>
      <c r="AG208" s="542" t="e">
        <f>IF(NFI_Expiration=1,IF(#REF!&lt;VLOOKUP(P$5,NFI,5,0),1,0)*Table_NFI[[#This Row],[Blanket]],Table_NFI[[#This Row],[Blanket]])</f>
        <v>#REF!</v>
      </c>
      <c r="AH208" s="542" t="e">
        <f>IF(NFI_Expiration=1,IF(#REF!&lt;VLOOKUP(Q$5,NFI,5,0),1,0)*Table_NFI[[#This Row],[Kitchen Set]],Table_NFI[Kitchen Set])</f>
        <v>#REF!</v>
      </c>
      <c r="AI208" s="542" t="e">
        <f>IF(NFI_Expiration=1,IF(#REF!&lt;VLOOKUP(R$5,NFI,5,0),1,0)*Table_NFI[[#This Row],[Clothes Kit]],Table_NFI[Clothes Kit])</f>
        <v>#REF!</v>
      </c>
      <c r="AJ208" s="542" t="e">
        <f>IF(NFI_Expiration=1,IF(#REF!&lt;VLOOKUP(S$5,NFI,5,0),1,0)*Table_NFI[[#This Row],[Plastic Bucket]],Table_NFI[Plastic Bucket])</f>
        <v>#REF!</v>
      </c>
      <c r="AK208" s="542" t="e">
        <f>IF(NFI_Expiration=1,IF(#REF!&lt;VLOOKUP(T$5,NFI,5,0),1,0)*Table_NFI[[#This Row],[Plastic Mat]],Table_NFI[Plastic Mat])*IF(Table_NFI[[#This Row],[Distribution Date]]&gt;"2014-04-01",1,2.5)</f>
        <v>#REF!</v>
      </c>
      <c r="AL208" s="542" t="e">
        <f>IF(NFI_Expiration=1,IF(#REF!&lt;VLOOKUP(U$5,NFI,5,0),1,0)*Table_NFI[[#This Row],[Winter Clothes Adult]],Table_NFI[Winter Clothes Adult])</f>
        <v>#REF!</v>
      </c>
      <c r="AM208" s="542"/>
      <c r="AN208" s="542"/>
      <c r="AO208" s="542"/>
      <c r="AP208" s="542">
        <f>IF(Table_NFI[[#This Row],[Winter Clothes Adult]]+Table_NFI[[#This Row],[Winter Clothes Children]]+Table_NFI[[#This Row],[Winter Items Other]]+Table_NFI[[#This Row],[Winter Blanket]]&gt;0,1,0)</f>
        <v>0</v>
      </c>
      <c r="AQ208" s="542"/>
      <c r="AR208" s="542"/>
      <c r="AS208" s="542"/>
      <c r="AT208" s="205" t="str">
        <f>IFERROR(VLOOKUP(Table_NFI[[#This Row],[Location]],CL,2,0),"")</f>
        <v>MMR015CMP221</v>
      </c>
      <c r="AU208" s="183" t="s">
        <v>1625</v>
      </c>
    </row>
    <row r="209" spans="2:47" x14ac:dyDescent="0.3">
      <c r="B209" s="540">
        <v>43180</v>
      </c>
      <c r="C209" s="540" t="str">
        <f>MONTH(Table_NFI[[#This Row],[Distribution Date]]) &amp; "/" &amp; YEAR(Table_NFI[[#This Row],[Distribution Date]])</f>
        <v>3/2018</v>
      </c>
      <c r="D209" s="198" t="s">
        <v>1261</v>
      </c>
      <c r="E209" s="198" t="s">
        <v>424</v>
      </c>
      <c r="F209" s="198" t="s">
        <v>378</v>
      </c>
      <c r="G209" s="197" t="s">
        <v>185</v>
      </c>
      <c r="H209" s="198" t="s">
        <v>209</v>
      </c>
      <c r="I209" s="183"/>
      <c r="J209" s="541"/>
      <c r="K209" s="541"/>
      <c r="L209" s="541"/>
      <c r="M209" s="541"/>
      <c r="N209" s="541"/>
      <c r="O209" s="541"/>
      <c r="P209" s="541">
        <v>124</v>
      </c>
      <c r="Q209" s="541"/>
      <c r="R209" s="541"/>
      <c r="S209" s="541"/>
      <c r="T209" s="541">
        <v>124</v>
      </c>
      <c r="U209" s="541"/>
      <c r="V209" s="541"/>
      <c r="W209" s="541"/>
      <c r="X209" s="541"/>
      <c r="Y209" s="541"/>
      <c r="Z209" s="541"/>
      <c r="AA209" s="541"/>
      <c r="AB209" s="541"/>
      <c r="AC209" s="542" t="e">
        <f>IF(NFI_Expiration=1,IF(#REF!&lt;VLOOKUP(L$5,NFI,5,0),1,0)*Table_NFI[[#This Row],[NFI Core Kit]],Table_NFI[NFI Core Kit])</f>
        <v>#REF!</v>
      </c>
      <c r="AD209" s="542" t="e">
        <f>IF(NFI_Expiration=1,IF(#REF!&lt;VLOOKUP(M$5,NFI,5,0),1,0)*Table_NFI[[#This Row],[Sanitary Kit]],Table_NFI[Sanitary Kit])</f>
        <v>#REF!</v>
      </c>
      <c r="AE209" s="542" t="e">
        <f>IF(NFI_Expiration=1,IF(#REF!&lt;VLOOKUP(N$5,NFI,5,0),1,0)*Table_NFI[[#This Row],[Mosquito net]],Table_NFI[Mosquito net])</f>
        <v>#REF!</v>
      </c>
      <c r="AF209" s="542" t="e">
        <f>IF(NFI_Expiration=1,IF(#REF!&lt;VLOOKUP(O$5,NFI,5,0),1,0)*Table_NFI[[#This Row],[Tarpaulin]],Table_NFI[[#This Row],[Tarpaulin]])</f>
        <v>#REF!</v>
      </c>
      <c r="AG209" s="542" t="e">
        <f>IF(NFI_Expiration=1,IF(#REF!&lt;VLOOKUP(P$5,NFI,5,0),1,0)*Table_NFI[[#This Row],[Blanket]],Table_NFI[[#This Row],[Blanket]])</f>
        <v>#REF!</v>
      </c>
      <c r="AH209" s="542" t="e">
        <f>IF(NFI_Expiration=1,IF(#REF!&lt;VLOOKUP(Q$5,NFI,5,0),1,0)*Table_NFI[[#This Row],[Kitchen Set]],Table_NFI[Kitchen Set])</f>
        <v>#REF!</v>
      </c>
      <c r="AI209" s="542" t="e">
        <f>IF(NFI_Expiration=1,IF(#REF!&lt;VLOOKUP(R$5,NFI,5,0),1,0)*Table_NFI[[#This Row],[Clothes Kit]],Table_NFI[Clothes Kit])</f>
        <v>#REF!</v>
      </c>
      <c r="AJ209" s="542" t="e">
        <f>IF(NFI_Expiration=1,IF(#REF!&lt;VLOOKUP(S$5,NFI,5,0),1,0)*Table_NFI[[#This Row],[Plastic Bucket]],Table_NFI[Plastic Bucket])</f>
        <v>#REF!</v>
      </c>
      <c r="AK209" s="542" t="e">
        <f>IF(NFI_Expiration=1,IF(#REF!&lt;VLOOKUP(T$5,NFI,5,0),1,0)*Table_NFI[[#This Row],[Plastic Mat]],Table_NFI[Plastic Mat])*IF(Table_NFI[[#This Row],[Distribution Date]]&gt;"2014-04-01",1,2.5)</f>
        <v>#REF!</v>
      </c>
      <c r="AL209" s="542" t="e">
        <f>IF(NFI_Expiration=1,IF(#REF!&lt;VLOOKUP(U$5,NFI,5,0),1,0)*Table_NFI[[#This Row],[Winter Clothes Adult]],Table_NFI[Winter Clothes Adult])</f>
        <v>#REF!</v>
      </c>
      <c r="AM209" s="542"/>
      <c r="AN209" s="542"/>
      <c r="AO209" s="542"/>
      <c r="AP209" s="542">
        <f>IF(Table_NFI[[#This Row],[Winter Clothes Adult]]+Table_NFI[[#This Row],[Winter Clothes Children]]+Table_NFI[[#This Row],[Winter Items Other]]+Table_NFI[[#This Row],[Winter Blanket]]&gt;0,1,0)</f>
        <v>0</v>
      </c>
      <c r="AQ209" s="542"/>
      <c r="AR209" s="542"/>
      <c r="AS209" s="542"/>
      <c r="AT209" s="205" t="str">
        <f>IFERROR(VLOOKUP(Table_NFI[[#This Row],[Location]],CL,2,0),"")</f>
        <v>MMR001CMP056</v>
      </c>
      <c r="AU209" s="183" t="s">
        <v>1627</v>
      </c>
    </row>
    <row r="210" spans="2:47" x14ac:dyDescent="0.3">
      <c r="B210" s="540">
        <v>43187</v>
      </c>
      <c r="C210" s="540" t="str">
        <f>MONTH(Table_NFI[[#This Row],[Distribution Date]]) &amp; "/" &amp; YEAR(Table_NFI[[#This Row],[Distribution Date]])</f>
        <v>3/2018</v>
      </c>
      <c r="D210" s="198" t="s">
        <v>1261</v>
      </c>
      <c r="E210" s="198"/>
      <c r="F210" s="198" t="s">
        <v>378</v>
      </c>
      <c r="G210" s="197" t="s">
        <v>185</v>
      </c>
      <c r="H210" s="198" t="s">
        <v>12</v>
      </c>
      <c r="I210" s="183"/>
      <c r="J210" s="541"/>
      <c r="K210" s="541"/>
      <c r="L210" s="541"/>
      <c r="M210" s="541"/>
      <c r="N210" s="541"/>
      <c r="O210" s="541"/>
      <c r="P210" s="541">
        <v>387</v>
      </c>
      <c r="Q210" s="541"/>
      <c r="R210" s="541"/>
      <c r="S210" s="541"/>
      <c r="T210" s="541">
        <v>387</v>
      </c>
      <c r="U210" s="541"/>
      <c r="V210" s="541"/>
      <c r="W210" s="541"/>
      <c r="X210" s="541"/>
      <c r="Y210" s="541"/>
      <c r="Z210" s="541"/>
      <c r="AA210" s="541"/>
      <c r="AB210" s="541"/>
      <c r="AC210" s="542" t="e">
        <f>IF(NFI_Expiration=1,IF(#REF!&lt;VLOOKUP(L$5,NFI,5,0),1,0)*Table_NFI[[#This Row],[NFI Core Kit]],Table_NFI[NFI Core Kit])</f>
        <v>#REF!</v>
      </c>
      <c r="AD210" s="542" t="e">
        <f>IF(NFI_Expiration=1,IF(#REF!&lt;VLOOKUP(M$5,NFI,5,0),1,0)*Table_NFI[[#This Row],[Sanitary Kit]],Table_NFI[Sanitary Kit])</f>
        <v>#REF!</v>
      </c>
      <c r="AE210" s="542" t="e">
        <f>IF(NFI_Expiration=1,IF(#REF!&lt;VLOOKUP(N$5,NFI,5,0),1,0)*Table_NFI[[#This Row],[Mosquito net]],Table_NFI[Mosquito net])</f>
        <v>#REF!</v>
      </c>
      <c r="AF210" s="542" t="e">
        <f>IF(NFI_Expiration=1,IF(#REF!&lt;VLOOKUP(O$5,NFI,5,0),1,0)*Table_NFI[[#This Row],[Tarpaulin]],Table_NFI[[#This Row],[Tarpaulin]])</f>
        <v>#REF!</v>
      </c>
      <c r="AG210" s="542" t="e">
        <f>IF(NFI_Expiration=1,IF(#REF!&lt;VLOOKUP(P$5,NFI,5,0),1,0)*Table_NFI[[#This Row],[Blanket]],Table_NFI[[#This Row],[Blanket]])</f>
        <v>#REF!</v>
      </c>
      <c r="AH210" s="542" t="e">
        <f>IF(NFI_Expiration=1,IF(#REF!&lt;VLOOKUP(Q$5,NFI,5,0),1,0)*Table_NFI[[#This Row],[Kitchen Set]],Table_NFI[Kitchen Set])</f>
        <v>#REF!</v>
      </c>
      <c r="AI210" s="542" t="e">
        <f>IF(NFI_Expiration=1,IF(#REF!&lt;VLOOKUP(R$5,NFI,5,0),1,0)*Table_NFI[[#This Row],[Clothes Kit]],Table_NFI[Clothes Kit])</f>
        <v>#REF!</v>
      </c>
      <c r="AJ210" s="542" t="e">
        <f>IF(NFI_Expiration=1,IF(#REF!&lt;VLOOKUP(S$5,NFI,5,0),1,0)*Table_NFI[[#This Row],[Plastic Bucket]],Table_NFI[Plastic Bucket])</f>
        <v>#REF!</v>
      </c>
      <c r="AK210" s="542" t="e">
        <f>IF(NFI_Expiration=1,IF(#REF!&lt;VLOOKUP(T$5,NFI,5,0),1,0)*Table_NFI[[#This Row],[Plastic Mat]],Table_NFI[Plastic Mat])*IF(Table_NFI[[#This Row],[Distribution Date]]&gt;"2014-04-01",1,2.5)</f>
        <v>#REF!</v>
      </c>
      <c r="AL210" s="542" t="e">
        <f>IF(NFI_Expiration=1,IF(#REF!&lt;VLOOKUP(U$5,NFI,5,0),1,0)*Table_NFI[[#This Row],[Winter Clothes Adult]],Table_NFI[Winter Clothes Adult])</f>
        <v>#REF!</v>
      </c>
      <c r="AM210" s="542"/>
      <c r="AN210" s="542"/>
      <c r="AO210" s="542"/>
      <c r="AP210" s="542">
        <f>IF(Table_NFI[[#This Row],[Winter Clothes Adult]]+Table_NFI[[#This Row],[Winter Clothes Children]]+Table_NFI[[#This Row],[Winter Items Other]]+Table_NFI[[#This Row],[Winter Blanket]]&gt;0,1,0)</f>
        <v>0</v>
      </c>
      <c r="AQ210" s="542"/>
      <c r="AR210" s="542"/>
      <c r="AS210" s="542"/>
      <c r="AT210" s="205" t="str">
        <f>IFERROR(VLOOKUP(Table_NFI[[#This Row],[Location]],CL,2,0),"")</f>
        <v>MMR001CMP163</v>
      </c>
      <c r="AU210" s="183" t="s">
        <v>1628</v>
      </c>
    </row>
    <row r="211" spans="2:47" x14ac:dyDescent="0.3">
      <c r="B211" s="540">
        <v>43189</v>
      </c>
      <c r="C211" s="540" t="str">
        <f>MONTH(Table_NFI[[#This Row],[Distribution Date]]) &amp; "/" &amp; YEAR(Table_NFI[[#This Row],[Distribution Date]])</f>
        <v>3/2018</v>
      </c>
      <c r="D211" s="198" t="s">
        <v>1261</v>
      </c>
      <c r="E211" s="198"/>
      <c r="F211" s="198" t="s">
        <v>378</v>
      </c>
      <c r="G211" s="219" t="s">
        <v>151</v>
      </c>
      <c r="H211" s="198" t="s">
        <v>12</v>
      </c>
      <c r="I211" s="183"/>
      <c r="J211" s="541"/>
      <c r="K211" s="541"/>
      <c r="L211" s="541"/>
      <c r="M211" s="541"/>
      <c r="N211" s="541"/>
      <c r="O211" s="541"/>
      <c r="P211" s="541">
        <v>77</v>
      </c>
      <c r="Q211" s="541"/>
      <c r="R211" s="541"/>
      <c r="S211" s="541"/>
      <c r="T211" s="541">
        <v>77</v>
      </c>
      <c r="U211" s="541"/>
      <c r="V211" s="541"/>
      <c r="W211" s="541"/>
      <c r="X211" s="541"/>
      <c r="Y211" s="541"/>
      <c r="Z211" s="541"/>
      <c r="AA211" s="541"/>
      <c r="AB211" s="541"/>
      <c r="AC211" s="542" t="e">
        <f>IF(NFI_Expiration=1,IF(#REF!&lt;VLOOKUP(L$5,NFI,5,0),1,0)*Table_NFI[[#This Row],[NFI Core Kit]],Table_NFI[NFI Core Kit])</f>
        <v>#REF!</v>
      </c>
      <c r="AD211" s="542" t="e">
        <f>IF(NFI_Expiration=1,IF(#REF!&lt;VLOOKUP(M$5,NFI,5,0),1,0)*Table_NFI[[#This Row],[Sanitary Kit]],Table_NFI[Sanitary Kit])</f>
        <v>#REF!</v>
      </c>
      <c r="AE211" s="542" t="e">
        <f>IF(NFI_Expiration=1,IF(#REF!&lt;VLOOKUP(N$5,NFI,5,0),1,0)*Table_NFI[[#This Row],[Mosquito net]],Table_NFI[Mosquito net])</f>
        <v>#REF!</v>
      </c>
      <c r="AF211" s="542" t="e">
        <f>IF(NFI_Expiration=1,IF(#REF!&lt;VLOOKUP(O$5,NFI,5,0),1,0)*Table_NFI[[#This Row],[Tarpaulin]],Table_NFI[[#This Row],[Tarpaulin]])</f>
        <v>#REF!</v>
      </c>
      <c r="AG211" s="542" t="e">
        <f>IF(NFI_Expiration=1,IF(#REF!&lt;VLOOKUP(P$5,NFI,5,0),1,0)*Table_NFI[[#This Row],[Blanket]],Table_NFI[[#This Row],[Blanket]])</f>
        <v>#REF!</v>
      </c>
      <c r="AH211" s="542" t="e">
        <f>IF(NFI_Expiration=1,IF(#REF!&lt;VLOOKUP(Q$5,NFI,5,0),1,0)*Table_NFI[[#This Row],[Kitchen Set]],Table_NFI[Kitchen Set])</f>
        <v>#REF!</v>
      </c>
      <c r="AI211" s="542" t="e">
        <f>IF(NFI_Expiration=1,IF(#REF!&lt;VLOOKUP(R$5,NFI,5,0),1,0)*Table_NFI[[#This Row],[Clothes Kit]],Table_NFI[Clothes Kit])</f>
        <v>#REF!</v>
      </c>
      <c r="AJ211" s="542" t="e">
        <f>IF(NFI_Expiration=1,IF(#REF!&lt;VLOOKUP(S$5,NFI,5,0),1,0)*Table_NFI[[#This Row],[Plastic Bucket]],Table_NFI[Plastic Bucket])</f>
        <v>#REF!</v>
      </c>
      <c r="AK211" s="542" t="e">
        <f>IF(NFI_Expiration=1,IF(#REF!&lt;VLOOKUP(T$5,NFI,5,0),1,0)*Table_NFI[[#This Row],[Plastic Mat]],Table_NFI[Plastic Mat])*IF(Table_NFI[[#This Row],[Distribution Date]]&gt;"2014-04-01",1,2.5)</f>
        <v>#REF!</v>
      </c>
      <c r="AL211" s="542" t="e">
        <f>IF(NFI_Expiration=1,IF(#REF!&lt;VLOOKUP(U$5,NFI,5,0),1,0)*Table_NFI[[#This Row],[Winter Clothes Adult]],Table_NFI[Winter Clothes Adult])</f>
        <v>#REF!</v>
      </c>
      <c r="AM211" s="542"/>
      <c r="AN211" s="542"/>
      <c r="AO211" s="542"/>
      <c r="AP211" s="542">
        <f>IF(Table_NFI[[#This Row],[Winter Clothes Adult]]+Table_NFI[[#This Row],[Winter Clothes Children]]+Table_NFI[[#This Row],[Winter Items Other]]+Table_NFI[[#This Row],[Winter Blanket]]&gt;0,1,0)</f>
        <v>0</v>
      </c>
      <c r="AQ211" s="542"/>
      <c r="AR211" s="542"/>
      <c r="AS211" s="542"/>
      <c r="AT211" s="205" t="str">
        <f>IFERROR(VLOOKUP(Table_NFI[[#This Row],[Location]],CL,2,0),"")</f>
        <v>MMR001CMP163</v>
      </c>
      <c r="AU211" s="183" t="s">
        <v>1629</v>
      </c>
    </row>
    <row r="212" spans="2:47" x14ac:dyDescent="0.3">
      <c r="B212" s="540">
        <v>43180</v>
      </c>
      <c r="C212" s="540" t="str">
        <f>MONTH(Table_NFI[[#This Row],[Distribution Date]]) &amp; "/" &amp; YEAR(Table_NFI[[#This Row],[Distribution Date]])</f>
        <v>3/2018</v>
      </c>
      <c r="D212" s="198" t="s">
        <v>1261</v>
      </c>
      <c r="E212" s="198" t="s">
        <v>1626</v>
      </c>
      <c r="F212" s="198" t="s">
        <v>378</v>
      </c>
      <c r="G212" s="197" t="s">
        <v>185</v>
      </c>
      <c r="H212" s="198" t="s">
        <v>202</v>
      </c>
      <c r="I212" s="183"/>
      <c r="J212" s="541"/>
      <c r="K212" s="541"/>
      <c r="L212" s="541"/>
      <c r="M212" s="541"/>
      <c r="N212" s="541"/>
      <c r="O212" s="541"/>
      <c r="P212" s="541">
        <v>34</v>
      </c>
      <c r="Q212" s="541"/>
      <c r="R212" s="541"/>
      <c r="S212" s="541"/>
      <c r="T212" s="541">
        <v>34</v>
      </c>
      <c r="U212" s="541"/>
      <c r="V212" s="541"/>
      <c r="W212" s="541"/>
      <c r="X212" s="541"/>
      <c r="Y212" s="541"/>
      <c r="Z212" s="541"/>
      <c r="AA212" s="541"/>
      <c r="AB212" s="541"/>
      <c r="AC212" s="542" t="e">
        <f>IF(NFI_Expiration=1,IF(#REF!&lt;VLOOKUP(L$5,NFI,5,0),1,0)*Table_NFI[[#This Row],[NFI Core Kit]],Table_NFI[NFI Core Kit])</f>
        <v>#REF!</v>
      </c>
      <c r="AD212" s="542" t="e">
        <f>IF(NFI_Expiration=1,IF(#REF!&lt;VLOOKUP(M$5,NFI,5,0),1,0)*Table_NFI[[#This Row],[Sanitary Kit]],Table_NFI[Sanitary Kit])</f>
        <v>#REF!</v>
      </c>
      <c r="AE212" s="542" t="e">
        <f>IF(NFI_Expiration=1,IF(#REF!&lt;VLOOKUP(N$5,NFI,5,0),1,0)*Table_NFI[[#This Row],[Mosquito net]],Table_NFI[Mosquito net])</f>
        <v>#REF!</v>
      </c>
      <c r="AF212" s="542" t="e">
        <f>IF(NFI_Expiration=1,IF(#REF!&lt;VLOOKUP(O$5,NFI,5,0),1,0)*Table_NFI[[#This Row],[Tarpaulin]],Table_NFI[[#This Row],[Tarpaulin]])</f>
        <v>#REF!</v>
      </c>
      <c r="AG212" s="542" t="e">
        <f>IF(NFI_Expiration=1,IF(#REF!&lt;VLOOKUP(P$5,NFI,5,0),1,0)*Table_NFI[[#This Row],[Blanket]],Table_NFI[[#This Row],[Blanket]])</f>
        <v>#REF!</v>
      </c>
      <c r="AH212" s="542" t="e">
        <f>IF(NFI_Expiration=1,IF(#REF!&lt;VLOOKUP(Q$5,NFI,5,0),1,0)*Table_NFI[[#This Row],[Kitchen Set]],Table_NFI[Kitchen Set])</f>
        <v>#REF!</v>
      </c>
      <c r="AI212" s="542" t="e">
        <f>IF(NFI_Expiration=1,IF(#REF!&lt;VLOOKUP(R$5,NFI,5,0),1,0)*Table_NFI[[#This Row],[Clothes Kit]],Table_NFI[Clothes Kit])</f>
        <v>#REF!</v>
      </c>
      <c r="AJ212" s="542" t="e">
        <f>IF(NFI_Expiration=1,IF(#REF!&lt;VLOOKUP(S$5,NFI,5,0),1,0)*Table_NFI[[#This Row],[Plastic Bucket]],Table_NFI[Plastic Bucket])</f>
        <v>#REF!</v>
      </c>
      <c r="AK212" s="542" t="e">
        <f>IF(NFI_Expiration=1,IF(#REF!&lt;VLOOKUP(T$5,NFI,5,0),1,0)*Table_NFI[[#This Row],[Plastic Mat]],Table_NFI[Plastic Mat])*IF(Table_NFI[[#This Row],[Distribution Date]]&gt;"2014-04-01",1,2.5)</f>
        <v>#REF!</v>
      </c>
      <c r="AL212" s="542" t="e">
        <f>IF(NFI_Expiration=1,IF(#REF!&lt;VLOOKUP(U$5,NFI,5,0),1,0)*Table_NFI[[#This Row],[Winter Clothes Adult]],Table_NFI[Winter Clothes Adult])</f>
        <v>#REF!</v>
      </c>
      <c r="AM212" s="542"/>
      <c r="AN212" s="542"/>
      <c r="AO212" s="542"/>
      <c r="AP212" s="542">
        <f>IF(Table_NFI[[#This Row],[Winter Clothes Adult]]+Table_NFI[[#This Row],[Winter Clothes Children]]+Table_NFI[[#This Row],[Winter Items Other]]+Table_NFI[[#This Row],[Winter Blanket]]&gt;0,1,0)</f>
        <v>0</v>
      </c>
      <c r="AQ212" s="542"/>
      <c r="AR212" s="542"/>
      <c r="AS212" s="542"/>
      <c r="AT212" s="205" t="str">
        <f>IFERROR(VLOOKUP(Table_NFI[[#This Row],[Location]],CL,2,0),"")</f>
        <v>MMR001CMP062</v>
      </c>
      <c r="AU212" s="183" t="s">
        <v>1630</v>
      </c>
    </row>
    <row r="213" spans="2:47" x14ac:dyDescent="0.25">
      <c r="B213" s="540">
        <v>43201</v>
      </c>
      <c r="C213" s="540"/>
      <c r="D213" s="198" t="s">
        <v>1461</v>
      </c>
      <c r="E213" s="198"/>
      <c r="F213" s="198" t="s">
        <v>506</v>
      </c>
      <c r="G213" s="197" t="s">
        <v>297</v>
      </c>
      <c r="H213" s="198" t="s">
        <v>1191</v>
      </c>
      <c r="I213" s="669"/>
      <c r="J213" s="541">
        <v>101</v>
      </c>
      <c r="K213" s="541"/>
      <c r="L213" s="541"/>
      <c r="M213" s="541"/>
      <c r="N213" s="541"/>
      <c r="O213" s="541"/>
      <c r="P213" s="541"/>
      <c r="Q213" s="541"/>
      <c r="R213" s="541"/>
      <c r="S213" s="541">
        <v>101</v>
      </c>
      <c r="T213" s="541"/>
      <c r="U213" s="541"/>
      <c r="V213" s="541"/>
      <c r="W213" s="541"/>
      <c r="X213" s="541"/>
      <c r="Y213" s="541"/>
      <c r="Z213" s="541"/>
      <c r="AA213" s="541"/>
      <c r="AB213" s="541"/>
      <c r="AC213" s="542" t="e">
        <f>IF(NFI_Expiration=1,IF(#REF!&lt;VLOOKUP(L$5,NFI,5,0),1,0)*Table_NFI[[#This Row],[NFI Core Kit]],Table_NFI[NFI Core Kit])</f>
        <v>#REF!</v>
      </c>
      <c r="AD213" s="542" t="e">
        <f>IF(NFI_Expiration=1,IF(#REF!&lt;VLOOKUP(M$5,NFI,5,0),1,0)*Table_NFI[[#This Row],[Sanitary Kit]],Table_NFI[Sanitary Kit])</f>
        <v>#REF!</v>
      </c>
      <c r="AE213" s="542" t="e">
        <f>IF(NFI_Expiration=1,IF(#REF!&lt;VLOOKUP(N$5,NFI,5,0),1,0)*Table_NFI[[#This Row],[Mosquito net]],Table_NFI[Mosquito net])</f>
        <v>#REF!</v>
      </c>
      <c r="AF213" s="542" t="e">
        <f>IF(NFI_Expiration=1,IF(#REF!&lt;VLOOKUP(O$5,NFI,5,0),1,0)*Table_NFI[[#This Row],[Tarpaulin]],Table_NFI[[#This Row],[Tarpaulin]])</f>
        <v>#REF!</v>
      </c>
      <c r="AG213" s="542" t="e">
        <f>IF(NFI_Expiration=1,IF(#REF!&lt;VLOOKUP(P$5,NFI,5,0),1,0)*Table_NFI[[#This Row],[Blanket]],Table_NFI[[#This Row],[Blanket]])</f>
        <v>#REF!</v>
      </c>
      <c r="AH213" s="542" t="e">
        <f>IF(NFI_Expiration=1,IF(#REF!&lt;VLOOKUP(Q$5,NFI,5,0),1,0)*Table_NFI[[#This Row],[Kitchen Set]],Table_NFI[Kitchen Set])</f>
        <v>#REF!</v>
      </c>
      <c r="AI213" s="542" t="e">
        <f>IF(NFI_Expiration=1,IF(#REF!&lt;VLOOKUP(R$5,NFI,5,0),1,0)*Table_NFI[[#This Row],[Clothes Kit]],Table_NFI[Clothes Kit])</f>
        <v>#REF!</v>
      </c>
      <c r="AJ213" s="542" t="e">
        <f>IF(NFI_Expiration=1,IF(#REF!&lt;VLOOKUP(S$5,NFI,5,0),1,0)*Table_NFI[[#This Row],[Plastic Bucket]],Table_NFI[Plastic Bucket])</f>
        <v>#REF!</v>
      </c>
      <c r="AK213" s="542" t="e">
        <f>IF(NFI_Expiration=1,IF(#REF!&lt;VLOOKUP(T$5,NFI,5,0),1,0)*Table_NFI[[#This Row],[Plastic Mat]],Table_NFI[Plastic Mat])*IF(Table_NFI[[#This Row],[Distribution Date]]&gt;"2014-04-01",1,2.5)</f>
        <v>#REF!</v>
      </c>
      <c r="AL213" s="542" t="e">
        <f>IF(NFI_Expiration=1,IF(#REF!&lt;VLOOKUP(U$5,NFI,5,0),1,0)*Table_NFI[[#This Row],[Winter Clothes Adult]],Table_NFI[Winter Clothes Adult])</f>
        <v>#REF!</v>
      </c>
      <c r="AM213" s="542"/>
      <c r="AN213" s="542"/>
      <c r="AO213" s="542"/>
      <c r="AP213" s="542">
        <f>IF(Table_NFI[[#This Row],[Winter Clothes Adult]]+Table_NFI[[#This Row],[Winter Clothes Children]]+Table_NFI[[#This Row],[Winter Items Other]]+Table_NFI[[#This Row],[Winter Blanket]]&gt;0,1,0)</f>
        <v>0</v>
      </c>
      <c r="AQ213" s="542"/>
      <c r="AR213" s="542"/>
      <c r="AS213" s="542"/>
      <c r="AT213" s="205" t="str">
        <f>IFERROR(VLOOKUP(Table_NFI[[#This Row],[Location]],CL,2,0),"")</f>
        <v>MMR015CMP232</v>
      </c>
      <c r="AU213" s="183"/>
    </row>
    <row r="214" spans="2:47" x14ac:dyDescent="0.25">
      <c r="B214" s="540">
        <v>43195</v>
      </c>
      <c r="C214" s="540"/>
      <c r="D214" s="198" t="s">
        <v>1461</v>
      </c>
      <c r="E214" s="198"/>
      <c r="F214" s="198" t="s">
        <v>506</v>
      </c>
      <c r="G214" s="197" t="s">
        <v>297</v>
      </c>
      <c r="H214" s="198" t="s">
        <v>759</v>
      </c>
      <c r="I214" s="668">
        <v>1</v>
      </c>
      <c r="J214" s="541"/>
      <c r="K214" s="541"/>
      <c r="L214" s="541"/>
      <c r="M214" s="541"/>
      <c r="N214" s="541"/>
      <c r="O214" s="541"/>
      <c r="P214" s="541"/>
      <c r="Q214" s="541"/>
      <c r="R214" s="541"/>
      <c r="S214" s="541"/>
      <c r="T214" s="541"/>
      <c r="U214" s="541"/>
      <c r="V214" s="541"/>
      <c r="W214" s="541"/>
      <c r="X214" s="541"/>
      <c r="Y214" s="541"/>
      <c r="Z214" s="541"/>
      <c r="AA214" s="541"/>
      <c r="AB214" s="541"/>
      <c r="AC214" s="542" t="e">
        <f>IF(NFI_Expiration=1,IF(#REF!&lt;VLOOKUP(L$5,NFI,5,0),1,0)*Table_NFI[[#This Row],[NFI Core Kit]],Table_NFI[NFI Core Kit])</f>
        <v>#REF!</v>
      </c>
      <c r="AD214" s="542" t="e">
        <f>IF(NFI_Expiration=1,IF(#REF!&lt;VLOOKUP(M$5,NFI,5,0),1,0)*Table_NFI[[#This Row],[Sanitary Kit]],Table_NFI[Sanitary Kit])</f>
        <v>#REF!</v>
      </c>
      <c r="AE214" s="542" t="e">
        <f>IF(NFI_Expiration=1,IF(#REF!&lt;VLOOKUP(N$5,NFI,5,0),1,0)*Table_NFI[[#This Row],[Mosquito net]],Table_NFI[Mosquito net])</f>
        <v>#REF!</v>
      </c>
      <c r="AF214" s="542" t="e">
        <f>IF(NFI_Expiration=1,IF(#REF!&lt;VLOOKUP(O$5,NFI,5,0),1,0)*Table_NFI[[#This Row],[Tarpaulin]],Table_NFI[[#This Row],[Tarpaulin]])</f>
        <v>#REF!</v>
      </c>
      <c r="AG214" s="542" t="e">
        <f>IF(NFI_Expiration=1,IF(#REF!&lt;VLOOKUP(P$5,NFI,5,0),1,0)*Table_NFI[[#This Row],[Blanket]],Table_NFI[[#This Row],[Blanket]])</f>
        <v>#REF!</v>
      </c>
      <c r="AH214" s="542" t="e">
        <f>IF(NFI_Expiration=1,IF(#REF!&lt;VLOOKUP(Q$5,NFI,5,0),1,0)*Table_NFI[[#This Row],[Kitchen Set]],Table_NFI[Kitchen Set])</f>
        <v>#REF!</v>
      </c>
      <c r="AI214" s="542" t="e">
        <f>IF(NFI_Expiration=1,IF(#REF!&lt;VLOOKUP(R$5,NFI,5,0),1,0)*Table_NFI[[#This Row],[Clothes Kit]],Table_NFI[Clothes Kit])</f>
        <v>#REF!</v>
      </c>
      <c r="AJ214" s="542" t="e">
        <f>IF(NFI_Expiration=1,IF(#REF!&lt;VLOOKUP(S$5,NFI,5,0),1,0)*Table_NFI[[#This Row],[Plastic Bucket]],Table_NFI[Plastic Bucket])</f>
        <v>#REF!</v>
      </c>
      <c r="AK214" s="542" t="e">
        <f>IF(NFI_Expiration=1,IF(#REF!&lt;VLOOKUP(T$5,NFI,5,0),1,0)*Table_NFI[[#This Row],[Plastic Mat]],Table_NFI[Plastic Mat])*IF(Table_NFI[[#This Row],[Distribution Date]]&gt;"2014-04-01",1,2.5)</f>
        <v>#REF!</v>
      </c>
      <c r="AL214" s="542" t="e">
        <f>IF(NFI_Expiration=1,IF(#REF!&lt;VLOOKUP(U$5,NFI,5,0),1,0)*Table_NFI[[#This Row],[Winter Clothes Adult]],Table_NFI[Winter Clothes Adult])</f>
        <v>#REF!</v>
      </c>
      <c r="AM214" s="542"/>
      <c r="AN214" s="542"/>
      <c r="AO214" s="542"/>
      <c r="AP214" s="542">
        <f>IF(Table_NFI[[#This Row],[Winter Clothes Adult]]+Table_NFI[[#This Row],[Winter Clothes Children]]+Table_NFI[[#This Row],[Winter Items Other]]+Table_NFI[[#This Row],[Winter Blanket]]&gt;0,1,0)</f>
        <v>0</v>
      </c>
      <c r="AQ214" s="542"/>
      <c r="AR214" s="542"/>
      <c r="AS214" s="542"/>
      <c r="AT214" s="205" t="str">
        <f>IFERROR(VLOOKUP(Table_NFI[[#This Row],[Location]],CL,2,0),"")</f>
        <v>MMR015CMP014</v>
      </c>
      <c r="AU214" s="183"/>
    </row>
    <row r="215" spans="2:47" x14ac:dyDescent="0.25">
      <c r="B215" s="540">
        <v>43195</v>
      </c>
      <c r="C215" s="540" t="str">
        <f>MONTH(Table_NFI[[#This Row],[Distribution Date]]) &amp; "/" &amp; YEAR(Table_NFI[[#This Row],[Distribution Date]])</f>
        <v>4/2018</v>
      </c>
      <c r="D215" s="198" t="s">
        <v>1461</v>
      </c>
      <c r="E215" s="198"/>
      <c r="F215" s="198" t="s">
        <v>506</v>
      </c>
      <c r="G215" s="197" t="s">
        <v>297</v>
      </c>
      <c r="H215" s="198" t="s">
        <v>1278</v>
      </c>
      <c r="I215" s="668">
        <v>1</v>
      </c>
      <c r="J215" s="541"/>
      <c r="K215" s="541"/>
      <c r="L215" s="541"/>
      <c r="M215" s="541"/>
      <c r="N215" s="541"/>
      <c r="O215" s="541"/>
      <c r="P215" s="541"/>
      <c r="Q215" s="541"/>
      <c r="R215" s="541"/>
      <c r="S215" s="541"/>
      <c r="T215" s="541"/>
      <c r="U215" s="541"/>
      <c r="V215" s="541"/>
      <c r="W215" s="541"/>
      <c r="X215" s="541"/>
      <c r="Y215" s="541"/>
      <c r="Z215" s="541"/>
      <c r="AA215" s="541"/>
      <c r="AB215" s="541"/>
      <c r="AC215" s="542" t="e">
        <f>IF(NFI_Expiration=1,IF(#REF!&lt;VLOOKUP(L$5,NFI,5,0),1,0)*Table_NFI[[#This Row],[NFI Core Kit]],Table_NFI[NFI Core Kit])</f>
        <v>#REF!</v>
      </c>
      <c r="AD215" s="542" t="e">
        <f>IF(NFI_Expiration=1,IF(#REF!&lt;VLOOKUP(M$5,NFI,5,0),1,0)*Table_NFI[[#This Row],[Sanitary Kit]],Table_NFI[Sanitary Kit])</f>
        <v>#REF!</v>
      </c>
      <c r="AE215" s="542" t="e">
        <f>IF(NFI_Expiration=1,IF(#REF!&lt;VLOOKUP(N$5,NFI,5,0),1,0)*Table_NFI[[#This Row],[Mosquito net]],Table_NFI[Mosquito net])</f>
        <v>#REF!</v>
      </c>
      <c r="AF215" s="542" t="e">
        <f>IF(NFI_Expiration=1,IF(#REF!&lt;VLOOKUP(O$5,NFI,5,0),1,0)*Table_NFI[[#This Row],[Tarpaulin]],Table_NFI[[#This Row],[Tarpaulin]])</f>
        <v>#REF!</v>
      </c>
      <c r="AG215" s="542" t="e">
        <f>IF(NFI_Expiration=1,IF(#REF!&lt;VLOOKUP(P$5,NFI,5,0),1,0)*Table_NFI[[#This Row],[Blanket]],Table_NFI[[#This Row],[Blanket]])</f>
        <v>#REF!</v>
      </c>
      <c r="AH215" s="542" t="e">
        <f>IF(NFI_Expiration=1,IF(#REF!&lt;VLOOKUP(Q$5,NFI,5,0),1,0)*Table_NFI[[#This Row],[Kitchen Set]],Table_NFI[Kitchen Set])</f>
        <v>#REF!</v>
      </c>
      <c r="AI215" s="542" t="e">
        <f>IF(NFI_Expiration=1,IF(#REF!&lt;VLOOKUP(R$5,NFI,5,0),1,0)*Table_NFI[[#This Row],[Clothes Kit]],Table_NFI[Clothes Kit])</f>
        <v>#REF!</v>
      </c>
      <c r="AJ215" s="542" t="e">
        <f>IF(NFI_Expiration=1,IF(#REF!&lt;VLOOKUP(S$5,NFI,5,0),1,0)*Table_NFI[[#This Row],[Plastic Bucket]],Table_NFI[Plastic Bucket])</f>
        <v>#REF!</v>
      </c>
      <c r="AK215" s="542" t="e">
        <f>IF(NFI_Expiration=1,IF(#REF!&lt;VLOOKUP(T$5,NFI,5,0),1,0)*Table_NFI[[#This Row],[Plastic Mat]],Table_NFI[Plastic Mat])*IF(Table_NFI[[#This Row],[Distribution Date]]&gt;"2014-04-01",1,2.5)</f>
        <v>#REF!</v>
      </c>
      <c r="AL215" s="542" t="e">
        <f>IF(NFI_Expiration=1,IF(#REF!&lt;VLOOKUP(U$5,NFI,5,0),1,0)*Table_NFI[[#This Row],[Winter Clothes Adult]],Table_NFI[Winter Clothes Adult])</f>
        <v>#REF!</v>
      </c>
      <c r="AM215" s="542"/>
      <c r="AN215" s="542"/>
      <c r="AO215" s="542"/>
      <c r="AP215" s="542">
        <f>IF(Table_NFI[[#This Row],[Winter Clothes Adult]]+Table_NFI[[#This Row],[Winter Clothes Children]]+Table_NFI[[#This Row],[Winter Items Other]]+Table_NFI[[#This Row],[Winter Blanket]]&gt;0,1,0)</f>
        <v>0</v>
      </c>
      <c r="AQ215" s="542"/>
      <c r="AR215" s="542"/>
      <c r="AS215" s="542"/>
      <c r="AT215" s="205" t="str">
        <f>IFERROR(VLOOKUP(Table_NFI[[#This Row],[Location]],CL,2,0),"")</f>
        <v>MMR015CMP248</v>
      </c>
      <c r="AU215" s="183"/>
    </row>
    <row r="216" spans="2:47" x14ac:dyDescent="0.25">
      <c r="B216" s="540">
        <v>43195</v>
      </c>
      <c r="C216" s="540" t="str">
        <f>MONTH(Table_NFI[[#This Row],[Distribution Date]]) &amp; "/" &amp; YEAR(Table_NFI[[#This Row],[Distribution Date]])</f>
        <v>4/2018</v>
      </c>
      <c r="D216" s="198" t="s">
        <v>1461</v>
      </c>
      <c r="E216" s="198"/>
      <c r="F216" s="198" t="s">
        <v>506</v>
      </c>
      <c r="G216" s="197" t="s">
        <v>297</v>
      </c>
      <c r="H216" s="198" t="s">
        <v>1278</v>
      </c>
      <c r="I216" s="668">
        <v>1</v>
      </c>
      <c r="J216" s="541"/>
      <c r="K216" s="541"/>
      <c r="L216" s="541"/>
      <c r="M216" s="541"/>
      <c r="N216" s="541"/>
      <c r="O216" s="541"/>
      <c r="P216" s="541"/>
      <c r="Q216" s="541"/>
      <c r="R216" s="541"/>
      <c r="S216" s="541"/>
      <c r="T216" s="541"/>
      <c r="U216" s="541"/>
      <c r="V216" s="541"/>
      <c r="W216" s="541"/>
      <c r="X216" s="541"/>
      <c r="Y216" s="541"/>
      <c r="Z216" s="541"/>
      <c r="AA216" s="541"/>
      <c r="AB216" s="541"/>
      <c r="AC216" s="542" t="e">
        <f>IF(NFI_Expiration=1,IF(#REF!&lt;VLOOKUP(L$5,NFI,5,0),1,0)*Table_NFI[[#This Row],[NFI Core Kit]],Table_NFI[NFI Core Kit])</f>
        <v>#REF!</v>
      </c>
      <c r="AD216" s="542" t="e">
        <f>IF(NFI_Expiration=1,IF(#REF!&lt;VLOOKUP(M$5,NFI,5,0),1,0)*Table_NFI[[#This Row],[Sanitary Kit]],Table_NFI[Sanitary Kit])</f>
        <v>#REF!</v>
      </c>
      <c r="AE216" s="542" t="e">
        <f>IF(NFI_Expiration=1,IF(#REF!&lt;VLOOKUP(N$5,NFI,5,0),1,0)*Table_NFI[[#This Row],[Mosquito net]],Table_NFI[Mosquito net])</f>
        <v>#REF!</v>
      </c>
      <c r="AF216" s="542" t="e">
        <f>IF(NFI_Expiration=1,IF(#REF!&lt;VLOOKUP(O$5,NFI,5,0),1,0)*Table_NFI[[#This Row],[Tarpaulin]],Table_NFI[[#This Row],[Tarpaulin]])</f>
        <v>#REF!</v>
      </c>
      <c r="AG216" s="542" t="e">
        <f>IF(NFI_Expiration=1,IF(#REF!&lt;VLOOKUP(P$5,NFI,5,0),1,0)*Table_NFI[[#This Row],[Blanket]],Table_NFI[[#This Row],[Blanket]])</f>
        <v>#REF!</v>
      </c>
      <c r="AH216" s="542" t="e">
        <f>IF(NFI_Expiration=1,IF(#REF!&lt;VLOOKUP(Q$5,NFI,5,0),1,0)*Table_NFI[[#This Row],[Kitchen Set]],Table_NFI[Kitchen Set])</f>
        <v>#REF!</v>
      </c>
      <c r="AI216" s="542" t="e">
        <f>IF(NFI_Expiration=1,IF(#REF!&lt;VLOOKUP(R$5,NFI,5,0),1,0)*Table_NFI[[#This Row],[Clothes Kit]],Table_NFI[Clothes Kit])</f>
        <v>#REF!</v>
      </c>
      <c r="AJ216" s="542" t="e">
        <f>IF(NFI_Expiration=1,IF(#REF!&lt;VLOOKUP(S$5,NFI,5,0),1,0)*Table_NFI[[#This Row],[Plastic Bucket]],Table_NFI[Plastic Bucket])</f>
        <v>#REF!</v>
      </c>
      <c r="AK216" s="542" t="e">
        <f>IF(NFI_Expiration=1,IF(#REF!&lt;VLOOKUP(T$5,NFI,5,0),1,0)*Table_NFI[[#This Row],[Plastic Mat]],Table_NFI[Plastic Mat])*IF(Table_NFI[[#This Row],[Distribution Date]]&gt;"2014-04-01",1,2.5)</f>
        <v>#REF!</v>
      </c>
      <c r="AL216" s="542" t="e">
        <f>IF(NFI_Expiration=1,IF(#REF!&lt;VLOOKUP(U$5,NFI,5,0),1,0)*Table_NFI[[#This Row],[Winter Clothes Adult]],Table_NFI[Winter Clothes Adult])</f>
        <v>#REF!</v>
      </c>
      <c r="AM216" s="542"/>
      <c r="AN216" s="542"/>
      <c r="AO216" s="542"/>
      <c r="AP216" s="542">
        <f>IF(Table_NFI[[#This Row],[Winter Clothes Adult]]+Table_NFI[[#This Row],[Winter Clothes Children]]+Table_NFI[[#This Row],[Winter Items Other]]+Table_NFI[[#This Row],[Winter Blanket]]&gt;0,1,0)</f>
        <v>0</v>
      </c>
      <c r="AQ216" s="542"/>
      <c r="AR216" s="542"/>
      <c r="AS216" s="542"/>
      <c r="AT216" s="205" t="str">
        <f>IFERROR(VLOOKUP(Table_NFI[[#This Row],[Location]],CL,2,0),"")</f>
        <v>MMR015CMP248</v>
      </c>
      <c r="AU216" s="183"/>
    </row>
    <row r="217" spans="2:47" x14ac:dyDescent="0.25">
      <c r="B217" s="540">
        <v>43216</v>
      </c>
      <c r="C217" s="540" t="str">
        <f>MONTH(Table_NFI[[#This Row],[Distribution Date]]) &amp; "/" &amp; YEAR(Table_NFI[[#This Row],[Distribution Date]])</f>
        <v>4/2018</v>
      </c>
      <c r="D217" s="198" t="s">
        <v>1461</v>
      </c>
      <c r="E217" s="198"/>
      <c r="F217" s="198" t="s">
        <v>378</v>
      </c>
      <c r="G217" s="197" t="s">
        <v>151</v>
      </c>
      <c r="H217" s="198" t="s">
        <v>154</v>
      </c>
      <c r="I217" s="668">
        <v>1</v>
      </c>
      <c r="J217" s="541"/>
      <c r="K217" s="541"/>
      <c r="L217" s="541"/>
      <c r="M217" s="541"/>
      <c r="N217" s="541"/>
      <c r="O217" s="541"/>
      <c r="P217" s="541"/>
      <c r="Q217" s="541"/>
      <c r="R217" s="541"/>
      <c r="S217" s="541"/>
      <c r="T217" s="541"/>
      <c r="U217" s="541"/>
      <c r="V217" s="541"/>
      <c r="W217" s="541"/>
      <c r="X217" s="541"/>
      <c r="Y217" s="541"/>
      <c r="Z217" s="541"/>
      <c r="AA217" s="541"/>
      <c r="AB217" s="541"/>
      <c r="AC217" s="542" t="e">
        <f>IF(NFI_Expiration=1,IF(#REF!&lt;VLOOKUP(L$5,NFI,5,0),1,0)*Table_NFI[[#This Row],[NFI Core Kit]],Table_NFI[NFI Core Kit])</f>
        <v>#REF!</v>
      </c>
      <c r="AD217" s="542" t="e">
        <f>IF(NFI_Expiration=1,IF(#REF!&lt;VLOOKUP(M$5,NFI,5,0),1,0)*Table_NFI[[#This Row],[Sanitary Kit]],Table_NFI[Sanitary Kit])</f>
        <v>#REF!</v>
      </c>
      <c r="AE217" s="542" t="e">
        <f>IF(NFI_Expiration=1,IF(#REF!&lt;VLOOKUP(N$5,NFI,5,0),1,0)*Table_NFI[[#This Row],[Mosquito net]],Table_NFI[Mosquito net])</f>
        <v>#REF!</v>
      </c>
      <c r="AF217" s="542" t="e">
        <f>IF(NFI_Expiration=1,IF(#REF!&lt;VLOOKUP(O$5,NFI,5,0),1,0)*Table_NFI[[#This Row],[Tarpaulin]],Table_NFI[[#This Row],[Tarpaulin]])</f>
        <v>#REF!</v>
      </c>
      <c r="AG217" s="542" t="e">
        <f>IF(NFI_Expiration=1,IF(#REF!&lt;VLOOKUP(P$5,NFI,5,0),1,0)*Table_NFI[[#This Row],[Blanket]],Table_NFI[[#This Row],[Blanket]])</f>
        <v>#REF!</v>
      </c>
      <c r="AH217" s="542" t="e">
        <f>IF(NFI_Expiration=1,IF(#REF!&lt;VLOOKUP(Q$5,NFI,5,0),1,0)*Table_NFI[[#This Row],[Kitchen Set]],Table_NFI[Kitchen Set])</f>
        <v>#REF!</v>
      </c>
      <c r="AI217" s="542" t="e">
        <f>IF(NFI_Expiration=1,IF(#REF!&lt;VLOOKUP(R$5,NFI,5,0),1,0)*Table_NFI[[#This Row],[Clothes Kit]],Table_NFI[Clothes Kit])</f>
        <v>#REF!</v>
      </c>
      <c r="AJ217" s="542" t="e">
        <f>IF(NFI_Expiration=1,IF(#REF!&lt;VLOOKUP(S$5,NFI,5,0),1,0)*Table_NFI[[#This Row],[Plastic Bucket]],Table_NFI[Plastic Bucket])</f>
        <v>#REF!</v>
      </c>
      <c r="AK217" s="542" t="e">
        <f>IF(NFI_Expiration=1,IF(#REF!&lt;VLOOKUP(T$5,NFI,5,0),1,0)*Table_NFI[[#This Row],[Plastic Mat]],Table_NFI[Plastic Mat])*IF(Table_NFI[[#This Row],[Distribution Date]]&gt;"2014-04-01",1,2.5)</f>
        <v>#REF!</v>
      </c>
      <c r="AL217" s="542" t="e">
        <f>IF(NFI_Expiration=1,IF(#REF!&lt;VLOOKUP(U$5,NFI,5,0),1,0)*Table_NFI[[#This Row],[Winter Clothes Adult]],Table_NFI[Winter Clothes Adult])</f>
        <v>#REF!</v>
      </c>
      <c r="AM217" s="542"/>
      <c r="AN217" s="542"/>
      <c r="AO217" s="542"/>
      <c r="AP217" s="542">
        <f>IF(Table_NFI[[#This Row],[Winter Clothes Adult]]+Table_NFI[[#This Row],[Winter Clothes Children]]+Table_NFI[[#This Row],[Winter Items Other]]+Table_NFI[[#This Row],[Winter Blanket]]&gt;0,1,0)</f>
        <v>0</v>
      </c>
      <c r="AQ217" s="542"/>
      <c r="AR217" s="542"/>
      <c r="AS217" s="542"/>
      <c r="AT217" s="205" t="str">
        <f>IFERROR(VLOOKUP(Table_NFI[[#This Row],[Location]],CL,2,0),"")</f>
        <v>MMR001CMP132</v>
      </c>
      <c r="AU217" s="183"/>
    </row>
    <row r="218" spans="2:47" x14ac:dyDescent="0.25">
      <c r="B218" s="540">
        <v>43216</v>
      </c>
      <c r="C218" s="540" t="str">
        <f>MONTH(Table_NFI[[#This Row],[Distribution Date]]) &amp; "/" &amp; YEAR(Table_NFI[[#This Row],[Distribution Date]])</f>
        <v>4/2018</v>
      </c>
      <c r="D218" s="198" t="s">
        <v>1461</v>
      </c>
      <c r="E218" s="198"/>
      <c r="F218" s="198" t="s">
        <v>378</v>
      </c>
      <c r="G218" s="197" t="s">
        <v>151</v>
      </c>
      <c r="H218" s="198" t="s">
        <v>154</v>
      </c>
      <c r="I218" s="668">
        <v>1</v>
      </c>
      <c r="J218" s="541"/>
      <c r="K218" s="541"/>
      <c r="L218" s="668">
        <v>1</v>
      </c>
      <c r="M218" s="541"/>
      <c r="N218" s="541"/>
      <c r="O218" s="541"/>
      <c r="P218" s="541"/>
      <c r="Q218" s="541"/>
      <c r="R218" s="541"/>
      <c r="S218" s="541"/>
      <c r="T218" s="541"/>
      <c r="U218" s="541"/>
      <c r="V218" s="541"/>
      <c r="W218" s="541"/>
      <c r="X218" s="541"/>
      <c r="Y218" s="541"/>
      <c r="Z218" s="541"/>
      <c r="AA218" s="541"/>
      <c r="AB218" s="541"/>
      <c r="AC218" s="542" t="e">
        <f>IF(NFI_Expiration=1,IF(#REF!&lt;VLOOKUP(L$5,NFI,5,0),1,0)*Table_NFI[[#This Row],[NFI Core Kit]],Table_NFI[NFI Core Kit])</f>
        <v>#REF!</v>
      </c>
      <c r="AD218" s="542" t="e">
        <f>IF(NFI_Expiration=1,IF(#REF!&lt;VLOOKUP(M$5,NFI,5,0),1,0)*Table_NFI[[#This Row],[Sanitary Kit]],Table_NFI[Sanitary Kit])</f>
        <v>#REF!</v>
      </c>
      <c r="AE218" s="542" t="e">
        <f>IF(NFI_Expiration=1,IF(#REF!&lt;VLOOKUP(N$5,NFI,5,0),1,0)*Table_NFI[[#This Row],[Mosquito net]],Table_NFI[Mosquito net])</f>
        <v>#REF!</v>
      </c>
      <c r="AF218" s="542" t="e">
        <f>IF(NFI_Expiration=1,IF(#REF!&lt;VLOOKUP(O$5,NFI,5,0),1,0)*Table_NFI[[#This Row],[Tarpaulin]],Table_NFI[[#This Row],[Tarpaulin]])</f>
        <v>#REF!</v>
      </c>
      <c r="AG218" s="542" t="e">
        <f>IF(NFI_Expiration=1,IF(#REF!&lt;VLOOKUP(P$5,NFI,5,0),1,0)*Table_NFI[[#This Row],[Blanket]],Table_NFI[[#This Row],[Blanket]])</f>
        <v>#REF!</v>
      </c>
      <c r="AH218" s="542" t="e">
        <f>IF(NFI_Expiration=1,IF(#REF!&lt;VLOOKUP(Q$5,NFI,5,0),1,0)*Table_NFI[[#This Row],[Kitchen Set]],Table_NFI[Kitchen Set])</f>
        <v>#REF!</v>
      </c>
      <c r="AI218" s="542" t="e">
        <f>IF(NFI_Expiration=1,IF(#REF!&lt;VLOOKUP(R$5,NFI,5,0),1,0)*Table_NFI[[#This Row],[Clothes Kit]],Table_NFI[Clothes Kit])</f>
        <v>#REF!</v>
      </c>
      <c r="AJ218" s="542" t="e">
        <f>IF(NFI_Expiration=1,IF(#REF!&lt;VLOOKUP(S$5,NFI,5,0),1,0)*Table_NFI[[#This Row],[Plastic Bucket]],Table_NFI[Plastic Bucket])</f>
        <v>#REF!</v>
      </c>
      <c r="AK218" s="542" t="e">
        <f>IF(NFI_Expiration=1,IF(#REF!&lt;VLOOKUP(T$5,NFI,5,0),1,0)*Table_NFI[[#This Row],[Plastic Mat]],Table_NFI[Plastic Mat])*IF(Table_NFI[[#This Row],[Distribution Date]]&gt;"2014-04-01",1,2.5)</f>
        <v>#REF!</v>
      </c>
      <c r="AL218" s="542" t="e">
        <f>IF(NFI_Expiration=1,IF(#REF!&lt;VLOOKUP(U$5,NFI,5,0),1,0)*Table_NFI[[#This Row],[Winter Clothes Adult]],Table_NFI[Winter Clothes Adult])</f>
        <v>#REF!</v>
      </c>
      <c r="AM218" s="542"/>
      <c r="AN218" s="542"/>
      <c r="AO218" s="542"/>
      <c r="AP218" s="542">
        <f>IF(Table_NFI[[#This Row],[Winter Clothes Adult]]+Table_NFI[[#This Row],[Winter Clothes Children]]+Table_NFI[[#This Row],[Winter Items Other]]+Table_NFI[[#This Row],[Winter Blanket]]&gt;0,1,0)</f>
        <v>0</v>
      </c>
      <c r="AQ218" s="542"/>
      <c r="AR218" s="542"/>
      <c r="AS218" s="542"/>
      <c r="AT218" s="205" t="str">
        <f>IFERROR(VLOOKUP(Table_NFI[[#This Row],[Location]],CL,2,0),"")</f>
        <v>MMR001CMP132</v>
      </c>
      <c r="AU218" s="183"/>
    </row>
    <row r="219" spans="2:47" x14ac:dyDescent="0.25">
      <c r="B219" s="540">
        <v>43201</v>
      </c>
      <c r="C219" s="540" t="str">
        <f>MONTH(Table_NFI[[#This Row],[Distribution Date]]) &amp; "/" &amp; YEAR(Table_NFI[[#This Row],[Distribution Date]])</f>
        <v>4/2018</v>
      </c>
      <c r="D219" s="198" t="s">
        <v>1461</v>
      </c>
      <c r="E219" s="198"/>
      <c r="F219" s="198" t="s">
        <v>506</v>
      </c>
      <c r="G219" s="197" t="s">
        <v>297</v>
      </c>
      <c r="H219" s="198" t="s">
        <v>759</v>
      </c>
      <c r="I219" s="668"/>
      <c r="J219" s="541"/>
      <c r="K219" s="541"/>
      <c r="L219" s="668">
        <v>1</v>
      </c>
      <c r="M219" s="541"/>
      <c r="N219" s="541"/>
      <c r="O219" s="541"/>
      <c r="P219" s="541"/>
      <c r="Q219" s="541"/>
      <c r="R219" s="541"/>
      <c r="S219" s="541"/>
      <c r="T219" s="541"/>
      <c r="U219" s="541"/>
      <c r="V219" s="541"/>
      <c r="W219" s="541"/>
      <c r="X219" s="541"/>
      <c r="Y219" s="541"/>
      <c r="Z219" s="541"/>
      <c r="AA219" s="541"/>
      <c r="AB219" s="541"/>
      <c r="AC219" s="542" t="e">
        <f>IF(NFI_Expiration=1,IF(#REF!&lt;VLOOKUP(L$5,NFI,5,0),1,0)*Table_NFI[[#This Row],[NFI Core Kit]],Table_NFI[NFI Core Kit])</f>
        <v>#REF!</v>
      </c>
      <c r="AD219" s="542" t="e">
        <f>IF(NFI_Expiration=1,IF(#REF!&lt;VLOOKUP(M$5,NFI,5,0),1,0)*Table_NFI[[#This Row],[Sanitary Kit]],Table_NFI[Sanitary Kit])</f>
        <v>#REF!</v>
      </c>
      <c r="AE219" s="542" t="e">
        <f>IF(NFI_Expiration=1,IF(#REF!&lt;VLOOKUP(N$5,NFI,5,0),1,0)*Table_NFI[[#This Row],[Mosquito net]],Table_NFI[Mosquito net])</f>
        <v>#REF!</v>
      </c>
      <c r="AF219" s="542" t="e">
        <f>IF(NFI_Expiration=1,IF(#REF!&lt;VLOOKUP(O$5,NFI,5,0),1,0)*Table_NFI[[#This Row],[Tarpaulin]],Table_NFI[[#This Row],[Tarpaulin]])</f>
        <v>#REF!</v>
      </c>
      <c r="AG219" s="542" t="e">
        <f>IF(NFI_Expiration=1,IF(#REF!&lt;VLOOKUP(P$5,NFI,5,0),1,0)*Table_NFI[[#This Row],[Blanket]],Table_NFI[[#This Row],[Blanket]])</f>
        <v>#REF!</v>
      </c>
      <c r="AH219" s="542" t="e">
        <f>IF(NFI_Expiration=1,IF(#REF!&lt;VLOOKUP(Q$5,NFI,5,0),1,0)*Table_NFI[[#This Row],[Kitchen Set]],Table_NFI[Kitchen Set])</f>
        <v>#REF!</v>
      </c>
      <c r="AI219" s="542" t="e">
        <f>IF(NFI_Expiration=1,IF(#REF!&lt;VLOOKUP(R$5,NFI,5,0),1,0)*Table_NFI[[#This Row],[Clothes Kit]],Table_NFI[Clothes Kit])</f>
        <v>#REF!</v>
      </c>
      <c r="AJ219" s="542" t="e">
        <f>IF(NFI_Expiration=1,IF(#REF!&lt;VLOOKUP(S$5,NFI,5,0),1,0)*Table_NFI[[#This Row],[Plastic Bucket]],Table_NFI[Plastic Bucket])</f>
        <v>#REF!</v>
      </c>
      <c r="AK219" s="542" t="e">
        <f>IF(NFI_Expiration=1,IF(#REF!&lt;VLOOKUP(T$5,NFI,5,0),1,0)*Table_NFI[[#This Row],[Plastic Mat]],Table_NFI[Plastic Mat])*IF(Table_NFI[[#This Row],[Distribution Date]]&gt;"2014-04-01",1,2.5)</f>
        <v>#REF!</v>
      </c>
      <c r="AL219" s="542" t="e">
        <f>IF(NFI_Expiration=1,IF(#REF!&lt;VLOOKUP(U$5,NFI,5,0),1,0)*Table_NFI[[#This Row],[Winter Clothes Adult]],Table_NFI[Winter Clothes Adult])</f>
        <v>#REF!</v>
      </c>
      <c r="AM219" s="542"/>
      <c r="AN219" s="542"/>
      <c r="AO219" s="542"/>
      <c r="AP219" s="542">
        <f>IF(Table_NFI[[#This Row],[Winter Clothes Adult]]+Table_NFI[[#This Row],[Winter Clothes Children]]+Table_NFI[[#This Row],[Winter Items Other]]+Table_NFI[[#This Row],[Winter Blanket]]&gt;0,1,0)</f>
        <v>0</v>
      </c>
      <c r="AQ219" s="542"/>
      <c r="AR219" s="542"/>
      <c r="AS219" s="542"/>
      <c r="AT219" s="205" t="str">
        <f>IFERROR(VLOOKUP(Table_NFI[[#This Row],[Location]],CL,2,0),"")</f>
        <v>MMR015CMP014</v>
      </c>
      <c r="AU219" s="183"/>
    </row>
    <row r="220" spans="2:47" x14ac:dyDescent="0.25">
      <c r="B220" s="540">
        <v>43201</v>
      </c>
      <c r="C220" s="540" t="str">
        <f>MONTH(Table_NFI[[#This Row],[Distribution Date]]) &amp; "/" &amp; YEAR(Table_NFI[[#This Row],[Distribution Date]])</f>
        <v>4/2018</v>
      </c>
      <c r="D220" s="198" t="s">
        <v>1461</v>
      </c>
      <c r="E220" s="198"/>
      <c r="F220" s="198" t="s">
        <v>506</v>
      </c>
      <c r="G220" s="197" t="s">
        <v>297</v>
      </c>
      <c r="H220" s="198" t="s">
        <v>1191</v>
      </c>
      <c r="I220" s="668"/>
      <c r="J220" s="541"/>
      <c r="K220" s="541"/>
      <c r="L220" s="668">
        <v>1</v>
      </c>
      <c r="M220" s="541"/>
      <c r="N220" s="541"/>
      <c r="O220" s="541"/>
      <c r="P220" s="541"/>
      <c r="Q220" s="541"/>
      <c r="R220" s="541"/>
      <c r="S220" s="541"/>
      <c r="T220" s="541"/>
      <c r="U220" s="541"/>
      <c r="V220" s="541"/>
      <c r="W220" s="541"/>
      <c r="X220" s="541"/>
      <c r="Y220" s="541"/>
      <c r="Z220" s="541"/>
      <c r="AA220" s="541"/>
      <c r="AB220" s="541"/>
      <c r="AC220" s="542" t="e">
        <f>IF(NFI_Expiration=1,IF(#REF!&lt;VLOOKUP(L$5,NFI,5,0),1,0)*Table_NFI[[#This Row],[NFI Core Kit]],Table_NFI[NFI Core Kit])</f>
        <v>#REF!</v>
      </c>
      <c r="AD220" s="542" t="e">
        <f>IF(NFI_Expiration=1,IF(#REF!&lt;VLOOKUP(M$5,NFI,5,0),1,0)*Table_NFI[[#This Row],[Sanitary Kit]],Table_NFI[Sanitary Kit])</f>
        <v>#REF!</v>
      </c>
      <c r="AE220" s="542" t="e">
        <f>IF(NFI_Expiration=1,IF(#REF!&lt;VLOOKUP(N$5,NFI,5,0),1,0)*Table_NFI[[#This Row],[Mosquito net]],Table_NFI[Mosquito net])</f>
        <v>#REF!</v>
      </c>
      <c r="AF220" s="542" t="e">
        <f>IF(NFI_Expiration=1,IF(#REF!&lt;VLOOKUP(O$5,NFI,5,0),1,0)*Table_NFI[[#This Row],[Tarpaulin]],Table_NFI[[#This Row],[Tarpaulin]])</f>
        <v>#REF!</v>
      </c>
      <c r="AG220" s="542" t="e">
        <f>IF(NFI_Expiration=1,IF(#REF!&lt;VLOOKUP(P$5,NFI,5,0),1,0)*Table_NFI[[#This Row],[Blanket]],Table_NFI[[#This Row],[Blanket]])</f>
        <v>#REF!</v>
      </c>
      <c r="AH220" s="542" t="e">
        <f>IF(NFI_Expiration=1,IF(#REF!&lt;VLOOKUP(Q$5,NFI,5,0),1,0)*Table_NFI[[#This Row],[Kitchen Set]],Table_NFI[Kitchen Set])</f>
        <v>#REF!</v>
      </c>
      <c r="AI220" s="542" t="e">
        <f>IF(NFI_Expiration=1,IF(#REF!&lt;VLOOKUP(R$5,NFI,5,0),1,0)*Table_NFI[[#This Row],[Clothes Kit]],Table_NFI[Clothes Kit])</f>
        <v>#REF!</v>
      </c>
      <c r="AJ220" s="542" t="e">
        <f>IF(NFI_Expiration=1,IF(#REF!&lt;VLOOKUP(S$5,NFI,5,0),1,0)*Table_NFI[[#This Row],[Plastic Bucket]],Table_NFI[Plastic Bucket])</f>
        <v>#REF!</v>
      </c>
      <c r="AK220" s="542" t="e">
        <f>IF(NFI_Expiration=1,IF(#REF!&lt;VLOOKUP(T$5,NFI,5,0),1,0)*Table_NFI[[#This Row],[Plastic Mat]],Table_NFI[Plastic Mat])*IF(Table_NFI[[#This Row],[Distribution Date]]&gt;"2014-04-01",1,2.5)</f>
        <v>#REF!</v>
      </c>
      <c r="AL220" s="542" t="e">
        <f>IF(NFI_Expiration=1,IF(#REF!&lt;VLOOKUP(U$5,NFI,5,0),1,0)*Table_NFI[[#This Row],[Winter Clothes Adult]],Table_NFI[Winter Clothes Adult])</f>
        <v>#REF!</v>
      </c>
      <c r="AM220" s="542"/>
      <c r="AN220" s="542"/>
      <c r="AO220" s="542"/>
      <c r="AP220" s="542">
        <f>IF(Table_NFI[[#This Row],[Winter Clothes Adult]]+Table_NFI[[#This Row],[Winter Clothes Children]]+Table_NFI[[#This Row],[Winter Items Other]]+Table_NFI[[#This Row],[Winter Blanket]]&gt;0,1,0)</f>
        <v>0</v>
      </c>
      <c r="AQ220" s="542"/>
      <c r="AR220" s="542"/>
      <c r="AS220" s="542"/>
      <c r="AT220" s="205" t="str">
        <f>IFERROR(VLOOKUP(Table_NFI[[#This Row],[Location]],CL,2,0),"")</f>
        <v>MMR015CMP232</v>
      </c>
      <c r="AU220" s="183"/>
    </row>
    <row r="221" spans="2:47" x14ac:dyDescent="0.25">
      <c r="B221" s="540">
        <v>43201</v>
      </c>
      <c r="C221" s="540" t="str">
        <f>MONTH(Table_NFI[[#This Row],[Distribution Date]]) &amp; "/" &amp; YEAR(Table_NFI[[#This Row],[Distribution Date]])</f>
        <v>4/2018</v>
      </c>
      <c r="D221" s="198" t="s">
        <v>1461</v>
      </c>
      <c r="E221" s="198"/>
      <c r="F221" s="198" t="s">
        <v>506</v>
      </c>
      <c r="G221" s="197" t="s">
        <v>297</v>
      </c>
      <c r="H221" s="198" t="s">
        <v>1278</v>
      </c>
      <c r="I221" s="668"/>
      <c r="J221" s="541"/>
      <c r="K221" s="541"/>
      <c r="L221" s="541"/>
      <c r="M221" s="541"/>
      <c r="N221" s="541"/>
      <c r="O221" s="541"/>
      <c r="P221" s="541"/>
      <c r="Q221" s="541"/>
      <c r="R221" s="541"/>
      <c r="S221" s="541"/>
      <c r="T221" s="541"/>
      <c r="U221" s="541"/>
      <c r="V221" s="541"/>
      <c r="W221" s="541"/>
      <c r="X221" s="541"/>
      <c r="Y221" s="541"/>
      <c r="Z221" s="541"/>
      <c r="AA221" s="541"/>
      <c r="AB221" s="541"/>
      <c r="AC221" s="542" t="e">
        <f>IF(NFI_Expiration=1,IF(#REF!&lt;VLOOKUP(L$5,NFI,5,0),1,0)*Table_NFI[[#This Row],[NFI Core Kit]],Table_NFI[NFI Core Kit])</f>
        <v>#REF!</v>
      </c>
      <c r="AD221" s="542" t="e">
        <f>IF(NFI_Expiration=1,IF(#REF!&lt;VLOOKUP(M$5,NFI,5,0),1,0)*Table_NFI[[#This Row],[Sanitary Kit]],Table_NFI[Sanitary Kit])</f>
        <v>#REF!</v>
      </c>
      <c r="AE221" s="542" t="e">
        <f>IF(NFI_Expiration=1,IF(#REF!&lt;VLOOKUP(N$5,NFI,5,0),1,0)*Table_NFI[[#This Row],[Mosquito net]],Table_NFI[Mosquito net])</f>
        <v>#REF!</v>
      </c>
      <c r="AF221" s="542" t="e">
        <f>IF(NFI_Expiration=1,IF(#REF!&lt;VLOOKUP(O$5,NFI,5,0),1,0)*Table_NFI[[#This Row],[Tarpaulin]],Table_NFI[[#This Row],[Tarpaulin]])</f>
        <v>#REF!</v>
      </c>
      <c r="AG221" s="542" t="e">
        <f>IF(NFI_Expiration=1,IF(#REF!&lt;VLOOKUP(P$5,NFI,5,0),1,0)*Table_NFI[[#This Row],[Blanket]],Table_NFI[[#This Row],[Blanket]])</f>
        <v>#REF!</v>
      </c>
      <c r="AH221" s="542" t="e">
        <f>IF(NFI_Expiration=1,IF(#REF!&lt;VLOOKUP(Q$5,NFI,5,0),1,0)*Table_NFI[[#This Row],[Kitchen Set]],Table_NFI[Kitchen Set])</f>
        <v>#REF!</v>
      </c>
      <c r="AI221" s="542" t="e">
        <f>IF(NFI_Expiration=1,IF(#REF!&lt;VLOOKUP(R$5,NFI,5,0),1,0)*Table_NFI[[#This Row],[Clothes Kit]],Table_NFI[Clothes Kit])</f>
        <v>#REF!</v>
      </c>
      <c r="AJ221" s="542" t="e">
        <f>IF(NFI_Expiration=1,IF(#REF!&lt;VLOOKUP(S$5,NFI,5,0),1,0)*Table_NFI[[#This Row],[Plastic Bucket]],Table_NFI[Plastic Bucket])</f>
        <v>#REF!</v>
      </c>
      <c r="AK221" s="542" t="e">
        <f>IF(NFI_Expiration=1,IF(#REF!&lt;VLOOKUP(T$5,NFI,5,0),1,0)*Table_NFI[[#This Row],[Plastic Mat]],Table_NFI[Plastic Mat])*IF(Table_NFI[[#This Row],[Distribution Date]]&gt;"2014-04-01",1,2.5)</f>
        <v>#REF!</v>
      </c>
      <c r="AL221" s="542" t="e">
        <f>IF(NFI_Expiration=1,IF(#REF!&lt;VLOOKUP(U$5,NFI,5,0),1,0)*Table_NFI[[#This Row],[Winter Clothes Adult]],Table_NFI[Winter Clothes Adult])</f>
        <v>#REF!</v>
      </c>
      <c r="AM221" s="542"/>
      <c r="AN221" s="542"/>
      <c r="AO221" s="542"/>
      <c r="AP221" s="542">
        <f>IF(Table_NFI[[#This Row],[Winter Clothes Adult]]+Table_NFI[[#This Row],[Winter Clothes Children]]+Table_NFI[[#This Row],[Winter Items Other]]+Table_NFI[[#This Row],[Winter Blanket]]&gt;0,1,0)</f>
        <v>0</v>
      </c>
      <c r="AQ221" s="542"/>
      <c r="AR221" s="542"/>
      <c r="AS221" s="542"/>
      <c r="AT221" s="205" t="str">
        <f>IFERROR(VLOOKUP(Table_NFI[[#This Row],[Location]],CL,2,0),"")</f>
        <v>MMR015CMP248</v>
      </c>
      <c r="AU221" s="183"/>
    </row>
    <row r="222" spans="2:47" x14ac:dyDescent="0.3">
      <c r="B222" s="540">
        <v>43200</v>
      </c>
      <c r="C222" s="540"/>
      <c r="D222" s="198" t="s">
        <v>420</v>
      </c>
      <c r="E222" s="198" t="s">
        <v>462</v>
      </c>
      <c r="F222" s="198" t="s">
        <v>378</v>
      </c>
      <c r="G222" s="197" t="s">
        <v>237</v>
      </c>
      <c r="H222" s="198" t="s">
        <v>1031</v>
      </c>
      <c r="I222" s="183"/>
      <c r="J222" s="541"/>
      <c r="K222" s="541"/>
      <c r="L222" s="541">
        <v>3</v>
      </c>
      <c r="M222" s="541">
        <v>2</v>
      </c>
      <c r="N222" s="541">
        <v>6</v>
      </c>
      <c r="O222" s="541">
        <v>3</v>
      </c>
      <c r="P222" s="541">
        <v>6</v>
      </c>
      <c r="Q222" s="541">
        <v>3</v>
      </c>
      <c r="R222" s="541"/>
      <c r="S222" s="541">
        <v>3</v>
      </c>
      <c r="T222" s="541">
        <v>7</v>
      </c>
      <c r="U222" s="541"/>
      <c r="V222" s="541"/>
      <c r="W222" s="541"/>
      <c r="X222" s="541"/>
      <c r="Y222" s="541">
        <v>3</v>
      </c>
      <c r="Z222" s="541"/>
      <c r="AA222" s="541"/>
      <c r="AB222" s="541"/>
      <c r="AC222" s="542" t="e">
        <f>IF(NFI_Expiration=1,IF(#REF!&lt;VLOOKUP(L$5,NFI,5,0),1,0)*Table_NFI[[#This Row],[NFI Core Kit]],Table_NFI[NFI Core Kit])</f>
        <v>#REF!</v>
      </c>
      <c r="AD222" s="542" t="e">
        <f>IF(NFI_Expiration=1,IF(#REF!&lt;VLOOKUP(M$5,NFI,5,0),1,0)*Table_NFI[[#This Row],[Sanitary Kit]],Table_NFI[Sanitary Kit])</f>
        <v>#REF!</v>
      </c>
      <c r="AE222" s="542" t="e">
        <f>IF(NFI_Expiration=1,IF(#REF!&lt;VLOOKUP(N$5,NFI,5,0),1,0)*Table_NFI[[#This Row],[Mosquito net]],Table_NFI[Mosquito net])</f>
        <v>#REF!</v>
      </c>
      <c r="AF222" s="542" t="e">
        <f>IF(NFI_Expiration=1,IF(#REF!&lt;VLOOKUP(O$5,NFI,5,0),1,0)*Table_NFI[[#This Row],[Tarpaulin]],Table_NFI[[#This Row],[Tarpaulin]])</f>
        <v>#REF!</v>
      </c>
      <c r="AG222" s="542" t="e">
        <f>IF(NFI_Expiration=1,IF(#REF!&lt;VLOOKUP(P$5,NFI,5,0),1,0)*Table_NFI[[#This Row],[Blanket]],Table_NFI[[#This Row],[Blanket]])</f>
        <v>#REF!</v>
      </c>
      <c r="AH222" s="542" t="e">
        <f>IF(NFI_Expiration=1,IF(#REF!&lt;VLOOKUP(Q$5,NFI,5,0),1,0)*Table_NFI[[#This Row],[Kitchen Set]],Table_NFI[Kitchen Set])</f>
        <v>#REF!</v>
      </c>
      <c r="AI222" s="542" t="e">
        <f>IF(NFI_Expiration=1,IF(#REF!&lt;VLOOKUP(R$5,NFI,5,0),1,0)*Table_NFI[[#This Row],[Clothes Kit]],Table_NFI[Clothes Kit])</f>
        <v>#REF!</v>
      </c>
      <c r="AJ222" s="542" t="e">
        <f>IF(NFI_Expiration=1,IF(#REF!&lt;VLOOKUP(S$5,NFI,5,0),1,0)*Table_NFI[[#This Row],[Plastic Bucket]],Table_NFI[Plastic Bucket])</f>
        <v>#REF!</v>
      </c>
      <c r="AK222" s="542" t="e">
        <f>IF(NFI_Expiration=1,IF(#REF!&lt;VLOOKUP(T$5,NFI,5,0),1,0)*Table_NFI[[#This Row],[Plastic Mat]],Table_NFI[Plastic Mat])*IF(Table_NFI[[#This Row],[Distribution Date]]&gt;"2014-04-01",1,2.5)</f>
        <v>#REF!</v>
      </c>
      <c r="AL222" s="542" t="e">
        <f>IF(NFI_Expiration=1,IF(#REF!&lt;VLOOKUP(U$5,NFI,5,0),1,0)*Table_NFI[[#This Row],[Winter Clothes Adult]],Table_NFI[Winter Clothes Adult])</f>
        <v>#REF!</v>
      </c>
      <c r="AM222" s="542"/>
      <c r="AN222" s="542"/>
      <c r="AO222" s="542"/>
      <c r="AP222" s="542">
        <f>IF(Table_NFI[[#This Row],[Winter Clothes Adult]]+Table_NFI[[#This Row],[Winter Clothes Children]]+Table_NFI[[#This Row],[Winter Items Other]]+Table_NFI[[#This Row],[Winter Blanket]]&gt;0,1,0)</f>
        <v>0</v>
      </c>
      <c r="AQ222" s="542"/>
      <c r="AR222" s="542"/>
      <c r="AS222" s="542"/>
      <c r="AT222" s="205" t="str">
        <f>IFERROR(VLOOKUP(Table_NFI[[#This Row],[Location]],CL,2,0),"")</f>
        <v>MMR001CMP023</v>
      </c>
      <c r="AU222" s="183"/>
    </row>
    <row r="223" spans="2:47" x14ac:dyDescent="0.3">
      <c r="B223" s="540">
        <v>43200</v>
      </c>
      <c r="C223" s="540" t="str">
        <f>MONTH(Table_NFI[[#This Row],[Distribution Date]]) &amp; "/" &amp; YEAR(Table_NFI[[#This Row],[Distribution Date]])</f>
        <v>4/2018</v>
      </c>
      <c r="D223" s="198" t="s">
        <v>420</v>
      </c>
      <c r="E223" s="198" t="s">
        <v>462</v>
      </c>
      <c r="F223" s="198" t="s">
        <v>378</v>
      </c>
      <c r="G223" s="197" t="s">
        <v>309</v>
      </c>
      <c r="H223" s="198" t="s">
        <v>317</v>
      </c>
      <c r="I223" s="183"/>
      <c r="J223" s="541"/>
      <c r="K223" s="541"/>
      <c r="L223" s="541">
        <v>2</v>
      </c>
      <c r="M223" s="541">
        <v>2</v>
      </c>
      <c r="N223" s="541">
        <v>7</v>
      </c>
      <c r="O223" s="541">
        <v>2</v>
      </c>
      <c r="P223" s="541">
        <v>7</v>
      </c>
      <c r="Q223" s="541">
        <v>2</v>
      </c>
      <c r="R223" s="541"/>
      <c r="S223" s="541">
        <v>2</v>
      </c>
      <c r="T223" s="541">
        <v>10</v>
      </c>
      <c r="U223" s="541"/>
      <c r="V223" s="541"/>
      <c r="W223" s="541"/>
      <c r="X223" s="541"/>
      <c r="Y223" s="541">
        <v>2</v>
      </c>
      <c r="Z223" s="541"/>
      <c r="AA223" s="541"/>
      <c r="AB223" s="541"/>
      <c r="AC223" s="542" t="e">
        <f>IF(NFI_Expiration=1,IF(#REF!&lt;VLOOKUP(L$5,NFI,5,0),1,0)*Table_NFI[[#This Row],[NFI Core Kit]],Table_NFI[NFI Core Kit])</f>
        <v>#REF!</v>
      </c>
      <c r="AD223" s="542" t="e">
        <f>IF(NFI_Expiration=1,IF(#REF!&lt;VLOOKUP(M$5,NFI,5,0),1,0)*Table_NFI[[#This Row],[Sanitary Kit]],Table_NFI[Sanitary Kit])</f>
        <v>#REF!</v>
      </c>
      <c r="AE223" s="542" t="e">
        <f>IF(NFI_Expiration=1,IF(#REF!&lt;VLOOKUP(N$5,NFI,5,0),1,0)*Table_NFI[[#This Row],[Mosquito net]],Table_NFI[Mosquito net])</f>
        <v>#REF!</v>
      </c>
      <c r="AF223" s="542" t="e">
        <f>IF(NFI_Expiration=1,IF(#REF!&lt;VLOOKUP(O$5,NFI,5,0),1,0)*Table_NFI[[#This Row],[Tarpaulin]],Table_NFI[[#This Row],[Tarpaulin]])</f>
        <v>#REF!</v>
      </c>
      <c r="AG223" s="542" t="e">
        <f>IF(NFI_Expiration=1,IF(#REF!&lt;VLOOKUP(P$5,NFI,5,0),1,0)*Table_NFI[[#This Row],[Blanket]],Table_NFI[[#This Row],[Blanket]])</f>
        <v>#REF!</v>
      </c>
      <c r="AH223" s="542" t="e">
        <f>IF(NFI_Expiration=1,IF(#REF!&lt;VLOOKUP(Q$5,NFI,5,0),1,0)*Table_NFI[[#This Row],[Kitchen Set]],Table_NFI[Kitchen Set])</f>
        <v>#REF!</v>
      </c>
      <c r="AI223" s="542" t="e">
        <f>IF(NFI_Expiration=1,IF(#REF!&lt;VLOOKUP(R$5,NFI,5,0),1,0)*Table_NFI[[#This Row],[Clothes Kit]],Table_NFI[Clothes Kit])</f>
        <v>#REF!</v>
      </c>
      <c r="AJ223" s="542" t="e">
        <f>IF(NFI_Expiration=1,IF(#REF!&lt;VLOOKUP(S$5,NFI,5,0),1,0)*Table_NFI[[#This Row],[Plastic Bucket]],Table_NFI[Plastic Bucket])</f>
        <v>#REF!</v>
      </c>
      <c r="AK223" s="542" t="e">
        <f>IF(NFI_Expiration=1,IF(#REF!&lt;VLOOKUP(T$5,NFI,5,0),1,0)*Table_NFI[[#This Row],[Plastic Mat]],Table_NFI[Plastic Mat])*IF(Table_NFI[[#This Row],[Distribution Date]]&gt;"2014-04-01",1,2.5)</f>
        <v>#REF!</v>
      </c>
      <c r="AL223" s="542" t="e">
        <f>IF(NFI_Expiration=1,IF(#REF!&lt;VLOOKUP(U$5,NFI,5,0),1,0)*Table_NFI[[#This Row],[Winter Clothes Adult]],Table_NFI[Winter Clothes Adult])</f>
        <v>#REF!</v>
      </c>
      <c r="AM223" s="542"/>
      <c r="AN223" s="542"/>
      <c r="AO223" s="542"/>
      <c r="AP223" s="542">
        <f>IF(Table_NFI[[#This Row],[Winter Clothes Adult]]+Table_NFI[[#This Row],[Winter Clothes Children]]+Table_NFI[[#This Row],[Winter Items Other]]+Table_NFI[[#This Row],[Winter Blanket]]&gt;0,1,0)</f>
        <v>0</v>
      </c>
      <c r="AQ223" s="542"/>
      <c r="AR223" s="542"/>
      <c r="AS223" s="542"/>
      <c r="AT223" s="205" t="str">
        <f>IFERROR(VLOOKUP(Table_NFI[[#This Row],[Location]],CL,2,0),"")</f>
        <v>MMR001CMP032</v>
      </c>
      <c r="AU223" s="183"/>
    </row>
    <row r="224" spans="2:47" x14ac:dyDescent="0.3">
      <c r="B224" s="540">
        <v>43217</v>
      </c>
      <c r="C224" s="540" t="str">
        <f>MONTH(Table_NFI[[#This Row],[Distribution Date]]) &amp; "/" &amp; YEAR(Table_NFI[[#This Row],[Distribution Date]])</f>
        <v>4/2018</v>
      </c>
      <c r="D224" s="198" t="s">
        <v>424</v>
      </c>
      <c r="E224" s="198"/>
      <c r="F224" s="198" t="s">
        <v>378</v>
      </c>
      <c r="G224" s="197" t="s">
        <v>237</v>
      </c>
      <c r="H224" s="198" t="s">
        <v>1674</v>
      </c>
      <c r="I224" s="183"/>
      <c r="J224" s="541"/>
      <c r="K224" s="541"/>
      <c r="L224" s="541"/>
      <c r="M224" s="541"/>
      <c r="N224" s="671">
        <v>412</v>
      </c>
      <c r="O224" s="670">
        <v>254</v>
      </c>
      <c r="P224" s="541"/>
      <c r="Q224" s="541"/>
      <c r="R224" s="541"/>
      <c r="S224" s="670">
        <v>166</v>
      </c>
      <c r="T224" s="541">
        <v>254</v>
      </c>
      <c r="U224" s="541"/>
      <c r="V224" s="541"/>
      <c r="W224" s="541"/>
      <c r="X224" s="541"/>
      <c r="Y224" s="541"/>
      <c r="Z224" s="541"/>
      <c r="AA224" s="541"/>
      <c r="AB224" s="541"/>
      <c r="AC224" s="542" t="e">
        <f>IF(NFI_Expiration=1,IF(#REF!&lt;VLOOKUP(L$5,NFI,5,0),1,0)*Table_NFI[[#This Row],[NFI Core Kit]],Table_NFI[NFI Core Kit])</f>
        <v>#REF!</v>
      </c>
      <c r="AD224" s="542" t="e">
        <f>IF(NFI_Expiration=1,IF(#REF!&lt;VLOOKUP(M$5,NFI,5,0),1,0)*Table_NFI[[#This Row],[Sanitary Kit]],Table_NFI[Sanitary Kit])</f>
        <v>#REF!</v>
      </c>
      <c r="AE224" s="542" t="e">
        <f>IF(NFI_Expiration=1,IF(#REF!&lt;VLOOKUP(N$5,NFI,5,0),1,0)*Table_NFI[[#This Row],[Mosquito net]],Table_NFI[Mosquito net])</f>
        <v>#REF!</v>
      </c>
      <c r="AF224" s="542" t="e">
        <f>IF(NFI_Expiration=1,IF(#REF!&lt;VLOOKUP(O$5,NFI,5,0),1,0)*Table_NFI[[#This Row],[Tarpaulin]],Table_NFI[[#This Row],[Tarpaulin]])</f>
        <v>#REF!</v>
      </c>
      <c r="AG224" s="542" t="e">
        <f>IF(NFI_Expiration=1,IF(#REF!&lt;VLOOKUP(P$5,NFI,5,0),1,0)*Table_NFI[[#This Row],[Blanket]],Table_NFI[[#This Row],[Blanket]])</f>
        <v>#REF!</v>
      </c>
      <c r="AH224" s="542" t="e">
        <f>IF(NFI_Expiration=1,IF(#REF!&lt;VLOOKUP(Q$5,NFI,5,0),1,0)*Table_NFI[[#This Row],[Kitchen Set]],Table_NFI[Kitchen Set])</f>
        <v>#REF!</v>
      </c>
      <c r="AI224" s="542" t="e">
        <f>IF(NFI_Expiration=1,IF(#REF!&lt;VLOOKUP(R$5,NFI,5,0),1,0)*Table_NFI[[#This Row],[Clothes Kit]],Table_NFI[Clothes Kit])</f>
        <v>#REF!</v>
      </c>
      <c r="AJ224" s="542" t="e">
        <f>IF(NFI_Expiration=1,IF(#REF!&lt;VLOOKUP(S$5,NFI,5,0),1,0)*Table_NFI[[#This Row],[Plastic Bucket]],Table_NFI[Plastic Bucket])</f>
        <v>#REF!</v>
      </c>
      <c r="AK224" s="542" t="e">
        <f>IF(NFI_Expiration=1,IF(#REF!&lt;VLOOKUP(T$5,NFI,5,0),1,0)*Table_NFI[[#This Row],[Plastic Mat]],Table_NFI[Plastic Mat])*IF(Table_NFI[[#This Row],[Distribution Date]]&gt;"2014-04-01",1,2.5)</f>
        <v>#REF!</v>
      </c>
      <c r="AL224" s="542" t="e">
        <f>IF(NFI_Expiration=1,IF(#REF!&lt;VLOOKUP(U$5,NFI,5,0),1,0)*Table_NFI[[#This Row],[Winter Clothes Adult]],Table_NFI[Winter Clothes Adult])</f>
        <v>#REF!</v>
      </c>
      <c r="AM224" s="542"/>
      <c r="AN224" s="542"/>
      <c r="AO224" s="542"/>
      <c r="AP224" s="542">
        <f>IF(Table_NFI[[#This Row],[Winter Clothes Adult]]+Table_NFI[[#This Row],[Winter Clothes Children]]+Table_NFI[[#This Row],[Winter Items Other]]+Table_NFI[[#This Row],[Winter Blanket]]&gt;0,1,0)</f>
        <v>0</v>
      </c>
      <c r="AQ224" s="542"/>
      <c r="AR224" s="542"/>
      <c r="AS224" s="542"/>
      <c r="AT224" s="205" t="str">
        <f>IFERROR(VLOOKUP(Table_NFI[[#This Row],[Location]],CL,2,0),"")</f>
        <v>MMR001CMP264</v>
      </c>
      <c r="AU224" s="183"/>
    </row>
    <row r="225" spans="2:47" x14ac:dyDescent="0.25">
      <c r="B225" s="540">
        <v>43214</v>
      </c>
      <c r="C225" s="540" t="str">
        <f>MONTH(Table_NFI[[#This Row],[Distribution Date]]) &amp; "/" &amp; YEAR(Table_NFI[[#This Row],[Distribution Date]])</f>
        <v>4/2018</v>
      </c>
      <c r="D225" s="668" t="s">
        <v>825</v>
      </c>
      <c r="E225" s="668" t="s">
        <v>825</v>
      </c>
      <c r="F225" s="668" t="s">
        <v>378</v>
      </c>
      <c r="G225" s="197" t="s">
        <v>1136</v>
      </c>
      <c r="H225" s="668" t="s">
        <v>1639</v>
      </c>
      <c r="I225" s="668"/>
      <c r="J225" s="668"/>
      <c r="K225" s="541"/>
      <c r="L225" s="668"/>
      <c r="M225" s="668">
        <v>36</v>
      </c>
      <c r="N225" s="668"/>
      <c r="O225" s="668"/>
      <c r="P225" s="668"/>
      <c r="Q225" s="668"/>
      <c r="R225" s="541"/>
      <c r="S225" s="668"/>
      <c r="T225" s="668"/>
      <c r="U225" s="541"/>
      <c r="V225" s="541"/>
      <c r="W225" s="541"/>
      <c r="X225" s="541"/>
      <c r="Y225" s="668"/>
      <c r="Z225" s="541"/>
      <c r="AA225" s="541"/>
      <c r="AB225" s="541"/>
      <c r="AC225" s="542" t="e">
        <f>IF(NFI_Expiration=1,IF(#REF!&lt;VLOOKUP(L$5,NFI,5,0),1,0)*Table_NFI[[#This Row],[NFI Core Kit]],Table_NFI[NFI Core Kit])</f>
        <v>#REF!</v>
      </c>
      <c r="AD225" s="542" t="e">
        <f>IF(NFI_Expiration=1,IF(#REF!&lt;VLOOKUP(M$5,NFI,5,0),1,0)*Table_NFI[[#This Row],[Sanitary Kit]],Table_NFI[Sanitary Kit])</f>
        <v>#REF!</v>
      </c>
      <c r="AE225" s="542" t="e">
        <f>IF(NFI_Expiration=1,IF(#REF!&lt;VLOOKUP(N$5,NFI,5,0),1,0)*Table_NFI[[#This Row],[Mosquito net]],Table_NFI[Mosquito net])</f>
        <v>#REF!</v>
      </c>
      <c r="AF225" s="542" t="e">
        <f>IF(NFI_Expiration=1,IF(#REF!&lt;VLOOKUP(O$5,NFI,5,0),1,0)*Table_NFI[[#This Row],[Tarpaulin]],Table_NFI[[#This Row],[Tarpaulin]])</f>
        <v>#REF!</v>
      </c>
      <c r="AG225" s="542" t="e">
        <f>IF(NFI_Expiration=1,IF(#REF!&lt;VLOOKUP(P$5,NFI,5,0),1,0)*Table_NFI[[#This Row],[Blanket]],Table_NFI[[#This Row],[Blanket]])</f>
        <v>#REF!</v>
      </c>
      <c r="AH225" s="542" t="e">
        <f>IF(NFI_Expiration=1,IF(#REF!&lt;VLOOKUP(Q$5,NFI,5,0),1,0)*Table_NFI[[#This Row],[Kitchen Set]],Table_NFI[Kitchen Set])</f>
        <v>#REF!</v>
      </c>
      <c r="AI225" s="542" t="e">
        <f>IF(NFI_Expiration=1,IF(#REF!&lt;VLOOKUP(R$5,NFI,5,0),1,0)*Table_NFI[[#This Row],[Clothes Kit]],Table_NFI[Clothes Kit])</f>
        <v>#REF!</v>
      </c>
      <c r="AJ225" s="542" t="e">
        <f>IF(NFI_Expiration=1,IF(#REF!&lt;VLOOKUP(S$5,NFI,5,0),1,0)*Table_NFI[[#This Row],[Plastic Bucket]],Table_NFI[Plastic Bucket])</f>
        <v>#REF!</v>
      </c>
      <c r="AK225" s="542" t="e">
        <f>IF(NFI_Expiration=1,IF(#REF!&lt;VLOOKUP(T$5,NFI,5,0),1,0)*Table_NFI[[#This Row],[Plastic Mat]],Table_NFI[Plastic Mat])*IF(Table_NFI[[#This Row],[Distribution Date]]&gt;"2014-04-01",1,2.5)</f>
        <v>#REF!</v>
      </c>
      <c r="AL225" s="542" t="e">
        <f>IF(NFI_Expiration=1,IF(#REF!&lt;VLOOKUP(U$5,NFI,5,0),1,0)*Table_NFI[[#This Row],[Winter Clothes Adult]],Table_NFI[Winter Clothes Adult])</f>
        <v>#REF!</v>
      </c>
      <c r="AM225" s="542"/>
      <c r="AN225" s="542"/>
      <c r="AO225" s="542"/>
      <c r="AP225" s="542">
        <f>IF(Table_NFI[[#This Row],[Winter Clothes Adult]]+Table_NFI[[#This Row],[Winter Clothes Children]]+Table_NFI[[#This Row],[Winter Items Other]]+Table_NFI[[#This Row],[Winter Blanket]]&gt;0,1,0)</f>
        <v>0</v>
      </c>
      <c r="AQ225" s="542"/>
      <c r="AR225" s="542"/>
      <c r="AS225" s="542"/>
      <c r="AT225" s="205" t="str">
        <f>IFERROR(VLOOKUP(Table_NFI[[#This Row],[Location]],CL,2,0),"")</f>
        <v/>
      </c>
      <c r="AU225" s="183"/>
    </row>
    <row r="226" spans="2:47" x14ac:dyDescent="0.25">
      <c r="B226" s="540">
        <v>43214</v>
      </c>
      <c r="C226" s="540" t="str">
        <f>MONTH(Table_NFI[[#This Row],[Distribution Date]]) &amp; "/" &amp; YEAR(Table_NFI[[#This Row],[Distribution Date]])</f>
        <v>4/2018</v>
      </c>
      <c r="D226" s="668" t="s">
        <v>825</v>
      </c>
      <c r="E226" s="668" t="s">
        <v>825</v>
      </c>
      <c r="F226" s="668" t="s">
        <v>378</v>
      </c>
      <c r="G226" s="197" t="s">
        <v>173</v>
      </c>
      <c r="H226" s="219" t="s">
        <v>1733</v>
      </c>
      <c r="I226" s="668"/>
      <c r="J226" s="668"/>
      <c r="K226" s="541"/>
      <c r="L226" s="668"/>
      <c r="M226" s="668">
        <v>104</v>
      </c>
      <c r="N226" s="668">
        <v>104</v>
      </c>
      <c r="O226" s="668"/>
      <c r="P226" s="668"/>
      <c r="Q226" s="668">
        <v>104</v>
      </c>
      <c r="R226" s="541"/>
      <c r="S226" s="668"/>
      <c r="T226" s="668"/>
      <c r="U226" s="541"/>
      <c r="V226" s="541"/>
      <c r="W226" s="541"/>
      <c r="X226" s="541"/>
      <c r="Y226" s="668"/>
      <c r="Z226" s="541"/>
      <c r="AA226" s="541"/>
      <c r="AB226" s="541"/>
      <c r="AC226" s="542" t="e">
        <f>IF(NFI_Expiration=1,IF(#REF!&lt;VLOOKUP(L$5,NFI,5,0),1,0)*Table_NFI[[#This Row],[NFI Core Kit]],Table_NFI[NFI Core Kit])</f>
        <v>#REF!</v>
      </c>
      <c r="AD226" s="542" t="e">
        <f>IF(NFI_Expiration=1,IF(#REF!&lt;VLOOKUP(M$5,NFI,5,0),1,0)*Table_NFI[[#This Row],[Sanitary Kit]],Table_NFI[Sanitary Kit])</f>
        <v>#REF!</v>
      </c>
      <c r="AE226" s="542" t="e">
        <f>IF(NFI_Expiration=1,IF(#REF!&lt;VLOOKUP(N$5,NFI,5,0),1,0)*Table_NFI[[#This Row],[Mosquito net]],Table_NFI[Mosquito net])</f>
        <v>#REF!</v>
      </c>
      <c r="AF226" s="542" t="e">
        <f>IF(NFI_Expiration=1,IF(#REF!&lt;VLOOKUP(O$5,NFI,5,0),1,0)*Table_NFI[[#This Row],[Tarpaulin]],Table_NFI[[#This Row],[Tarpaulin]])</f>
        <v>#REF!</v>
      </c>
      <c r="AG226" s="542" t="e">
        <f>IF(NFI_Expiration=1,IF(#REF!&lt;VLOOKUP(P$5,NFI,5,0),1,0)*Table_NFI[[#This Row],[Blanket]],Table_NFI[[#This Row],[Blanket]])</f>
        <v>#REF!</v>
      </c>
      <c r="AH226" s="542" t="e">
        <f>IF(NFI_Expiration=1,IF(#REF!&lt;VLOOKUP(Q$5,NFI,5,0),1,0)*Table_NFI[[#This Row],[Kitchen Set]],Table_NFI[Kitchen Set])</f>
        <v>#REF!</v>
      </c>
      <c r="AI226" s="542" t="e">
        <f>IF(NFI_Expiration=1,IF(#REF!&lt;VLOOKUP(R$5,NFI,5,0),1,0)*Table_NFI[[#This Row],[Clothes Kit]],Table_NFI[Clothes Kit])</f>
        <v>#REF!</v>
      </c>
      <c r="AJ226" s="542" t="e">
        <f>IF(NFI_Expiration=1,IF(#REF!&lt;VLOOKUP(S$5,NFI,5,0),1,0)*Table_NFI[[#This Row],[Plastic Bucket]],Table_NFI[Plastic Bucket])</f>
        <v>#REF!</v>
      </c>
      <c r="AK226" s="542" t="e">
        <f>IF(NFI_Expiration=1,IF(#REF!&lt;VLOOKUP(T$5,NFI,5,0),1,0)*Table_NFI[[#This Row],[Plastic Mat]],Table_NFI[Plastic Mat])*IF(Table_NFI[[#This Row],[Distribution Date]]&gt;"2014-04-01",1,2.5)</f>
        <v>#REF!</v>
      </c>
      <c r="AL226" s="542" t="e">
        <f>IF(NFI_Expiration=1,IF(#REF!&lt;VLOOKUP(U$5,NFI,5,0),1,0)*Table_NFI[[#This Row],[Winter Clothes Adult]],Table_NFI[Winter Clothes Adult])</f>
        <v>#REF!</v>
      </c>
      <c r="AM226" s="542"/>
      <c r="AN226" s="542"/>
      <c r="AO226" s="542"/>
      <c r="AP226" s="542">
        <f>IF(Table_NFI[[#This Row],[Winter Clothes Adult]]+Table_NFI[[#This Row],[Winter Clothes Children]]+Table_NFI[[#This Row],[Winter Items Other]]+Table_NFI[[#This Row],[Winter Blanket]]&gt;0,1,0)</f>
        <v>0</v>
      </c>
      <c r="AQ226" s="542"/>
      <c r="AR226" s="542"/>
      <c r="AS226" s="542"/>
      <c r="AT226" s="205" t="str">
        <f>IFERROR(VLOOKUP(Table_NFI[[#This Row],[Location]],CL,2,0),"")</f>
        <v>MMR001CMP261</v>
      </c>
      <c r="AU226" s="183"/>
    </row>
    <row r="227" spans="2:47" x14ac:dyDescent="0.25">
      <c r="B227" s="540">
        <v>43214</v>
      </c>
      <c r="C227" s="540" t="str">
        <f>MONTH(Table_NFI[[#This Row],[Distribution Date]]) &amp; "/" &amp; YEAR(Table_NFI[[#This Row],[Distribution Date]])</f>
        <v>4/2018</v>
      </c>
      <c r="D227" s="668" t="s">
        <v>825</v>
      </c>
      <c r="E227" s="668" t="s">
        <v>825</v>
      </c>
      <c r="F227" s="668" t="s">
        <v>378</v>
      </c>
      <c r="G227" s="197" t="s">
        <v>173</v>
      </c>
      <c r="H227" s="219" t="s">
        <v>1665</v>
      </c>
      <c r="I227" s="668"/>
      <c r="J227" s="668"/>
      <c r="K227" s="541"/>
      <c r="L227" s="668"/>
      <c r="M227" s="668">
        <v>86</v>
      </c>
      <c r="N227" s="668">
        <v>86</v>
      </c>
      <c r="O227" s="668"/>
      <c r="P227" s="668"/>
      <c r="Q227" s="668">
        <v>86</v>
      </c>
      <c r="R227" s="541"/>
      <c r="S227" s="668"/>
      <c r="T227" s="668"/>
      <c r="U227" s="541"/>
      <c r="V227" s="541"/>
      <c r="W227" s="541"/>
      <c r="X227" s="541"/>
      <c r="Y227" s="668"/>
      <c r="Z227" s="541"/>
      <c r="AA227" s="541"/>
      <c r="AB227" s="541"/>
      <c r="AC227" s="542" t="e">
        <f>IF(NFI_Expiration=1,IF(#REF!&lt;VLOOKUP(L$5,NFI,5,0),1,0)*Table_NFI[[#This Row],[NFI Core Kit]],Table_NFI[NFI Core Kit])</f>
        <v>#REF!</v>
      </c>
      <c r="AD227" s="542" t="e">
        <f>IF(NFI_Expiration=1,IF(#REF!&lt;VLOOKUP(M$5,NFI,5,0),1,0)*Table_NFI[[#This Row],[Sanitary Kit]],Table_NFI[Sanitary Kit])</f>
        <v>#REF!</v>
      </c>
      <c r="AE227" s="542" t="e">
        <f>IF(NFI_Expiration=1,IF(#REF!&lt;VLOOKUP(N$5,NFI,5,0),1,0)*Table_NFI[[#This Row],[Mosquito net]],Table_NFI[Mosquito net])</f>
        <v>#REF!</v>
      </c>
      <c r="AF227" s="542" t="e">
        <f>IF(NFI_Expiration=1,IF(#REF!&lt;VLOOKUP(O$5,NFI,5,0),1,0)*Table_NFI[[#This Row],[Tarpaulin]],Table_NFI[[#This Row],[Tarpaulin]])</f>
        <v>#REF!</v>
      </c>
      <c r="AG227" s="542" t="e">
        <f>IF(NFI_Expiration=1,IF(#REF!&lt;VLOOKUP(P$5,NFI,5,0),1,0)*Table_NFI[[#This Row],[Blanket]],Table_NFI[[#This Row],[Blanket]])</f>
        <v>#REF!</v>
      </c>
      <c r="AH227" s="542" t="e">
        <f>IF(NFI_Expiration=1,IF(#REF!&lt;VLOOKUP(Q$5,NFI,5,0),1,0)*Table_NFI[[#This Row],[Kitchen Set]],Table_NFI[Kitchen Set])</f>
        <v>#REF!</v>
      </c>
      <c r="AI227" s="542" t="e">
        <f>IF(NFI_Expiration=1,IF(#REF!&lt;VLOOKUP(R$5,NFI,5,0),1,0)*Table_NFI[[#This Row],[Clothes Kit]],Table_NFI[Clothes Kit])</f>
        <v>#REF!</v>
      </c>
      <c r="AJ227" s="542" t="e">
        <f>IF(NFI_Expiration=1,IF(#REF!&lt;VLOOKUP(S$5,NFI,5,0),1,0)*Table_NFI[[#This Row],[Plastic Bucket]],Table_NFI[Plastic Bucket])</f>
        <v>#REF!</v>
      </c>
      <c r="AK227" s="542" t="e">
        <f>IF(NFI_Expiration=1,IF(#REF!&lt;VLOOKUP(T$5,NFI,5,0),1,0)*Table_NFI[[#This Row],[Plastic Mat]],Table_NFI[Plastic Mat])*IF(Table_NFI[[#This Row],[Distribution Date]]&gt;"2014-04-01",1,2.5)</f>
        <v>#REF!</v>
      </c>
      <c r="AL227" s="542" t="e">
        <f>IF(NFI_Expiration=1,IF(#REF!&lt;VLOOKUP(U$5,NFI,5,0),1,0)*Table_NFI[[#This Row],[Winter Clothes Adult]],Table_NFI[Winter Clothes Adult])</f>
        <v>#REF!</v>
      </c>
      <c r="AM227" s="542"/>
      <c r="AN227" s="542"/>
      <c r="AO227" s="542"/>
      <c r="AP227" s="542">
        <f>IF(Table_NFI[[#This Row],[Winter Clothes Adult]]+Table_NFI[[#This Row],[Winter Clothes Children]]+Table_NFI[[#This Row],[Winter Items Other]]+Table_NFI[[#This Row],[Winter Blanket]]&gt;0,1,0)</f>
        <v>0</v>
      </c>
      <c r="AQ227" s="542"/>
      <c r="AR227" s="542"/>
      <c r="AS227" s="542"/>
      <c r="AT227" s="205" t="str">
        <f>IFERROR(VLOOKUP(Table_NFI[[#This Row],[Location]],CL,2,0),"")</f>
        <v>MMR001CMP260</v>
      </c>
      <c r="AU227" s="183"/>
    </row>
    <row r="228" spans="2:47" x14ac:dyDescent="0.25">
      <c r="B228" s="540">
        <v>43214</v>
      </c>
      <c r="C228" s="540" t="str">
        <f>MONTH(Table_NFI[[#This Row],[Distribution Date]]) &amp; "/" &amp; YEAR(Table_NFI[[#This Row],[Distribution Date]])</f>
        <v>4/2018</v>
      </c>
      <c r="D228" s="668" t="s">
        <v>825</v>
      </c>
      <c r="E228" s="668" t="s">
        <v>825</v>
      </c>
      <c r="F228" s="668" t="s">
        <v>378</v>
      </c>
      <c r="G228" s="197" t="s">
        <v>173</v>
      </c>
      <c r="H228" s="219" t="s">
        <v>1668</v>
      </c>
      <c r="I228" s="668"/>
      <c r="J228" s="668"/>
      <c r="K228" s="541"/>
      <c r="L228" s="668"/>
      <c r="M228" s="668">
        <v>35</v>
      </c>
      <c r="N228" s="668">
        <v>35</v>
      </c>
      <c r="O228" s="668"/>
      <c r="P228" s="668"/>
      <c r="Q228" s="668">
        <v>35</v>
      </c>
      <c r="R228" s="541"/>
      <c r="S228" s="668"/>
      <c r="T228" s="668"/>
      <c r="U228" s="541"/>
      <c r="V228" s="541"/>
      <c r="W228" s="541"/>
      <c r="X228" s="541"/>
      <c r="Y228" s="668"/>
      <c r="Z228" s="541"/>
      <c r="AA228" s="541"/>
      <c r="AB228" s="541"/>
      <c r="AC228" s="542" t="e">
        <f>IF(NFI_Expiration=1,IF(#REF!&lt;VLOOKUP(L$5,NFI,5,0),1,0)*Table_NFI[[#This Row],[NFI Core Kit]],Table_NFI[NFI Core Kit])</f>
        <v>#REF!</v>
      </c>
      <c r="AD228" s="542" t="e">
        <f>IF(NFI_Expiration=1,IF(#REF!&lt;VLOOKUP(M$5,NFI,5,0),1,0)*Table_NFI[[#This Row],[Sanitary Kit]],Table_NFI[Sanitary Kit])</f>
        <v>#REF!</v>
      </c>
      <c r="AE228" s="542" t="e">
        <f>IF(NFI_Expiration=1,IF(#REF!&lt;VLOOKUP(N$5,NFI,5,0),1,0)*Table_NFI[[#This Row],[Mosquito net]],Table_NFI[Mosquito net])</f>
        <v>#REF!</v>
      </c>
      <c r="AF228" s="542" t="e">
        <f>IF(NFI_Expiration=1,IF(#REF!&lt;VLOOKUP(O$5,NFI,5,0),1,0)*Table_NFI[[#This Row],[Tarpaulin]],Table_NFI[[#This Row],[Tarpaulin]])</f>
        <v>#REF!</v>
      </c>
      <c r="AG228" s="542" t="e">
        <f>IF(NFI_Expiration=1,IF(#REF!&lt;VLOOKUP(P$5,NFI,5,0),1,0)*Table_NFI[[#This Row],[Blanket]],Table_NFI[[#This Row],[Blanket]])</f>
        <v>#REF!</v>
      </c>
      <c r="AH228" s="542" t="e">
        <f>IF(NFI_Expiration=1,IF(#REF!&lt;VLOOKUP(Q$5,NFI,5,0),1,0)*Table_NFI[[#This Row],[Kitchen Set]],Table_NFI[Kitchen Set])</f>
        <v>#REF!</v>
      </c>
      <c r="AI228" s="542" t="e">
        <f>IF(NFI_Expiration=1,IF(#REF!&lt;VLOOKUP(R$5,NFI,5,0),1,0)*Table_NFI[[#This Row],[Clothes Kit]],Table_NFI[Clothes Kit])</f>
        <v>#REF!</v>
      </c>
      <c r="AJ228" s="542" t="e">
        <f>IF(NFI_Expiration=1,IF(#REF!&lt;VLOOKUP(S$5,NFI,5,0),1,0)*Table_NFI[[#This Row],[Plastic Bucket]],Table_NFI[Plastic Bucket])</f>
        <v>#REF!</v>
      </c>
      <c r="AK228" s="542" t="e">
        <f>IF(NFI_Expiration=1,IF(#REF!&lt;VLOOKUP(T$5,NFI,5,0),1,0)*Table_NFI[[#This Row],[Plastic Mat]],Table_NFI[Plastic Mat])*IF(Table_NFI[[#This Row],[Distribution Date]]&gt;"2014-04-01",1,2.5)</f>
        <v>#REF!</v>
      </c>
      <c r="AL228" s="542" t="e">
        <f>IF(NFI_Expiration=1,IF(#REF!&lt;VLOOKUP(U$5,NFI,5,0),1,0)*Table_NFI[[#This Row],[Winter Clothes Adult]],Table_NFI[Winter Clothes Adult])</f>
        <v>#REF!</v>
      </c>
      <c r="AM228" s="542"/>
      <c r="AN228" s="542"/>
      <c r="AO228" s="542"/>
      <c r="AP228" s="542">
        <f>IF(Table_NFI[[#This Row],[Winter Clothes Adult]]+Table_NFI[[#This Row],[Winter Clothes Children]]+Table_NFI[[#This Row],[Winter Items Other]]+Table_NFI[[#This Row],[Winter Blanket]]&gt;0,1,0)</f>
        <v>0</v>
      </c>
      <c r="AQ228" s="542"/>
      <c r="AR228" s="542"/>
      <c r="AS228" s="542"/>
      <c r="AT228" s="205" t="str">
        <f>IFERROR(VLOOKUP(Table_NFI[[#This Row],[Location]],CL,2,0),"")</f>
        <v>MMR001CMP262</v>
      </c>
      <c r="AU228" s="183"/>
    </row>
    <row r="229" spans="2:47" x14ac:dyDescent="0.25">
      <c r="B229" s="540">
        <v>43214</v>
      </c>
      <c r="C229" s="540" t="str">
        <f>MONTH(Table_NFI[[#This Row],[Distribution Date]]) &amp; "/" &amp; YEAR(Table_NFI[[#This Row],[Distribution Date]])</f>
        <v>4/2018</v>
      </c>
      <c r="D229" s="668" t="s">
        <v>825</v>
      </c>
      <c r="E229" s="668" t="s">
        <v>825</v>
      </c>
      <c r="F229" s="668" t="s">
        <v>378</v>
      </c>
      <c r="G229" s="197" t="s">
        <v>173</v>
      </c>
      <c r="H229" s="219" t="s">
        <v>1664</v>
      </c>
      <c r="I229" s="668"/>
      <c r="J229" s="668"/>
      <c r="K229" s="541"/>
      <c r="L229" s="668"/>
      <c r="M229" s="668">
        <v>46</v>
      </c>
      <c r="N229" s="668">
        <v>46</v>
      </c>
      <c r="O229" s="668"/>
      <c r="P229" s="668"/>
      <c r="Q229" s="668">
        <v>46</v>
      </c>
      <c r="R229" s="541"/>
      <c r="S229" s="668"/>
      <c r="T229" s="668"/>
      <c r="U229" s="541"/>
      <c r="V229" s="541"/>
      <c r="W229" s="541"/>
      <c r="X229" s="541"/>
      <c r="Y229" s="668"/>
      <c r="Z229" s="541"/>
      <c r="AA229" s="541"/>
      <c r="AB229" s="541"/>
      <c r="AC229" s="542" t="e">
        <f>IF(NFI_Expiration=1,IF(#REF!&lt;VLOOKUP(L$5,NFI,5,0),1,0)*Table_NFI[[#This Row],[NFI Core Kit]],Table_NFI[NFI Core Kit])</f>
        <v>#REF!</v>
      </c>
      <c r="AD229" s="542" t="e">
        <f>IF(NFI_Expiration=1,IF(#REF!&lt;VLOOKUP(M$5,NFI,5,0),1,0)*Table_NFI[[#This Row],[Sanitary Kit]],Table_NFI[Sanitary Kit])</f>
        <v>#REF!</v>
      </c>
      <c r="AE229" s="542" t="e">
        <f>IF(NFI_Expiration=1,IF(#REF!&lt;VLOOKUP(N$5,NFI,5,0),1,0)*Table_NFI[[#This Row],[Mosquito net]],Table_NFI[Mosquito net])</f>
        <v>#REF!</v>
      </c>
      <c r="AF229" s="542" t="e">
        <f>IF(NFI_Expiration=1,IF(#REF!&lt;VLOOKUP(O$5,NFI,5,0),1,0)*Table_NFI[[#This Row],[Tarpaulin]],Table_NFI[[#This Row],[Tarpaulin]])</f>
        <v>#REF!</v>
      </c>
      <c r="AG229" s="542" t="e">
        <f>IF(NFI_Expiration=1,IF(#REF!&lt;VLOOKUP(P$5,NFI,5,0),1,0)*Table_NFI[[#This Row],[Blanket]],Table_NFI[[#This Row],[Blanket]])</f>
        <v>#REF!</v>
      </c>
      <c r="AH229" s="542" t="e">
        <f>IF(NFI_Expiration=1,IF(#REF!&lt;VLOOKUP(Q$5,NFI,5,0),1,0)*Table_NFI[[#This Row],[Kitchen Set]],Table_NFI[Kitchen Set])</f>
        <v>#REF!</v>
      </c>
      <c r="AI229" s="542" t="e">
        <f>IF(NFI_Expiration=1,IF(#REF!&lt;VLOOKUP(R$5,NFI,5,0),1,0)*Table_NFI[[#This Row],[Clothes Kit]],Table_NFI[Clothes Kit])</f>
        <v>#REF!</v>
      </c>
      <c r="AJ229" s="542" t="e">
        <f>IF(NFI_Expiration=1,IF(#REF!&lt;VLOOKUP(S$5,NFI,5,0),1,0)*Table_NFI[[#This Row],[Plastic Bucket]],Table_NFI[Plastic Bucket])</f>
        <v>#REF!</v>
      </c>
      <c r="AK229" s="542" t="e">
        <f>IF(NFI_Expiration=1,IF(#REF!&lt;VLOOKUP(T$5,NFI,5,0),1,0)*Table_NFI[[#This Row],[Plastic Mat]],Table_NFI[Plastic Mat])*IF(Table_NFI[[#This Row],[Distribution Date]]&gt;"2014-04-01",1,2.5)</f>
        <v>#REF!</v>
      </c>
      <c r="AL229" s="542" t="e">
        <f>IF(NFI_Expiration=1,IF(#REF!&lt;VLOOKUP(U$5,NFI,5,0),1,0)*Table_NFI[[#This Row],[Winter Clothes Adult]],Table_NFI[Winter Clothes Adult])</f>
        <v>#REF!</v>
      </c>
      <c r="AM229" s="542"/>
      <c r="AN229" s="542"/>
      <c r="AO229" s="542"/>
      <c r="AP229" s="542">
        <f>IF(Table_NFI[[#This Row],[Winter Clothes Adult]]+Table_NFI[[#This Row],[Winter Clothes Children]]+Table_NFI[[#This Row],[Winter Items Other]]+Table_NFI[[#This Row],[Winter Blanket]]&gt;0,1,0)</f>
        <v>0</v>
      </c>
      <c r="AQ229" s="542"/>
      <c r="AR229" s="542"/>
      <c r="AS229" s="542"/>
      <c r="AT229" s="205" t="str">
        <f>IFERROR(VLOOKUP(Table_NFI[[#This Row],[Location]],CL,2,0),"")</f>
        <v>MMR001CMP259</v>
      </c>
      <c r="AU229" s="183"/>
    </row>
    <row r="230" spans="2:47" x14ac:dyDescent="0.25">
      <c r="B230" s="540">
        <v>43217</v>
      </c>
      <c r="C230" s="540" t="str">
        <f>MONTH(Table_NFI[[#This Row],[Distribution Date]]) &amp; "/" &amp; YEAR(Table_NFI[[#This Row],[Distribution Date]])</f>
        <v>4/2018</v>
      </c>
      <c r="D230" s="668" t="s">
        <v>825</v>
      </c>
      <c r="E230" s="668" t="s">
        <v>825</v>
      </c>
      <c r="F230" s="668" t="s">
        <v>378</v>
      </c>
      <c r="G230" s="197" t="s">
        <v>237</v>
      </c>
      <c r="H230" s="219" t="s">
        <v>1674</v>
      </c>
      <c r="I230" s="668"/>
      <c r="J230" s="668"/>
      <c r="K230" s="541"/>
      <c r="L230" s="668"/>
      <c r="M230" s="668">
        <v>179</v>
      </c>
      <c r="N230" s="668"/>
      <c r="O230" s="668"/>
      <c r="P230" s="668"/>
      <c r="Q230" s="668">
        <v>179</v>
      </c>
      <c r="R230" s="541"/>
      <c r="S230" s="668"/>
      <c r="T230" s="668"/>
      <c r="U230" s="541"/>
      <c r="V230" s="541"/>
      <c r="W230" s="541"/>
      <c r="X230" s="541"/>
      <c r="Y230" s="668">
        <v>179</v>
      </c>
      <c r="Z230" s="541"/>
      <c r="AA230" s="541"/>
      <c r="AB230" s="541"/>
      <c r="AC230" s="542" t="e">
        <f>IF(NFI_Expiration=1,IF(#REF!&lt;VLOOKUP(L$5,NFI,5,0),1,0)*Table_NFI[[#This Row],[NFI Core Kit]],Table_NFI[NFI Core Kit])</f>
        <v>#REF!</v>
      </c>
      <c r="AD230" s="542" t="e">
        <f>IF(NFI_Expiration=1,IF(#REF!&lt;VLOOKUP(M$5,NFI,5,0),1,0)*Table_NFI[[#This Row],[Sanitary Kit]],Table_NFI[Sanitary Kit])</f>
        <v>#REF!</v>
      </c>
      <c r="AE230" s="542" t="e">
        <f>IF(NFI_Expiration=1,IF(#REF!&lt;VLOOKUP(N$5,NFI,5,0),1,0)*Table_NFI[[#This Row],[Mosquito net]],Table_NFI[Mosquito net])</f>
        <v>#REF!</v>
      </c>
      <c r="AF230" s="542" t="e">
        <f>IF(NFI_Expiration=1,IF(#REF!&lt;VLOOKUP(O$5,NFI,5,0),1,0)*Table_NFI[[#This Row],[Tarpaulin]],Table_NFI[[#This Row],[Tarpaulin]])</f>
        <v>#REF!</v>
      </c>
      <c r="AG230" s="542" t="e">
        <f>IF(NFI_Expiration=1,IF(#REF!&lt;VLOOKUP(P$5,NFI,5,0),1,0)*Table_NFI[[#This Row],[Blanket]],Table_NFI[[#This Row],[Blanket]])</f>
        <v>#REF!</v>
      </c>
      <c r="AH230" s="542" t="e">
        <f>IF(NFI_Expiration=1,IF(#REF!&lt;VLOOKUP(Q$5,NFI,5,0),1,0)*Table_NFI[[#This Row],[Kitchen Set]],Table_NFI[Kitchen Set])</f>
        <v>#REF!</v>
      </c>
      <c r="AI230" s="542" t="e">
        <f>IF(NFI_Expiration=1,IF(#REF!&lt;VLOOKUP(R$5,NFI,5,0),1,0)*Table_NFI[[#This Row],[Clothes Kit]],Table_NFI[Clothes Kit])</f>
        <v>#REF!</v>
      </c>
      <c r="AJ230" s="542" t="e">
        <f>IF(NFI_Expiration=1,IF(#REF!&lt;VLOOKUP(S$5,NFI,5,0),1,0)*Table_NFI[[#This Row],[Plastic Bucket]],Table_NFI[Plastic Bucket])</f>
        <v>#REF!</v>
      </c>
      <c r="AK230" s="542" t="e">
        <f>IF(NFI_Expiration=1,IF(#REF!&lt;VLOOKUP(T$5,NFI,5,0),1,0)*Table_NFI[[#This Row],[Plastic Mat]],Table_NFI[Plastic Mat])*IF(Table_NFI[[#This Row],[Distribution Date]]&gt;"2014-04-01",1,2.5)</f>
        <v>#REF!</v>
      </c>
      <c r="AL230" s="542" t="e">
        <f>IF(NFI_Expiration=1,IF(#REF!&lt;VLOOKUP(U$5,NFI,5,0),1,0)*Table_NFI[[#This Row],[Winter Clothes Adult]],Table_NFI[Winter Clothes Adult])</f>
        <v>#REF!</v>
      </c>
      <c r="AM230" s="542"/>
      <c r="AN230" s="542"/>
      <c r="AO230" s="542"/>
      <c r="AP230" s="542">
        <f>IF(Table_NFI[[#This Row],[Winter Clothes Adult]]+Table_NFI[[#This Row],[Winter Clothes Children]]+Table_NFI[[#This Row],[Winter Items Other]]+Table_NFI[[#This Row],[Winter Blanket]]&gt;0,1,0)</f>
        <v>0</v>
      </c>
      <c r="AQ230" s="542"/>
      <c r="AR230" s="542"/>
      <c r="AS230" s="542"/>
      <c r="AT230" s="205" t="str">
        <f>IFERROR(VLOOKUP(Table_NFI[[#This Row],[Location]],CL,2,0),"")</f>
        <v>MMR001CMP264</v>
      </c>
      <c r="AU230" s="183"/>
    </row>
    <row r="231" spans="2:47" x14ac:dyDescent="0.25">
      <c r="B231" s="540">
        <v>43217</v>
      </c>
      <c r="C231" s="540" t="str">
        <f>MONTH(Table_NFI[[#This Row],[Distribution Date]]) &amp; "/" &amp; YEAR(Table_NFI[[#This Row],[Distribution Date]])</f>
        <v>4/2018</v>
      </c>
      <c r="D231" s="668" t="s">
        <v>825</v>
      </c>
      <c r="E231" s="668" t="s">
        <v>825</v>
      </c>
      <c r="F231" s="668" t="s">
        <v>378</v>
      </c>
      <c r="G231" s="197" t="s">
        <v>237</v>
      </c>
      <c r="H231" s="219" t="s">
        <v>1701</v>
      </c>
      <c r="I231" s="668"/>
      <c r="J231" s="668"/>
      <c r="K231" s="541"/>
      <c r="L231" s="668"/>
      <c r="M231" s="668">
        <v>27</v>
      </c>
      <c r="N231" s="668"/>
      <c r="O231" s="668"/>
      <c r="P231" s="668"/>
      <c r="Q231" s="668">
        <v>27</v>
      </c>
      <c r="R231" s="541"/>
      <c r="S231" s="668"/>
      <c r="T231" s="668"/>
      <c r="U231" s="541"/>
      <c r="V231" s="541"/>
      <c r="W231" s="541"/>
      <c r="X231" s="541"/>
      <c r="Y231" s="668">
        <v>27</v>
      </c>
      <c r="Z231" s="541"/>
      <c r="AA231" s="541"/>
      <c r="AB231" s="541"/>
      <c r="AC231" s="542" t="e">
        <f>IF(NFI_Expiration=1,IF(#REF!&lt;VLOOKUP(L$5,NFI,5,0),1,0)*Table_NFI[[#This Row],[NFI Core Kit]],Table_NFI[NFI Core Kit])</f>
        <v>#REF!</v>
      </c>
      <c r="AD231" s="542" t="e">
        <f>IF(NFI_Expiration=1,IF(#REF!&lt;VLOOKUP(M$5,NFI,5,0),1,0)*Table_NFI[[#This Row],[Sanitary Kit]],Table_NFI[Sanitary Kit])</f>
        <v>#REF!</v>
      </c>
      <c r="AE231" s="542" t="e">
        <f>IF(NFI_Expiration=1,IF(#REF!&lt;VLOOKUP(N$5,NFI,5,0),1,0)*Table_NFI[[#This Row],[Mosquito net]],Table_NFI[Mosquito net])</f>
        <v>#REF!</v>
      </c>
      <c r="AF231" s="542" t="e">
        <f>IF(NFI_Expiration=1,IF(#REF!&lt;VLOOKUP(O$5,NFI,5,0),1,0)*Table_NFI[[#This Row],[Tarpaulin]],Table_NFI[[#This Row],[Tarpaulin]])</f>
        <v>#REF!</v>
      </c>
      <c r="AG231" s="542" t="e">
        <f>IF(NFI_Expiration=1,IF(#REF!&lt;VLOOKUP(P$5,NFI,5,0),1,0)*Table_NFI[[#This Row],[Blanket]],Table_NFI[[#This Row],[Blanket]])</f>
        <v>#REF!</v>
      </c>
      <c r="AH231" s="542" t="e">
        <f>IF(NFI_Expiration=1,IF(#REF!&lt;VLOOKUP(Q$5,NFI,5,0),1,0)*Table_NFI[[#This Row],[Kitchen Set]],Table_NFI[Kitchen Set])</f>
        <v>#REF!</v>
      </c>
      <c r="AI231" s="542" t="e">
        <f>IF(NFI_Expiration=1,IF(#REF!&lt;VLOOKUP(R$5,NFI,5,0),1,0)*Table_NFI[[#This Row],[Clothes Kit]],Table_NFI[Clothes Kit])</f>
        <v>#REF!</v>
      </c>
      <c r="AJ231" s="542" t="e">
        <f>IF(NFI_Expiration=1,IF(#REF!&lt;VLOOKUP(S$5,NFI,5,0),1,0)*Table_NFI[[#This Row],[Plastic Bucket]],Table_NFI[Plastic Bucket])</f>
        <v>#REF!</v>
      </c>
      <c r="AK231" s="542" t="e">
        <f>IF(NFI_Expiration=1,IF(#REF!&lt;VLOOKUP(T$5,NFI,5,0),1,0)*Table_NFI[[#This Row],[Plastic Mat]],Table_NFI[Plastic Mat])*IF(Table_NFI[[#This Row],[Distribution Date]]&gt;"2014-04-01",1,2.5)</f>
        <v>#REF!</v>
      </c>
      <c r="AL231" s="542" t="e">
        <f>IF(NFI_Expiration=1,IF(#REF!&lt;VLOOKUP(U$5,NFI,5,0),1,0)*Table_NFI[[#This Row],[Winter Clothes Adult]],Table_NFI[Winter Clothes Adult])</f>
        <v>#REF!</v>
      </c>
      <c r="AM231" s="542"/>
      <c r="AN231" s="542"/>
      <c r="AO231" s="542"/>
      <c r="AP231" s="542">
        <f>IF(Table_NFI[[#This Row],[Winter Clothes Adult]]+Table_NFI[[#This Row],[Winter Clothes Children]]+Table_NFI[[#This Row],[Winter Items Other]]+Table_NFI[[#This Row],[Winter Blanket]]&gt;0,1,0)</f>
        <v>0</v>
      </c>
      <c r="AQ231" s="542"/>
      <c r="AR231" s="542"/>
      <c r="AS231" s="542"/>
      <c r="AT231" s="205" t="str">
        <f>IFERROR(VLOOKUP(Table_NFI[[#This Row],[Location]],CL,2,0),"")</f>
        <v>MMR001CMP267</v>
      </c>
      <c r="AU231" s="183"/>
    </row>
    <row r="232" spans="2:47" x14ac:dyDescent="0.25">
      <c r="B232" s="540">
        <v>43217</v>
      </c>
      <c r="C232" s="540" t="str">
        <f>MONTH(Table_NFI[[#This Row],[Distribution Date]]) &amp; "/" &amp; YEAR(Table_NFI[[#This Row],[Distribution Date]])</f>
        <v>4/2018</v>
      </c>
      <c r="D232" s="198" t="s">
        <v>778</v>
      </c>
      <c r="E232" s="198" t="s">
        <v>778</v>
      </c>
      <c r="F232" s="668" t="s">
        <v>378</v>
      </c>
      <c r="G232" s="197" t="s">
        <v>237</v>
      </c>
      <c r="H232" s="219" t="s">
        <v>1734</v>
      </c>
      <c r="I232" s="183"/>
      <c r="J232" s="541"/>
      <c r="K232" s="541"/>
      <c r="L232" s="541"/>
      <c r="M232" s="541"/>
      <c r="N232" s="541">
        <v>164</v>
      </c>
      <c r="O232" s="541"/>
      <c r="P232" s="541">
        <v>164</v>
      </c>
      <c r="Q232" s="541"/>
      <c r="R232" s="541"/>
      <c r="S232" s="541"/>
      <c r="T232" s="541">
        <v>164</v>
      </c>
      <c r="U232" s="541"/>
      <c r="V232" s="541"/>
      <c r="W232" s="541"/>
      <c r="X232" s="541"/>
      <c r="Y232" s="541"/>
      <c r="Z232" s="541"/>
      <c r="AA232" s="541"/>
      <c r="AB232" s="541"/>
      <c r="AC232" s="542" t="e">
        <f>IF(NFI_Expiration=1,IF(#REF!&lt;VLOOKUP(L$5,NFI,5,0),1,0)*Table_NFI[[#This Row],[NFI Core Kit]],Table_NFI[NFI Core Kit])</f>
        <v>#REF!</v>
      </c>
      <c r="AD232" s="542" t="e">
        <f>IF(NFI_Expiration=1,IF(#REF!&lt;VLOOKUP(M$5,NFI,5,0),1,0)*Table_NFI[[#This Row],[Sanitary Kit]],Table_NFI[Sanitary Kit])</f>
        <v>#REF!</v>
      </c>
      <c r="AE232" s="542" t="e">
        <f>IF(NFI_Expiration=1,IF(#REF!&lt;VLOOKUP(N$5,NFI,5,0),1,0)*Table_NFI[[#This Row],[Mosquito net]],Table_NFI[Mosquito net])</f>
        <v>#REF!</v>
      </c>
      <c r="AF232" s="542" t="e">
        <f>IF(NFI_Expiration=1,IF(#REF!&lt;VLOOKUP(O$5,NFI,5,0),1,0)*Table_NFI[[#This Row],[Tarpaulin]],Table_NFI[[#This Row],[Tarpaulin]])</f>
        <v>#REF!</v>
      </c>
      <c r="AG232" s="542" t="e">
        <f>IF(NFI_Expiration=1,IF(#REF!&lt;VLOOKUP(P$5,NFI,5,0),1,0)*Table_NFI[[#This Row],[Blanket]],Table_NFI[[#This Row],[Blanket]])</f>
        <v>#REF!</v>
      </c>
      <c r="AH232" s="542" t="e">
        <f>IF(NFI_Expiration=1,IF(#REF!&lt;VLOOKUP(Q$5,NFI,5,0),1,0)*Table_NFI[[#This Row],[Kitchen Set]],Table_NFI[Kitchen Set])</f>
        <v>#REF!</v>
      </c>
      <c r="AI232" s="542" t="e">
        <f>IF(NFI_Expiration=1,IF(#REF!&lt;VLOOKUP(R$5,NFI,5,0),1,0)*Table_NFI[[#This Row],[Clothes Kit]],Table_NFI[Clothes Kit])</f>
        <v>#REF!</v>
      </c>
      <c r="AJ232" s="542" t="e">
        <f>IF(NFI_Expiration=1,IF(#REF!&lt;VLOOKUP(S$5,NFI,5,0),1,0)*Table_NFI[[#This Row],[Plastic Bucket]],Table_NFI[Plastic Bucket])</f>
        <v>#REF!</v>
      </c>
      <c r="AK232" s="542" t="e">
        <f>IF(NFI_Expiration=1,IF(#REF!&lt;VLOOKUP(T$5,NFI,5,0),1,0)*Table_NFI[[#This Row],[Plastic Mat]],Table_NFI[Plastic Mat])*IF(Table_NFI[[#This Row],[Distribution Date]]&gt;"2014-04-01",1,2.5)</f>
        <v>#REF!</v>
      </c>
      <c r="AL232" s="542" t="e">
        <f>IF(NFI_Expiration=1,IF(#REF!&lt;VLOOKUP(U$5,NFI,5,0),1,0)*Table_NFI[[#This Row],[Winter Clothes Adult]],Table_NFI[Winter Clothes Adult])</f>
        <v>#REF!</v>
      </c>
      <c r="AM232" s="542"/>
      <c r="AN232" s="542"/>
      <c r="AO232" s="542"/>
      <c r="AP232" s="542">
        <f>IF(Table_NFI[[#This Row],[Winter Clothes Adult]]+Table_NFI[[#This Row],[Winter Clothes Children]]+Table_NFI[[#This Row],[Winter Items Other]]+Table_NFI[[#This Row],[Winter Blanket]]&gt;0,1,0)</f>
        <v>0</v>
      </c>
      <c r="AQ232" s="542"/>
      <c r="AR232" s="542"/>
      <c r="AS232" s="542"/>
      <c r="AT232" s="205" t="str">
        <f>IFERROR(VLOOKUP(Table_NFI[[#This Row],[Location]],CL,2,0),"")</f>
        <v>MMR001CMP263</v>
      </c>
      <c r="AU232" s="183"/>
    </row>
    <row r="233" spans="2:47" x14ac:dyDescent="0.25">
      <c r="B233" s="540">
        <v>43220</v>
      </c>
      <c r="C233" s="540" t="str">
        <f>MONTH(Table_NFI[[#This Row],[Distribution Date]]) &amp; "/" &amp; YEAR(Table_NFI[[#This Row],[Distribution Date]])</f>
        <v>4/2018</v>
      </c>
      <c r="D233" s="668" t="s">
        <v>1261</v>
      </c>
      <c r="E233" s="668"/>
      <c r="F233" s="198" t="s">
        <v>506</v>
      </c>
      <c r="G233" s="197" t="s">
        <v>146</v>
      </c>
      <c r="H233" s="219" t="s">
        <v>1618</v>
      </c>
      <c r="I233" s="668"/>
      <c r="J233" s="668"/>
      <c r="K233" s="541"/>
      <c r="L233" s="668"/>
      <c r="M233" s="668"/>
      <c r="N233" s="668"/>
      <c r="O233" s="668">
        <v>15</v>
      </c>
      <c r="P233" s="668"/>
      <c r="Q233" s="668"/>
      <c r="R233" s="541"/>
      <c r="S233" s="668"/>
      <c r="T233" s="668">
        <v>49</v>
      </c>
      <c r="U233" s="541"/>
      <c r="V233" s="541"/>
      <c r="W233" s="541"/>
      <c r="X233" s="541"/>
      <c r="Y233" s="668"/>
      <c r="Z233" s="541"/>
      <c r="AA233" s="541">
        <v>32</v>
      </c>
      <c r="AB233" s="541"/>
      <c r="AC233" s="542" t="e">
        <f>IF(NFI_Expiration=1,IF(#REF!&lt;VLOOKUP(L$5,NFI,5,0),1,0)*Table_NFI[[#This Row],[NFI Core Kit]],Table_NFI[NFI Core Kit])</f>
        <v>#REF!</v>
      </c>
      <c r="AD233" s="542" t="e">
        <f>IF(NFI_Expiration=1,IF(#REF!&lt;VLOOKUP(M$5,NFI,5,0),1,0)*Table_NFI[[#This Row],[Sanitary Kit]],Table_NFI[Sanitary Kit])</f>
        <v>#REF!</v>
      </c>
      <c r="AE233" s="542" t="e">
        <f>IF(NFI_Expiration=1,IF(#REF!&lt;VLOOKUP(N$5,NFI,5,0),1,0)*Table_NFI[[#This Row],[Mosquito net]],Table_NFI[Mosquito net])</f>
        <v>#REF!</v>
      </c>
      <c r="AF233" s="542" t="e">
        <f>IF(NFI_Expiration=1,IF(#REF!&lt;VLOOKUP(O$5,NFI,5,0),1,0)*Table_NFI[[#This Row],[Tarpaulin]],Table_NFI[[#This Row],[Tarpaulin]])</f>
        <v>#REF!</v>
      </c>
      <c r="AG233" s="542" t="e">
        <f>IF(NFI_Expiration=1,IF(#REF!&lt;VLOOKUP(P$5,NFI,5,0),1,0)*Table_NFI[[#This Row],[Blanket]],Table_NFI[[#This Row],[Blanket]])</f>
        <v>#REF!</v>
      </c>
      <c r="AH233" s="542" t="e">
        <f>IF(NFI_Expiration=1,IF(#REF!&lt;VLOOKUP(Q$5,NFI,5,0),1,0)*Table_NFI[[#This Row],[Kitchen Set]],Table_NFI[Kitchen Set])</f>
        <v>#REF!</v>
      </c>
      <c r="AI233" s="542" t="e">
        <f>IF(NFI_Expiration=1,IF(#REF!&lt;VLOOKUP(R$5,NFI,5,0),1,0)*Table_NFI[[#This Row],[Clothes Kit]],Table_NFI[Clothes Kit])</f>
        <v>#REF!</v>
      </c>
      <c r="AJ233" s="542" t="e">
        <f>IF(NFI_Expiration=1,IF(#REF!&lt;VLOOKUP(S$5,NFI,5,0),1,0)*Table_NFI[[#This Row],[Plastic Bucket]],Table_NFI[Plastic Bucket])</f>
        <v>#REF!</v>
      </c>
      <c r="AK233" s="542" t="e">
        <f>IF(NFI_Expiration=1,IF(#REF!&lt;VLOOKUP(T$5,NFI,5,0),1,0)*Table_NFI[[#This Row],[Plastic Mat]],Table_NFI[Plastic Mat])*IF(Table_NFI[[#This Row],[Distribution Date]]&gt;"2014-04-01",1,2.5)</f>
        <v>#REF!</v>
      </c>
      <c r="AL233" s="542" t="e">
        <f>IF(NFI_Expiration=1,IF(#REF!&lt;VLOOKUP(U$5,NFI,5,0),1,0)*Table_NFI[[#This Row],[Winter Clothes Adult]],Table_NFI[Winter Clothes Adult])</f>
        <v>#REF!</v>
      </c>
      <c r="AM233" s="542"/>
      <c r="AN233" s="542"/>
      <c r="AO233" s="542"/>
      <c r="AP233" s="542">
        <f>IF(Table_NFI[[#This Row],[Winter Clothes Adult]]+Table_NFI[[#This Row],[Winter Clothes Children]]+Table_NFI[[#This Row],[Winter Items Other]]+Table_NFI[[#This Row],[Winter Blanket]]&gt;0,1,0)</f>
        <v>0</v>
      </c>
      <c r="AQ233" s="542"/>
      <c r="AR233" s="542"/>
      <c r="AS233" s="542"/>
      <c r="AT233" s="205" t="str">
        <f>IFERROR(VLOOKUP(Table_NFI[[#This Row],[Location]],CL,2,0),"")</f>
        <v>MMR015CMP220</v>
      </c>
      <c r="AU233" s="183"/>
    </row>
    <row r="234" spans="2:47" x14ac:dyDescent="0.25">
      <c r="B234" s="540">
        <v>43221</v>
      </c>
      <c r="C234" s="540" t="str">
        <f>MONTH(Table_NFI[[#This Row],[Distribution Date]]) &amp; "/" &amp; YEAR(Table_NFI[[#This Row],[Distribution Date]])</f>
        <v>5/2018</v>
      </c>
      <c r="D234" s="668" t="s">
        <v>1261</v>
      </c>
      <c r="E234" s="668"/>
      <c r="F234" s="198" t="s">
        <v>506</v>
      </c>
      <c r="G234" s="197" t="s">
        <v>288</v>
      </c>
      <c r="H234" s="219" t="s">
        <v>1130</v>
      </c>
      <c r="I234" s="668"/>
      <c r="J234" s="668"/>
      <c r="K234" s="541"/>
      <c r="L234" s="668"/>
      <c r="M234" s="668"/>
      <c r="N234" s="668"/>
      <c r="O234" s="668">
        <v>32</v>
      </c>
      <c r="P234" s="668"/>
      <c r="Q234" s="668"/>
      <c r="R234" s="541"/>
      <c r="S234" s="668"/>
      <c r="T234" s="668">
        <v>109</v>
      </c>
      <c r="U234" s="541"/>
      <c r="V234" s="541"/>
      <c r="W234" s="541"/>
      <c r="X234" s="541"/>
      <c r="Y234" s="668"/>
      <c r="Z234" s="541"/>
      <c r="AA234" s="541"/>
      <c r="AB234" s="541"/>
      <c r="AC234" s="542" t="e">
        <f>IF(NFI_Expiration=1,IF(#REF!&lt;VLOOKUP(L$5,NFI,5,0),1,0)*Table_NFI[[#This Row],[NFI Core Kit]],Table_NFI[NFI Core Kit])</f>
        <v>#REF!</v>
      </c>
      <c r="AD234" s="542" t="e">
        <f>IF(NFI_Expiration=1,IF(#REF!&lt;VLOOKUP(M$5,NFI,5,0),1,0)*Table_NFI[[#This Row],[Sanitary Kit]],Table_NFI[Sanitary Kit])</f>
        <v>#REF!</v>
      </c>
      <c r="AE234" s="542" t="e">
        <f>IF(NFI_Expiration=1,IF(#REF!&lt;VLOOKUP(N$5,NFI,5,0),1,0)*Table_NFI[[#This Row],[Mosquito net]],Table_NFI[Mosquito net])</f>
        <v>#REF!</v>
      </c>
      <c r="AF234" s="542" t="e">
        <f>IF(NFI_Expiration=1,IF(#REF!&lt;VLOOKUP(O$5,NFI,5,0),1,0)*Table_NFI[[#This Row],[Tarpaulin]],Table_NFI[[#This Row],[Tarpaulin]])</f>
        <v>#REF!</v>
      </c>
      <c r="AG234" s="542" t="e">
        <f>IF(NFI_Expiration=1,IF(#REF!&lt;VLOOKUP(P$5,NFI,5,0),1,0)*Table_NFI[[#This Row],[Blanket]],Table_NFI[[#This Row],[Blanket]])</f>
        <v>#REF!</v>
      </c>
      <c r="AH234" s="542" t="e">
        <f>IF(NFI_Expiration=1,IF(#REF!&lt;VLOOKUP(Q$5,NFI,5,0),1,0)*Table_NFI[[#This Row],[Kitchen Set]],Table_NFI[Kitchen Set])</f>
        <v>#REF!</v>
      </c>
      <c r="AI234" s="542" t="e">
        <f>IF(NFI_Expiration=1,IF(#REF!&lt;VLOOKUP(R$5,NFI,5,0),1,0)*Table_NFI[[#This Row],[Clothes Kit]],Table_NFI[Clothes Kit])</f>
        <v>#REF!</v>
      </c>
      <c r="AJ234" s="542" t="e">
        <f>IF(NFI_Expiration=1,IF(#REF!&lt;VLOOKUP(S$5,NFI,5,0),1,0)*Table_NFI[[#This Row],[Plastic Bucket]],Table_NFI[Plastic Bucket])</f>
        <v>#REF!</v>
      </c>
      <c r="AK234" s="542" t="e">
        <f>IF(NFI_Expiration=1,IF(#REF!&lt;VLOOKUP(T$5,NFI,5,0),1,0)*Table_NFI[[#This Row],[Plastic Mat]],Table_NFI[Plastic Mat])*IF(Table_NFI[[#This Row],[Distribution Date]]&gt;"2014-04-01",1,2.5)</f>
        <v>#REF!</v>
      </c>
      <c r="AL234" s="542" t="e">
        <f>IF(NFI_Expiration=1,IF(#REF!&lt;VLOOKUP(U$5,NFI,5,0),1,0)*Table_NFI[[#This Row],[Winter Clothes Adult]],Table_NFI[Winter Clothes Adult])</f>
        <v>#REF!</v>
      </c>
      <c r="AM234" s="542"/>
      <c r="AN234" s="542"/>
      <c r="AO234" s="542"/>
      <c r="AP234" s="542">
        <f>IF(Table_NFI[[#This Row],[Winter Clothes Adult]]+Table_NFI[[#This Row],[Winter Clothes Children]]+Table_NFI[[#This Row],[Winter Items Other]]+Table_NFI[[#This Row],[Winter Blanket]]&gt;0,1,0)</f>
        <v>0</v>
      </c>
      <c r="AQ234" s="542"/>
      <c r="AR234" s="542"/>
      <c r="AS234" s="542"/>
      <c r="AT234" s="205" t="str">
        <f>IFERROR(VLOOKUP(Table_NFI[[#This Row],[Location]],CL,2,0),"")</f>
        <v>MMR015CMP224</v>
      </c>
      <c r="AU234" s="183"/>
    </row>
    <row r="235" spans="2:47" x14ac:dyDescent="0.25">
      <c r="B235" s="540">
        <v>43221</v>
      </c>
      <c r="C235" s="540" t="str">
        <f>MONTH(Table_NFI[[#This Row],[Distribution Date]]) &amp; "/" &amp; YEAR(Table_NFI[[#This Row],[Distribution Date]])</f>
        <v>5/2018</v>
      </c>
      <c r="D235" s="668" t="s">
        <v>1261</v>
      </c>
      <c r="E235" s="668"/>
      <c r="F235" s="198" t="s">
        <v>506</v>
      </c>
      <c r="G235" s="197" t="s">
        <v>288</v>
      </c>
      <c r="H235" s="219" t="s">
        <v>291</v>
      </c>
      <c r="I235" s="668"/>
      <c r="J235" s="668"/>
      <c r="K235" s="541"/>
      <c r="L235" s="668"/>
      <c r="M235" s="668"/>
      <c r="N235" s="668"/>
      <c r="O235" s="668">
        <v>26</v>
      </c>
      <c r="P235" s="668"/>
      <c r="Q235" s="668"/>
      <c r="R235" s="541"/>
      <c r="S235" s="668"/>
      <c r="T235" s="668">
        <v>26</v>
      </c>
      <c r="U235" s="541"/>
      <c r="V235" s="541"/>
      <c r="W235" s="541"/>
      <c r="X235" s="541"/>
      <c r="Y235" s="668"/>
      <c r="Z235" s="541"/>
      <c r="AA235" s="541"/>
      <c r="AB235" s="541"/>
      <c r="AC235" s="542" t="e">
        <f>IF(NFI_Expiration=1,IF(#REF!&lt;VLOOKUP(L$5,NFI,5,0),1,0)*Table_NFI[[#This Row],[NFI Core Kit]],Table_NFI[NFI Core Kit])</f>
        <v>#REF!</v>
      </c>
      <c r="AD235" s="542" t="e">
        <f>IF(NFI_Expiration=1,IF(#REF!&lt;VLOOKUP(M$5,NFI,5,0),1,0)*Table_NFI[[#This Row],[Sanitary Kit]],Table_NFI[Sanitary Kit])</f>
        <v>#REF!</v>
      </c>
      <c r="AE235" s="542" t="e">
        <f>IF(NFI_Expiration=1,IF(#REF!&lt;VLOOKUP(N$5,NFI,5,0),1,0)*Table_NFI[[#This Row],[Mosquito net]],Table_NFI[Mosquito net])</f>
        <v>#REF!</v>
      </c>
      <c r="AF235" s="542" t="e">
        <f>IF(NFI_Expiration=1,IF(#REF!&lt;VLOOKUP(O$5,NFI,5,0),1,0)*Table_NFI[[#This Row],[Tarpaulin]],Table_NFI[[#This Row],[Tarpaulin]])</f>
        <v>#REF!</v>
      </c>
      <c r="AG235" s="542" t="e">
        <f>IF(NFI_Expiration=1,IF(#REF!&lt;VLOOKUP(P$5,NFI,5,0),1,0)*Table_NFI[[#This Row],[Blanket]],Table_NFI[[#This Row],[Blanket]])</f>
        <v>#REF!</v>
      </c>
      <c r="AH235" s="542" t="e">
        <f>IF(NFI_Expiration=1,IF(#REF!&lt;VLOOKUP(Q$5,NFI,5,0),1,0)*Table_NFI[[#This Row],[Kitchen Set]],Table_NFI[Kitchen Set])</f>
        <v>#REF!</v>
      </c>
      <c r="AI235" s="542" t="e">
        <f>IF(NFI_Expiration=1,IF(#REF!&lt;VLOOKUP(R$5,NFI,5,0),1,0)*Table_NFI[[#This Row],[Clothes Kit]],Table_NFI[Clothes Kit])</f>
        <v>#REF!</v>
      </c>
      <c r="AJ235" s="542" t="e">
        <f>IF(NFI_Expiration=1,IF(#REF!&lt;VLOOKUP(S$5,NFI,5,0),1,0)*Table_NFI[[#This Row],[Plastic Bucket]],Table_NFI[Plastic Bucket])</f>
        <v>#REF!</v>
      </c>
      <c r="AK235" s="542" t="e">
        <f>IF(NFI_Expiration=1,IF(#REF!&lt;VLOOKUP(T$5,NFI,5,0),1,0)*Table_NFI[[#This Row],[Plastic Mat]],Table_NFI[Plastic Mat])*IF(Table_NFI[[#This Row],[Distribution Date]]&gt;"2014-04-01",1,2.5)</f>
        <v>#REF!</v>
      </c>
      <c r="AL235" s="542" t="e">
        <f>IF(NFI_Expiration=1,IF(#REF!&lt;VLOOKUP(U$5,NFI,5,0),1,0)*Table_NFI[[#This Row],[Winter Clothes Adult]],Table_NFI[Winter Clothes Adult])</f>
        <v>#REF!</v>
      </c>
      <c r="AM235" s="542"/>
      <c r="AN235" s="542"/>
      <c r="AO235" s="542"/>
      <c r="AP235" s="542">
        <f>IF(Table_NFI[[#This Row],[Winter Clothes Adult]]+Table_NFI[[#This Row],[Winter Clothes Children]]+Table_NFI[[#This Row],[Winter Items Other]]+Table_NFI[[#This Row],[Winter Blanket]]&gt;0,1,0)</f>
        <v>0</v>
      </c>
      <c r="AQ235" s="542"/>
      <c r="AR235" s="542"/>
      <c r="AS235" s="542"/>
      <c r="AT235" s="205" t="str">
        <f>IFERROR(VLOOKUP(Table_NFI[[#This Row],[Location]],CL,2,0),"")</f>
        <v>MMR015CMP004</v>
      </c>
      <c r="AU235" s="183"/>
    </row>
    <row r="236" spans="2:47" x14ac:dyDescent="0.25">
      <c r="B236" s="540">
        <v>43217</v>
      </c>
      <c r="C236" s="540" t="str">
        <f>MONTH(Table_NFI[[#This Row],[Distribution Date]]) &amp; "/" &amp; YEAR(Table_NFI[[#This Row],[Distribution Date]])</f>
        <v>4/2018</v>
      </c>
      <c r="D236" s="668" t="s">
        <v>825</v>
      </c>
      <c r="E236" s="668" t="s">
        <v>825</v>
      </c>
      <c r="F236" s="668" t="s">
        <v>378</v>
      </c>
      <c r="G236" s="197" t="s">
        <v>237</v>
      </c>
      <c r="H236" s="219" t="s">
        <v>1735</v>
      </c>
      <c r="I236" s="668"/>
      <c r="J236" s="668"/>
      <c r="K236" s="541"/>
      <c r="L236" s="668"/>
      <c r="M236" s="668">
        <v>103</v>
      </c>
      <c r="N236" s="668"/>
      <c r="O236" s="668"/>
      <c r="P236" s="668"/>
      <c r="Q236" s="668">
        <v>103</v>
      </c>
      <c r="R236" s="541"/>
      <c r="S236" s="668"/>
      <c r="T236" s="668"/>
      <c r="U236" s="541"/>
      <c r="V236" s="541"/>
      <c r="W236" s="541"/>
      <c r="X236" s="541"/>
      <c r="Y236" s="668">
        <v>103</v>
      </c>
      <c r="Z236" s="541"/>
      <c r="AA236" s="541"/>
      <c r="AB236" s="541"/>
      <c r="AC236" s="542" t="e">
        <f>IF(NFI_Expiration=1,IF(#REF!&lt;VLOOKUP(L$5,NFI,5,0),1,0)*Table_NFI[[#This Row],[NFI Core Kit]],Table_NFI[NFI Core Kit])</f>
        <v>#REF!</v>
      </c>
      <c r="AD236" s="542" t="e">
        <f>IF(NFI_Expiration=1,IF(#REF!&lt;VLOOKUP(M$5,NFI,5,0),1,0)*Table_NFI[[#This Row],[Sanitary Kit]],Table_NFI[Sanitary Kit])</f>
        <v>#REF!</v>
      </c>
      <c r="AE236" s="542" t="e">
        <f>IF(NFI_Expiration=1,IF(#REF!&lt;VLOOKUP(N$5,NFI,5,0),1,0)*Table_NFI[[#This Row],[Mosquito net]],Table_NFI[Mosquito net])</f>
        <v>#REF!</v>
      </c>
      <c r="AF236" s="542" t="e">
        <f>IF(NFI_Expiration=1,IF(#REF!&lt;VLOOKUP(O$5,NFI,5,0),1,0)*Table_NFI[[#This Row],[Tarpaulin]],Table_NFI[[#This Row],[Tarpaulin]])</f>
        <v>#REF!</v>
      </c>
      <c r="AG236" s="542" t="e">
        <f>IF(NFI_Expiration=1,IF(#REF!&lt;VLOOKUP(P$5,NFI,5,0),1,0)*Table_NFI[[#This Row],[Blanket]],Table_NFI[[#This Row],[Blanket]])</f>
        <v>#REF!</v>
      </c>
      <c r="AH236" s="542" t="e">
        <f>IF(NFI_Expiration=1,IF(#REF!&lt;VLOOKUP(Q$5,NFI,5,0),1,0)*Table_NFI[[#This Row],[Kitchen Set]],Table_NFI[Kitchen Set])</f>
        <v>#REF!</v>
      </c>
      <c r="AI236" s="542" t="e">
        <f>IF(NFI_Expiration=1,IF(#REF!&lt;VLOOKUP(R$5,NFI,5,0),1,0)*Table_NFI[[#This Row],[Clothes Kit]],Table_NFI[Clothes Kit])</f>
        <v>#REF!</v>
      </c>
      <c r="AJ236" s="542" t="e">
        <f>IF(NFI_Expiration=1,IF(#REF!&lt;VLOOKUP(S$5,NFI,5,0),1,0)*Table_NFI[[#This Row],[Plastic Bucket]],Table_NFI[Plastic Bucket])</f>
        <v>#REF!</v>
      </c>
      <c r="AK236" s="542" t="e">
        <f>IF(NFI_Expiration=1,IF(#REF!&lt;VLOOKUP(T$5,NFI,5,0),1,0)*Table_NFI[[#This Row],[Plastic Mat]],Table_NFI[Plastic Mat])*IF(Table_NFI[[#This Row],[Distribution Date]]&gt;"2014-04-01",1,2.5)</f>
        <v>#REF!</v>
      </c>
      <c r="AL236" s="542" t="e">
        <f>IF(NFI_Expiration=1,IF(#REF!&lt;VLOOKUP(U$5,NFI,5,0),1,0)*Table_NFI[[#This Row],[Winter Clothes Adult]],Table_NFI[Winter Clothes Adult])</f>
        <v>#REF!</v>
      </c>
      <c r="AM236" s="542"/>
      <c r="AN236" s="542"/>
      <c r="AO236" s="542"/>
      <c r="AP236" s="542">
        <f>IF(Table_NFI[[#This Row],[Winter Clothes Adult]]+Table_NFI[[#This Row],[Winter Clothes Children]]+Table_NFI[[#This Row],[Winter Items Other]]+Table_NFI[[#This Row],[Winter Blanket]]&gt;0,1,0)</f>
        <v>0</v>
      </c>
      <c r="AQ236" s="542"/>
      <c r="AR236" s="542"/>
      <c r="AS236" s="542"/>
      <c r="AT236" s="205" t="str">
        <f>IFERROR(VLOOKUP(Table_NFI[[#This Row],[Location]],CL,2,0),"")</f>
        <v/>
      </c>
      <c r="AU236" s="183"/>
    </row>
    <row r="237" spans="2:47" x14ac:dyDescent="0.25">
      <c r="B237" s="540">
        <v>43227</v>
      </c>
      <c r="C237" s="540" t="str">
        <f>MONTH(Table_NFI[[#This Row],[Distribution Date]]) &amp; "/" &amp; YEAR(Table_NFI[[#This Row],[Distribution Date]])</f>
        <v>5/2018</v>
      </c>
      <c r="D237" s="668" t="s">
        <v>778</v>
      </c>
      <c r="E237" s="668" t="s">
        <v>778</v>
      </c>
      <c r="F237" s="668" t="s">
        <v>378</v>
      </c>
      <c r="G237" s="197" t="s">
        <v>173</v>
      </c>
      <c r="H237" s="219" t="s">
        <v>1664</v>
      </c>
      <c r="I237" s="668"/>
      <c r="J237" s="668"/>
      <c r="K237" s="541"/>
      <c r="L237" s="668"/>
      <c r="M237" s="668"/>
      <c r="N237" s="668"/>
      <c r="O237" s="668"/>
      <c r="P237" s="668"/>
      <c r="Q237" s="668"/>
      <c r="R237" s="541"/>
      <c r="S237" s="668"/>
      <c r="T237" s="668"/>
      <c r="U237" s="541"/>
      <c r="V237" s="541"/>
      <c r="W237" s="541"/>
      <c r="X237" s="541"/>
      <c r="Y237" s="668"/>
      <c r="Z237" s="541">
        <v>57</v>
      </c>
      <c r="AA237" s="541"/>
      <c r="AB237" s="541"/>
      <c r="AC237" s="542" t="e">
        <f>IF(NFI_Expiration=1,IF(#REF!&lt;VLOOKUP(L$5,NFI,5,0),1,0)*Table_NFI[[#This Row],[NFI Core Kit]],Table_NFI[NFI Core Kit])</f>
        <v>#REF!</v>
      </c>
      <c r="AD237" s="542" t="e">
        <f>IF(NFI_Expiration=1,IF(#REF!&lt;VLOOKUP(M$5,NFI,5,0),1,0)*Table_NFI[[#This Row],[Sanitary Kit]],Table_NFI[Sanitary Kit])</f>
        <v>#REF!</v>
      </c>
      <c r="AE237" s="542" t="e">
        <f>IF(NFI_Expiration=1,IF(#REF!&lt;VLOOKUP(N$5,NFI,5,0),1,0)*Table_NFI[[#This Row],[Mosquito net]],Table_NFI[Mosquito net])</f>
        <v>#REF!</v>
      </c>
      <c r="AF237" s="542" t="e">
        <f>IF(NFI_Expiration=1,IF(#REF!&lt;VLOOKUP(O$5,NFI,5,0),1,0)*Table_NFI[[#This Row],[Tarpaulin]],Table_NFI[[#This Row],[Tarpaulin]])</f>
        <v>#REF!</v>
      </c>
      <c r="AG237" s="542" t="e">
        <f>IF(NFI_Expiration=1,IF(#REF!&lt;VLOOKUP(P$5,NFI,5,0),1,0)*Table_NFI[[#This Row],[Blanket]],Table_NFI[[#This Row],[Blanket]])</f>
        <v>#REF!</v>
      </c>
      <c r="AH237" s="542" t="e">
        <f>IF(NFI_Expiration=1,IF(#REF!&lt;VLOOKUP(Q$5,NFI,5,0),1,0)*Table_NFI[[#This Row],[Kitchen Set]],Table_NFI[Kitchen Set])</f>
        <v>#REF!</v>
      </c>
      <c r="AI237" s="542" t="e">
        <f>IF(NFI_Expiration=1,IF(#REF!&lt;VLOOKUP(R$5,NFI,5,0),1,0)*Table_NFI[[#This Row],[Clothes Kit]],Table_NFI[Clothes Kit])</f>
        <v>#REF!</v>
      </c>
      <c r="AJ237" s="542" t="e">
        <f>IF(NFI_Expiration=1,IF(#REF!&lt;VLOOKUP(S$5,NFI,5,0),1,0)*Table_NFI[[#This Row],[Plastic Bucket]],Table_NFI[Plastic Bucket])</f>
        <v>#REF!</v>
      </c>
      <c r="AK237" s="542" t="e">
        <f>IF(NFI_Expiration=1,IF(#REF!&lt;VLOOKUP(T$5,NFI,5,0),1,0)*Table_NFI[[#This Row],[Plastic Mat]],Table_NFI[Plastic Mat])*IF(Table_NFI[[#This Row],[Distribution Date]]&gt;"2014-04-01",1,2.5)</f>
        <v>#REF!</v>
      </c>
      <c r="AL237" s="542" t="e">
        <f>IF(NFI_Expiration=1,IF(#REF!&lt;VLOOKUP(U$5,NFI,5,0),1,0)*Table_NFI[[#This Row],[Winter Clothes Adult]],Table_NFI[Winter Clothes Adult])</f>
        <v>#REF!</v>
      </c>
      <c r="AM237" s="542"/>
      <c r="AN237" s="542"/>
      <c r="AO237" s="542"/>
      <c r="AP237" s="542">
        <f>IF(Table_NFI[[#This Row],[Winter Clothes Adult]]+Table_NFI[[#This Row],[Winter Clothes Children]]+Table_NFI[[#This Row],[Winter Items Other]]+Table_NFI[[#This Row],[Winter Blanket]]&gt;0,1,0)</f>
        <v>0</v>
      </c>
      <c r="AQ237" s="542"/>
      <c r="AR237" s="542"/>
      <c r="AS237" s="542"/>
      <c r="AT237" s="205" t="str">
        <f>IFERROR(VLOOKUP(Table_NFI[[#This Row],[Location]],CL,2,0),"")</f>
        <v>MMR001CMP259</v>
      </c>
      <c r="AU237" s="183"/>
    </row>
    <row r="238" spans="2:47" x14ac:dyDescent="0.25">
      <c r="B238" s="540">
        <v>43227</v>
      </c>
      <c r="C238" s="540" t="str">
        <f>MONTH(Table_NFI[[#This Row],[Distribution Date]]) &amp; "/" &amp; YEAR(Table_NFI[[#This Row],[Distribution Date]])</f>
        <v>5/2018</v>
      </c>
      <c r="D238" s="668" t="s">
        <v>778</v>
      </c>
      <c r="E238" s="668" t="s">
        <v>778</v>
      </c>
      <c r="F238" s="668" t="s">
        <v>378</v>
      </c>
      <c r="G238" s="197" t="s">
        <v>173</v>
      </c>
      <c r="H238" s="219" t="s">
        <v>1733</v>
      </c>
      <c r="I238" s="668"/>
      <c r="J238" s="668"/>
      <c r="K238" s="541"/>
      <c r="L238" s="668"/>
      <c r="M238" s="668"/>
      <c r="N238" s="668"/>
      <c r="O238" s="668"/>
      <c r="P238" s="668"/>
      <c r="Q238" s="668"/>
      <c r="R238" s="541"/>
      <c r="S238" s="668"/>
      <c r="T238" s="668"/>
      <c r="U238" s="541"/>
      <c r="V238" s="541"/>
      <c r="W238" s="541"/>
      <c r="X238" s="541"/>
      <c r="Y238" s="668"/>
      <c r="Z238" s="541">
        <v>120</v>
      </c>
      <c r="AA238" s="541"/>
      <c r="AB238" s="541"/>
      <c r="AC238" s="542" t="e">
        <f>IF(NFI_Expiration=1,IF(#REF!&lt;VLOOKUP(L$5,NFI,5,0),1,0)*Table_NFI[[#This Row],[NFI Core Kit]],Table_NFI[NFI Core Kit])</f>
        <v>#REF!</v>
      </c>
      <c r="AD238" s="542" t="e">
        <f>IF(NFI_Expiration=1,IF(#REF!&lt;VLOOKUP(M$5,NFI,5,0),1,0)*Table_NFI[[#This Row],[Sanitary Kit]],Table_NFI[Sanitary Kit])</f>
        <v>#REF!</v>
      </c>
      <c r="AE238" s="542" t="e">
        <f>IF(NFI_Expiration=1,IF(#REF!&lt;VLOOKUP(N$5,NFI,5,0),1,0)*Table_NFI[[#This Row],[Mosquito net]],Table_NFI[Mosquito net])</f>
        <v>#REF!</v>
      </c>
      <c r="AF238" s="542" t="e">
        <f>IF(NFI_Expiration=1,IF(#REF!&lt;VLOOKUP(O$5,NFI,5,0),1,0)*Table_NFI[[#This Row],[Tarpaulin]],Table_NFI[[#This Row],[Tarpaulin]])</f>
        <v>#REF!</v>
      </c>
      <c r="AG238" s="542" t="e">
        <f>IF(NFI_Expiration=1,IF(#REF!&lt;VLOOKUP(P$5,NFI,5,0),1,0)*Table_NFI[[#This Row],[Blanket]],Table_NFI[[#This Row],[Blanket]])</f>
        <v>#REF!</v>
      </c>
      <c r="AH238" s="542" t="e">
        <f>IF(NFI_Expiration=1,IF(#REF!&lt;VLOOKUP(Q$5,NFI,5,0),1,0)*Table_NFI[[#This Row],[Kitchen Set]],Table_NFI[Kitchen Set])</f>
        <v>#REF!</v>
      </c>
      <c r="AI238" s="542" t="e">
        <f>IF(NFI_Expiration=1,IF(#REF!&lt;VLOOKUP(R$5,NFI,5,0),1,0)*Table_NFI[[#This Row],[Clothes Kit]],Table_NFI[Clothes Kit])</f>
        <v>#REF!</v>
      </c>
      <c r="AJ238" s="542" t="e">
        <f>IF(NFI_Expiration=1,IF(#REF!&lt;VLOOKUP(S$5,NFI,5,0),1,0)*Table_NFI[[#This Row],[Plastic Bucket]],Table_NFI[Plastic Bucket])</f>
        <v>#REF!</v>
      </c>
      <c r="AK238" s="542" t="e">
        <f>IF(NFI_Expiration=1,IF(#REF!&lt;VLOOKUP(T$5,NFI,5,0),1,0)*Table_NFI[[#This Row],[Plastic Mat]],Table_NFI[Plastic Mat])*IF(Table_NFI[[#This Row],[Distribution Date]]&gt;"2014-04-01",1,2.5)</f>
        <v>#REF!</v>
      </c>
      <c r="AL238" s="542" t="e">
        <f>IF(NFI_Expiration=1,IF(#REF!&lt;VLOOKUP(U$5,NFI,5,0),1,0)*Table_NFI[[#This Row],[Winter Clothes Adult]],Table_NFI[Winter Clothes Adult])</f>
        <v>#REF!</v>
      </c>
      <c r="AM238" s="542"/>
      <c r="AN238" s="542"/>
      <c r="AO238" s="542"/>
      <c r="AP238" s="542">
        <f>IF(Table_NFI[[#This Row],[Winter Clothes Adult]]+Table_NFI[[#This Row],[Winter Clothes Children]]+Table_NFI[[#This Row],[Winter Items Other]]+Table_NFI[[#This Row],[Winter Blanket]]&gt;0,1,0)</f>
        <v>0</v>
      </c>
      <c r="AQ238" s="542"/>
      <c r="AR238" s="542"/>
      <c r="AS238" s="542"/>
      <c r="AT238" s="205" t="str">
        <f>IFERROR(VLOOKUP(Table_NFI[[#This Row],[Location]],CL,2,0),"")</f>
        <v>MMR001CMP261</v>
      </c>
      <c r="AU238" s="183"/>
    </row>
    <row r="239" spans="2:47" x14ac:dyDescent="0.25">
      <c r="B239" s="540">
        <v>43227</v>
      </c>
      <c r="C239" s="540" t="str">
        <f>MONTH(Table_NFI[[#This Row],[Distribution Date]]) &amp; "/" &amp; YEAR(Table_NFI[[#This Row],[Distribution Date]])</f>
        <v>5/2018</v>
      </c>
      <c r="D239" s="668" t="s">
        <v>778</v>
      </c>
      <c r="E239" s="668" t="s">
        <v>778</v>
      </c>
      <c r="F239" s="668" t="s">
        <v>378</v>
      </c>
      <c r="G239" s="197" t="s">
        <v>173</v>
      </c>
      <c r="H239" s="219" t="s">
        <v>1665</v>
      </c>
      <c r="I239" s="668"/>
      <c r="J239" s="668"/>
      <c r="K239" s="541"/>
      <c r="L239" s="668"/>
      <c r="M239" s="668"/>
      <c r="N239" s="668"/>
      <c r="O239" s="668"/>
      <c r="P239" s="668"/>
      <c r="Q239" s="668"/>
      <c r="R239" s="541"/>
      <c r="S239" s="668"/>
      <c r="T239" s="668"/>
      <c r="U239" s="541"/>
      <c r="V239" s="541"/>
      <c r="W239" s="541"/>
      <c r="X239" s="541"/>
      <c r="Y239" s="668"/>
      <c r="Z239" s="541">
        <v>89</v>
      </c>
      <c r="AA239" s="541"/>
      <c r="AB239" s="541"/>
      <c r="AC239" s="542" t="e">
        <f>IF(NFI_Expiration=1,IF(#REF!&lt;VLOOKUP(L$5,NFI,5,0),1,0)*Table_NFI[[#This Row],[NFI Core Kit]],Table_NFI[NFI Core Kit])</f>
        <v>#REF!</v>
      </c>
      <c r="AD239" s="542" t="e">
        <f>IF(NFI_Expiration=1,IF(#REF!&lt;VLOOKUP(M$5,NFI,5,0),1,0)*Table_NFI[[#This Row],[Sanitary Kit]],Table_NFI[Sanitary Kit])</f>
        <v>#REF!</v>
      </c>
      <c r="AE239" s="542" t="e">
        <f>IF(NFI_Expiration=1,IF(#REF!&lt;VLOOKUP(N$5,NFI,5,0),1,0)*Table_NFI[[#This Row],[Mosquito net]],Table_NFI[Mosquito net])</f>
        <v>#REF!</v>
      </c>
      <c r="AF239" s="542" t="e">
        <f>IF(NFI_Expiration=1,IF(#REF!&lt;VLOOKUP(O$5,NFI,5,0),1,0)*Table_NFI[[#This Row],[Tarpaulin]],Table_NFI[[#This Row],[Tarpaulin]])</f>
        <v>#REF!</v>
      </c>
      <c r="AG239" s="542" t="e">
        <f>IF(NFI_Expiration=1,IF(#REF!&lt;VLOOKUP(P$5,NFI,5,0),1,0)*Table_NFI[[#This Row],[Blanket]],Table_NFI[[#This Row],[Blanket]])</f>
        <v>#REF!</v>
      </c>
      <c r="AH239" s="542" t="e">
        <f>IF(NFI_Expiration=1,IF(#REF!&lt;VLOOKUP(Q$5,NFI,5,0),1,0)*Table_NFI[[#This Row],[Kitchen Set]],Table_NFI[Kitchen Set])</f>
        <v>#REF!</v>
      </c>
      <c r="AI239" s="542" t="e">
        <f>IF(NFI_Expiration=1,IF(#REF!&lt;VLOOKUP(R$5,NFI,5,0),1,0)*Table_NFI[[#This Row],[Clothes Kit]],Table_NFI[Clothes Kit])</f>
        <v>#REF!</v>
      </c>
      <c r="AJ239" s="542" t="e">
        <f>IF(NFI_Expiration=1,IF(#REF!&lt;VLOOKUP(S$5,NFI,5,0),1,0)*Table_NFI[[#This Row],[Plastic Bucket]],Table_NFI[Plastic Bucket])</f>
        <v>#REF!</v>
      </c>
      <c r="AK239" s="542" t="e">
        <f>IF(NFI_Expiration=1,IF(#REF!&lt;VLOOKUP(T$5,NFI,5,0),1,0)*Table_NFI[[#This Row],[Plastic Mat]],Table_NFI[Plastic Mat])*IF(Table_NFI[[#This Row],[Distribution Date]]&gt;"2014-04-01",1,2.5)</f>
        <v>#REF!</v>
      </c>
      <c r="AL239" s="542" t="e">
        <f>IF(NFI_Expiration=1,IF(#REF!&lt;VLOOKUP(U$5,NFI,5,0),1,0)*Table_NFI[[#This Row],[Winter Clothes Adult]],Table_NFI[Winter Clothes Adult])</f>
        <v>#REF!</v>
      </c>
      <c r="AM239" s="542"/>
      <c r="AN239" s="542"/>
      <c r="AO239" s="542"/>
      <c r="AP239" s="542">
        <f>IF(Table_NFI[[#This Row],[Winter Clothes Adult]]+Table_NFI[[#This Row],[Winter Clothes Children]]+Table_NFI[[#This Row],[Winter Items Other]]+Table_NFI[[#This Row],[Winter Blanket]]&gt;0,1,0)</f>
        <v>0</v>
      </c>
      <c r="AQ239" s="542"/>
      <c r="AR239" s="542"/>
      <c r="AS239" s="542"/>
      <c r="AT239" s="205" t="str">
        <f>IFERROR(VLOOKUP(Table_NFI[[#This Row],[Location]],CL,2,0),"")</f>
        <v>MMR001CMP260</v>
      </c>
      <c r="AU239" s="183"/>
    </row>
    <row r="240" spans="2:47" x14ac:dyDescent="0.25">
      <c r="B240" s="540">
        <v>43227</v>
      </c>
      <c r="C240" s="540" t="str">
        <f>MONTH(Table_NFI[[#This Row],[Distribution Date]]) &amp; "/" &amp; YEAR(Table_NFI[[#This Row],[Distribution Date]])</f>
        <v>5/2018</v>
      </c>
      <c r="D240" s="668" t="s">
        <v>778</v>
      </c>
      <c r="E240" s="668" t="s">
        <v>778</v>
      </c>
      <c r="F240" s="668" t="s">
        <v>378</v>
      </c>
      <c r="G240" s="197" t="s">
        <v>173</v>
      </c>
      <c r="H240" s="219" t="s">
        <v>1668</v>
      </c>
      <c r="I240" s="668"/>
      <c r="J240" s="668"/>
      <c r="K240" s="541"/>
      <c r="L240" s="668"/>
      <c r="M240" s="668"/>
      <c r="N240" s="668"/>
      <c r="O240" s="668"/>
      <c r="P240" s="668"/>
      <c r="Q240" s="668"/>
      <c r="R240" s="541"/>
      <c r="S240" s="668"/>
      <c r="T240" s="668"/>
      <c r="U240" s="541"/>
      <c r="V240" s="541"/>
      <c r="W240" s="541"/>
      <c r="X240" s="541"/>
      <c r="Y240" s="668"/>
      <c r="Z240" s="541">
        <v>26</v>
      </c>
      <c r="AA240" s="541"/>
      <c r="AB240" s="541"/>
      <c r="AC240" s="542" t="e">
        <f>IF(NFI_Expiration=1,IF(#REF!&lt;VLOOKUP(L$5,NFI,5,0),1,0)*Table_NFI[[#This Row],[NFI Core Kit]],Table_NFI[NFI Core Kit])</f>
        <v>#REF!</v>
      </c>
      <c r="AD240" s="542" t="e">
        <f>IF(NFI_Expiration=1,IF(#REF!&lt;VLOOKUP(M$5,NFI,5,0),1,0)*Table_NFI[[#This Row],[Sanitary Kit]],Table_NFI[Sanitary Kit])</f>
        <v>#REF!</v>
      </c>
      <c r="AE240" s="542" t="e">
        <f>IF(NFI_Expiration=1,IF(#REF!&lt;VLOOKUP(N$5,NFI,5,0),1,0)*Table_NFI[[#This Row],[Mosquito net]],Table_NFI[Mosquito net])</f>
        <v>#REF!</v>
      </c>
      <c r="AF240" s="542" t="e">
        <f>IF(NFI_Expiration=1,IF(#REF!&lt;VLOOKUP(O$5,NFI,5,0),1,0)*Table_NFI[[#This Row],[Tarpaulin]],Table_NFI[[#This Row],[Tarpaulin]])</f>
        <v>#REF!</v>
      </c>
      <c r="AG240" s="542" t="e">
        <f>IF(NFI_Expiration=1,IF(#REF!&lt;VLOOKUP(P$5,NFI,5,0),1,0)*Table_NFI[[#This Row],[Blanket]],Table_NFI[[#This Row],[Blanket]])</f>
        <v>#REF!</v>
      </c>
      <c r="AH240" s="542" t="e">
        <f>IF(NFI_Expiration=1,IF(#REF!&lt;VLOOKUP(Q$5,NFI,5,0),1,0)*Table_NFI[[#This Row],[Kitchen Set]],Table_NFI[Kitchen Set])</f>
        <v>#REF!</v>
      </c>
      <c r="AI240" s="542" t="e">
        <f>IF(NFI_Expiration=1,IF(#REF!&lt;VLOOKUP(R$5,NFI,5,0),1,0)*Table_NFI[[#This Row],[Clothes Kit]],Table_NFI[Clothes Kit])</f>
        <v>#REF!</v>
      </c>
      <c r="AJ240" s="542" t="e">
        <f>IF(NFI_Expiration=1,IF(#REF!&lt;VLOOKUP(S$5,NFI,5,0),1,0)*Table_NFI[[#This Row],[Plastic Bucket]],Table_NFI[Plastic Bucket])</f>
        <v>#REF!</v>
      </c>
      <c r="AK240" s="542" t="e">
        <f>IF(NFI_Expiration=1,IF(#REF!&lt;VLOOKUP(T$5,NFI,5,0),1,0)*Table_NFI[[#This Row],[Plastic Mat]],Table_NFI[Plastic Mat])*IF(Table_NFI[[#This Row],[Distribution Date]]&gt;"2014-04-01",1,2.5)</f>
        <v>#REF!</v>
      </c>
      <c r="AL240" s="542" t="e">
        <f>IF(NFI_Expiration=1,IF(#REF!&lt;VLOOKUP(U$5,NFI,5,0),1,0)*Table_NFI[[#This Row],[Winter Clothes Adult]],Table_NFI[Winter Clothes Adult])</f>
        <v>#REF!</v>
      </c>
      <c r="AM240" s="542"/>
      <c r="AN240" s="542"/>
      <c r="AO240" s="542"/>
      <c r="AP240" s="542">
        <f>IF(Table_NFI[[#This Row],[Winter Clothes Adult]]+Table_NFI[[#This Row],[Winter Clothes Children]]+Table_NFI[[#This Row],[Winter Items Other]]+Table_NFI[[#This Row],[Winter Blanket]]&gt;0,1,0)</f>
        <v>0</v>
      </c>
      <c r="AQ240" s="542"/>
      <c r="AR240" s="542"/>
      <c r="AS240" s="542"/>
      <c r="AT240" s="205" t="str">
        <f>IFERROR(VLOOKUP(Table_NFI[[#This Row],[Location]],CL,2,0),"")</f>
        <v>MMR001CMP262</v>
      </c>
      <c r="AU240" s="183"/>
    </row>
    <row r="241" spans="2:47" x14ac:dyDescent="0.25">
      <c r="B241" s="540">
        <v>43243</v>
      </c>
      <c r="C241" s="540" t="str">
        <f>MONTH(Table_NFI[[#This Row],[Distribution Date]]) &amp; "/" &amp; YEAR(Table_NFI[[#This Row],[Distribution Date]])</f>
        <v>5/2018</v>
      </c>
      <c r="D241" s="668" t="s">
        <v>778</v>
      </c>
      <c r="E241" s="668" t="s">
        <v>778</v>
      </c>
      <c r="F241" s="668" t="s">
        <v>378</v>
      </c>
      <c r="G241" s="197" t="s">
        <v>237</v>
      </c>
      <c r="H241" s="219" t="s">
        <v>1674</v>
      </c>
      <c r="I241" s="668"/>
      <c r="J241" s="668"/>
      <c r="K241" s="541"/>
      <c r="L241" s="668"/>
      <c r="M241" s="668"/>
      <c r="N241" s="668"/>
      <c r="O241" s="668"/>
      <c r="P241" s="668"/>
      <c r="Q241" s="668"/>
      <c r="R241" s="541"/>
      <c r="S241" s="668"/>
      <c r="T241" s="668"/>
      <c r="U241" s="541"/>
      <c r="V241" s="541"/>
      <c r="W241" s="541"/>
      <c r="X241" s="541"/>
      <c r="Y241" s="668"/>
      <c r="Z241" s="541">
        <v>386</v>
      </c>
      <c r="AA241" s="541"/>
      <c r="AB241" s="541"/>
      <c r="AC241" s="542" t="e">
        <f>IF(NFI_Expiration=1,IF(#REF!&lt;VLOOKUP(L$5,NFI,5,0),1,0)*Table_NFI[[#This Row],[NFI Core Kit]],Table_NFI[NFI Core Kit])</f>
        <v>#REF!</v>
      </c>
      <c r="AD241" s="542" t="e">
        <f>IF(NFI_Expiration=1,IF(#REF!&lt;VLOOKUP(M$5,NFI,5,0),1,0)*Table_NFI[[#This Row],[Sanitary Kit]],Table_NFI[Sanitary Kit])</f>
        <v>#REF!</v>
      </c>
      <c r="AE241" s="542" t="e">
        <f>IF(NFI_Expiration=1,IF(#REF!&lt;VLOOKUP(N$5,NFI,5,0),1,0)*Table_NFI[[#This Row],[Mosquito net]],Table_NFI[Mosquito net])</f>
        <v>#REF!</v>
      </c>
      <c r="AF241" s="542" t="e">
        <f>IF(NFI_Expiration=1,IF(#REF!&lt;VLOOKUP(O$5,NFI,5,0),1,0)*Table_NFI[[#This Row],[Tarpaulin]],Table_NFI[[#This Row],[Tarpaulin]])</f>
        <v>#REF!</v>
      </c>
      <c r="AG241" s="542" t="e">
        <f>IF(NFI_Expiration=1,IF(#REF!&lt;VLOOKUP(P$5,NFI,5,0),1,0)*Table_NFI[[#This Row],[Blanket]],Table_NFI[[#This Row],[Blanket]])</f>
        <v>#REF!</v>
      </c>
      <c r="AH241" s="542" t="e">
        <f>IF(NFI_Expiration=1,IF(#REF!&lt;VLOOKUP(Q$5,NFI,5,0),1,0)*Table_NFI[[#This Row],[Kitchen Set]],Table_NFI[Kitchen Set])</f>
        <v>#REF!</v>
      </c>
      <c r="AI241" s="542" t="e">
        <f>IF(NFI_Expiration=1,IF(#REF!&lt;VLOOKUP(R$5,NFI,5,0),1,0)*Table_NFI[[#This Row],[Clothes Kit]],Table_NFI[Clothes Kit])</f>
        <v>#REF!</v>
      </c>
      <c r="AJ241" s="542" t="e">
        <f>IF(NFI_Expiration=1,IF(#REF!&lt;VLOOKUP(S$5,NFI,5,0),1,0)*Table_NFI[[#This Row],[Plastic Bucket]],Table_NFI[Plastic Bucket])</f>
        <v>#REF!</v>
      </c>
      <c r="AK241" s="542" t="e">
        <f>IF(NFI_Expiration=1,IF(#REF!&lt;VLOOKUP(T$5,NFI,5,0),1,0)*Table_NFI[[#This Row],[Plastic Mat]],Table_NFI[Plastic Mat])*IF(Table_NFI[[#This Row],[Distribution Date]]&gt;"2014-04-01",1,2.5)</f>
        <v>#REF!</v>
      </c>
      <c r="AL241" s="542" t="e">
        <f>IF(NFI_Expiration=1,IF(#REF!&lt;VLOOKUP(U$5,NFI,5,0),1,0)*Table_NFI[[#This Row],[Winter Clothes Adult]],Table_NFI[Winter Clothes Adult])</f>
        <v>#REF!</v>
      </c>
      <c r="AM241" s="542"/>
      <c r="AN241" s="542"/>
      <c r="AO241" s="542"/>
      <c r="AP241" s="542">
        <f>IF(Table_NFI[[#This Row],[Winter Clothes Adult]]+Table_NFI[[#This Row],[Winter Clothes Children]]+Table_NFI[[#This Row],[Winter Items Other]]+Table_NFI[[#This Row],[Winter Blanket]]&gt;0,1,0)</f>
        <v>0</v>
      </c>
      <c r="AQ241" s="542"/>
      <c r="AR241" s="542"/>
      <c r="AS241" s="542"/>
      <c r="AT241" s="205" t="str">
        <f>IFERROR(VLOOKUP(Table_NFI[[#This Row],[Location]],CL,2,0),"")</f>
        <v>MMR001CMP264</v>
      </c>
      <c r="AU241" s="183"/>
    </row>
    <row r="242" spans="2:47" x14ac:dyDescent="0.25">
      <c r="B242" s="540">
        <v>43238</v>
      </c>
      <c r="C242" s="540" t="str">
        <f>MONTH(Table_NFI[[#This Row],[Distribution Date]]) &amp; "/" &amp; YEAR(Table_NFI[[#This Row],[Distribution Date]])</f>
        <v>5/2018</v>
      </c>
      <c r="D242" s="668" t="s">
        <v>778</v>
      </c>
      <c r="E242" s="668" t="s">
        <v>778</v>
      </c>
      <c r="F242" s="668" t="s">
        <v>378</v>
      </c>
      <c r="G242" s="197" t="s">
        <v>237</v>
      </c>
      <c r="H242" s="219" t="s">
        <v>1515</v>
      </c>
      <c r="I242" s="668"/>
      <c r="J242" s="668"/>
      <c r="K242" s="541"/>
      <c r="L242" s="668"/>
      <c r="M242" s="668"/>
      <c r="N242" s="668"/>
      <c r="O242" s="668"/>
      <c r="P242" s="668"/>
      <c r="Q242" s="668"/>
      <c r="R242" s="541"/>
      <c r="S242" s="668"/>
      <c r="T242" s="668"/>
      <c r="U242" s="541"/>
      <c r="V242" s="541"/>
      <c r="W242" s="541"/>
      <c r="X242" s="541"/>
      <c r="Y242" s="668"/>
      <c r="Z242" s="541">
        <v>12</v>
      </c>
      <c r="AA242" s="541"/>
      <c r="AB242" s="541"/>
      <c r="AC242" s="542" t="e">
        <f>IF(NFI_Expiration=1,IF(#REF!&lt;VLOOKUP(L$5,NFI,5,0),1,0)*Table_NFI[[#This Row],[NFI Core Kit]],Table_NFI[NFI Core Kit])</f>
        <v>#REF!</v>
      </c>
      <c r="AD242" s="542" t="e">
        <f>IF(NFI_Expiration=1,IF(#REF!&lt;VLOOKUP(M$5,NFI,5,0),1,0)*Table_NFI[[#This Row],[Sanitary Kit]],Table_NFI[Sanitary Kit])</f>
        <v>#REF!</v>
      </c>
      <c r="AE242" s="542" t="e">
        <f>IF(NFI_Expiration=1,IF(#REF!&lt;VLOOKUP(N$5,NFI,5,0),1,0)*Table_NFI[[#This Row],[Mosquito net]],Table_NFI[Mosquito net])</f>
        <v>#REF!</v>
      </c>
      <c r="AF242" s="542" t="e">
        <f>IF(NFI_Expiration=1,IF(#REF!&lt;VLOOKUP(O$5,NFI,5,0),1,0)*Table_NFI[[#This Row],[Tarpaulin]],Table_NFI[[#This Row],[Tarpaulin]])</f>
        <v>#REF!</v>
      </c>
      <c r="AG242" s="542" t="e">
        <f>IF(NFI_Expiration=1,IF(#REF!&lt;VLOOKUP(P$5,NFI,5,0),1,0)*Table_NFI[[#This Row],[Blanket]],Table_NFI[[#This Row],[Blanket]])</f>
        <v>#REF!</v>
      </c>
      <c r="AH242" s="542" t="e">
        <f>IF(NFI_Expiration=1,IF(#REF!&lt;VLOOKUP(Q$5,NFI,5,0),1,0)*Table_NFI[[#This Row],[Kitchen Set]],Table_NFI[Kitchen Set])</f>
        <v>#REF!</v>
      </c>
      <c r="AI242" s="542" t="e">
        <f>IF(NFI_Expiration=1,IF(#REF!&lt;VLOOKUP(R$5,NFI,5,0),1,0)*Table_NFI[[#This Row],[Clothes Kit]],Table_NFI[Clothes Kit])</f>
        <v>#REF!</v>
      </c>
      <c r="AJ242" s="542" t="e">
        <f>IF(NFI_Expiration=1,IF(#REF!&lt;VLOOKUP(S$5,NFI,5,0),1,0)*Table_NFI[[#This Row],[Plastic Bucket]],Table_NFI[Plastic Bucket])</f>
        <v>#REF!</v>
      </c>
      <c r="AK242" s="542" t="e">
        <f>IF(NFI_Expiration=1,IF(#REF!&lt;VLOOKUP(T$5,NFI,5,0),1,0)*Table_NFI[[#This Row],[Plastic Mat]],Table_NFI[Plastic Mat])*IF(Table_NFI[[#This Row],[Distribution Date]]&gt;"2014-04-01",1,2.5)</f>
        <v>#REF!</v>
      </c>
      <c r="AL242" s="542" t="e">
        <f>IF(NFI_Expiration=1,IF(#REF!&lt;VLOOKUP(U$5,NFI,5,0),1,0)*Table_NFI[[#This Row],[Winter Clothes Adult]],Table_NFI[Winter Clothes Adult])</f>
        <v>#REF!</v>
      </c>
      <c r="AM242" s="542"/>
      <c r="AN242" s="542"/>
      <c r="AO242" s="542"/>
      <c r="AP242" s="542">
        <f>IF(Table_NFI[[#This Row],[Winter Clothes Adult]]+Table_NFI[[#This Row],[Winter Clothes Children]]+Table_NFI[[#This Row],[Winter Items Other]]+Table_NFI[[#This Row],[Winter Blanket]]&gt;0,1,0)</f>
        <v>0</v>
      </c>
      <c r="AQ242" s="542"/>
      <c r="AR242" s="542"/>
      <c r="AS242" s="542"/>
      <c r="AT242" s="205" t="str">
        <f>IFERROR(VLOOKUP(Table_NFI[[#This Row],[Location]],CL,2,0),"")</f>
        <v>MMR001CMP256</v>
      </c>
      <c r="AU242" s="183"/>
    </row>
    <row r="243" spans="2:47" x14ac:dyDescent="0.25">
      <c r="B243" s="540">
        <v>43228</v>
      </c>
      <c r="C243" s="540" t="str">
        <f>MONTH(Table_NFI[[#This Row],[Distribution Date]]) &amp; "/" &amp; YEAR(Table_NFI[[#This Row],[Distribution Date]])</f>
        <v>5/2018</v>
      </c>
      <c r="D243" s="668" t="s">
        <v>1638</v>
      </c>
      <c r="E243" s="668" t="s">
        <v>424</v>
      </c>
      <c r="F243" s="668" t="s">
        <v>378</v>
      </c>
      <c r="G243" s="197" t="s">
        <v>237</v>
      </c>
      <c r="H243" s="219" t="s">
        <v>1701</v>
      </c>
      <c r="I243" s="668"/>
      <c r="J243" s="668"/>
      <c r="K243" s="541"/>
      <c r="L243" s="668">
        <v>25</v>
      </c>
      <c r="M243" s="668"/>
      <c r="N243" s="668">
        <v>50</v>
      </c>
      <c r="O243" s="668">
        <f>25*2</f>
        <v>50</v>
      </c>
      <c r="P243" s="668">
        <f>25*2</f>
        <v>50</v>
      </c>
      <c r="Q243" s="668">
        <v>25</v>
      </c>
      <c r="R243" s="541"/>
      <c r="S243" s="668">
        <v>25</v>
      </c>
      <c r="T243" s="668"/>
      <c r="U243" s="541"/>
      <c r="V243" s="541"/>
      <c r="W243" s="541"/>
      <c r="X243" s="541"/>
      <c r="Y243" s="668"/>
      <c r="Z243" s="541"/>
      <c r="AA243" s="541"/>
      <c r="AB243" s="541"/>
      <c r="AC243" s="542" t="e">
        <f>IF(NFI_Expiration=1,IF(#REF!&lt;VLOOKUP(L$5,NFI,5,0),1,0)*Table_NFI[[#This Row],[NFI Core Kit]],Table_NFI[NFI Core Kit])</f>
        <v>#REF!</v>
      </c>
      <c r="AD243" s="542" t="e">
        <f>IF(NFI_Expiration=1,IF(#REF!&lt;VLOOKUP(M$5,NFI,5,0),1,0)*Table_NFI[[#This Row],[Sanitary Kit]],Table_NFI[Sanitary Kit])</f>
        <v>#REF!</v>
      </c>
      <c r="AE243" s="542" t="e">
        <f>IF(NFI_Expiration=1,IF(#REF!&lt;VLOOKUP(N$5,NFI,5,0),1,0)*Table_NFI[[#This Row],[Mosquito net]],Table_NFI[Mosquito net])</f>
        <v>#REF!</v>
      </c>
      <c r="AF243" s="542" t="e">
        <f>IF(NFI_Expiration=1,IF(#REF!&lt;VLOOKUP(O$5,NFI,5,0),1,0)*Table_NFI[[#This Row],[Tarpaulin]],Table_NFI[[#This Row],[Tarpaulin]])</f>
        <v>#REF!</v>
      </c>
      <c r="AG243" s="542" t="e">
        <f>IF(NFI_Expiration=1,IF(#REF!&lt;VLOOKUP(P$5,NFI,5,0),1,0)*Table_NFI[[#This Row],[Blanket]],Table_NFI[[#This Row],[Blanket]])</f>
        <v>#REF!</v>
      </c>
      <c r="AH243" s="542" t="e">
        <f>IF(NFI_Expiration=1,IF(#REF!&lt;VLOOKUP(Q$5,NFI,5,0),1,0)*Table_NFI[[#This Row],[Kitchen Set]],Table_NFI[Kitchen Set])</f>
        <v>#REF!</v>
      </c>
      <c r="AI243" s="542" t="e">
        <f>IF(NFI_Expiration=1,IF(#REF!&lt;VLOOKUP(R$5,NFI,5,0),1,0)*Table_NFI[[#This Row],[Clothes Kit]],Table_NFI[Clothes Kit])</f>
        <v>#REF!</v>
      </c>
      <c r="AJ243" s="542" t="e">
        <f>IF(NFI_Expiration=1,IF(#REF!&lt;VLOOKUP(S$5,NFI,5,0),1,0)*Table_NFI[[#This Row],[Plastic Bucket]],Table_NFI[Plastic Bucket])</f>
        <v>#REF!</v>
      </c>
      <c r="AK243" s="542" t="e">
        <f>IF(NFI_Expiration=1,IF(#REF!&lt;VLOOKUP(T$5,NFI,5,0),1,0)*Table_NFI[[#This Row],[Plastic Mat]],Table_NFI[Plastic Mat])*IF(Table_NFI[[#This Row],[Distribution Date]]&gt;"2014-04-01",1,2.5)</f>
        <v>#REF!</v>
      </c>
      <c r="AL243" s="542" t="e">
        <f>IF(NFI_Expiration=1,IF(#REF!&lt;VLOOKUP(U$5,NFI,5,0),1,0)*Table_NFI[[#This Row],[Winter Clothes Adult]],Table_NFI[Winter Clothes Adult])</f>
        <v>#REF!</v>
      </c>
      <c r="AM243" s="542"/>
      <c r="AN243" s="542"/>
      <c r="AO243" s="542"/>
      <c r="AP243" s="542">
        <f>IF(Table_NFI[[#This Row],[Winter Clothes Adult]]+Table_NFI[[#This Row],[Winter Clothes Children]]+Table_NFI[[#This Row],[Winter Items Other]]+Table_NFI[[#This Row],[Winter Blanket]]&gt;0,1,0)</f>
        <v>0</v>
      </c>
      <c r="AQ243" s="542"/>
      <c r="AR243" s="542"/>
      <c r="AS243" s="542"/>
      <c r="AT243" s="205" t="str">
        <f>IFERROR(VLOOKUP(Table_NFI[[#This Row],[Location]],CL,2,0),"")</f>
        <v>MMR001CMP267</v>
      </c>
      <c r="AU243" s="183"/>
    </row>
    <row r="244" spans="2:47" x14ac:dyDescent="0.25">
      <c r="B244" s="540">
        <v>43228</v>
      </c>
      <c r="C244" s="540" t="str">
        <f>MONTH(Table_NFI[[#This Row],[Distribution Date]]) &amp; "/" &amp; YEAR(Table_NFI[[#This Row],[Distribution Date]])</f>
        <v>5/2018</v>
      </c>
      <c r="D244" s="668" t="s">
        <v>1638</v>
      </c>
      <c r="E244" s="668" t="s">
        <v>424</v>
      </c>
      <c r="F244" s="668" t="s">
        <v>378</v>
      </c>
      <c r="G244" s="197" t="s">
        <v>480</v>
      </c>
      <c r="H244" s="219" t="s">
        <v>1707</v>
      </c>
      <c r="I244" s="668"/>
      <c r="J244" s="668"/>
      <c r="K244" s="541"/>
      <c r="L244" s="668">
        <v>31</v>
      </c>
      <c r="M244" s="668"/>
      <c r="N244" s="668">
        <v>62</v>
      </c>
      <c r="O244" s="668">
        <f>31*2</f>
        <v>62</v>
      </c>
      <c r="P244" s="668">
        <f>31*2</f>
        <v>62</v>
      </c>
      <c r="Q244" s="668">
        <v>31</v>
      </c>
      <c r="R244" s="541"/>
      <c r="S244" s="668">
        <v>31</v>
      </c>
      <c r="T244" s="668"/>
      <c r="U244" s="541"/>
      <c r="V244" s="541"/>
      <c r="W244" s="541"/>
      <c r="X244" s="541"/>
      <c r="Y244" s="668"/>
      <c r="Z244" s="541"/>
      <c r="AA244" s="541"/>
      <c r="AB244" s="541"/>
      <c r="AC244" s="542" t="e">
        <f>IF(NFI_Expiration=1,IF(#REF!&lt;VLOOKUP(L$5,NFI,5,0),1,0)*Table_NFI[[#This Row],[NFI Core Kit]],Table_NFI[NFI Core Kit])</f>
        <v>#REF!</v>
      </c>
      <c r="AD244" s="542" t="e">
        <f>IF(NFI_Expiration=1,IF(#REF!&lt;VLOOKUP(M$5,NFI,5,0),1,0)*Table_NFI[[#This Row],[Sanitary Kit]],Table_NFI[Sanitary Kit])</f>
        <v>#REF!</v>
      </c>
      <c r="AE244" s="542" t="e">
        <f>IF(NFI_Expiration=1,IF(#REF!&lt;VLOOKUP(N$5,NFI,5,0),1,0)*Table_NFI[[#This Row],[Mosquito net]],Table_NFI[Mosquito net])</f>
        <v>#REF!</v>
      </c>
      <c r="AF244" s="542" t="e">
        <f>IF(NFI_Expiration=1,IF(#REF!&lt;VLOOKUP(O$5,NFI,5,0),1,0)*Table_NFI[[#This Row],[Tarpaulin]],Table_NFI[[#This Row],[Tarpaulin]])</f>
        <v>#REF!</v>
      </c>
      <c r="AG244" s="542" t="e">
        <f>IF(NFI_Expiration=1,IF(#REF!&lt;VLOOKUP(P$5,NFI,5,0),1,0)*Table_NFI[[#This Row],[Blanket]],Table_NFI[[#This Row],[Blanket]])</f>
        <v>#REF!</v>
      </c>
      <c r="AH244" s="542" t="e">
        <f>IF(NFI_Expiration=1,IF(#REF!&lt;VLOOKUP(Q$5,NFI,5,0),1,0)*Table_NFI[[#This Row],[Kitchen Set]],Table_NFI[Kitchen Set])</f>
        <v>#REF!</v>
      </c>
      <c r="AI244" s="542" t="e">
        <f>IF(NFI_Expiration=1,IF(#REF!&lt;VLOOKUP(R$5,NFI,5,0),1,0)*Table_NFI[[#This Row],[Clothes Kit]],Table_NFI[Clothes Kit])</f>
        <v>#REF!</v>
      </c>
      <c r="AJ244" s="542" t="e">
        <f>IF(NFI_Expiration=1,IF(#REF!&lt;VLOOKUP(S$5,NFI,5,0),1,0)*Table_NFI[[#This Row],[Plastic Bucket]],Table_NFI[Plastic Bucket])</f>
        <v>#REF!</v>
      </c>
      <c r="AK244" s="542" t="e">
        <f>IF(NFI_Expiration=1,IF(#REF!&lt;VLOOKUP(T$5,NFI,5,0),1,0)*Table_NFI[[#This Row],[Plastic Mat]],Table_NFI[Plastic Mat])*IF(Table_NFI[[#This Row],[Distribution Date]]&gt;"2014-04-01",1,2.5)</f>
        <v>#REF!</v>
      </c>
      <c r="AL244" s="542" t="e">
        <f>IF(NFI_Expiration=1,IF(#REF!&lt;VLOOKUP(U$5,NFI,5,0),1,0)*Table_NFI[[#This Row],[Winter Clothes Adult]],Table_NFI[Winter Clothes Adult])</f>
        <v>#REF!</v>
      </c>
      <c r="AM244" s="542"/>
      <c r="AN244" s="542"/>
      <c r="AO244" s="542"/>
      <c r="AP244" s="542">
        <f>IF(Table_NFI[[#This Row],[Winter Clothes Adult]]+Table_NFI[[#This Row],[Winter Clothes Children]]+Table_NFI[[#This Row],[Winter Items Other]]+Table_NFI[[#This Row],[Winter Blanket]]&gt;0,1,0)</f>
        <v>0</v>
      </c>
      <c r="AQ244" s="542"/>
      <c r="AR244" s="542"/>
      <c r="AS244" s="542"/>
      <c r="AT244" s="205" t="str">
        <f>IFERROR(VLOOKUP(Table_NFI[[#This Row],[Location]],CL,2,0),"")</f>
        <v>MMR001CMP270</v>
      </c>
      <c r="AU244" s="183"/>
    </row>
    <row r="245" spans="2:47" x14ac:dyDescent="0.25">
      <c r="B245" s="540">
        <v>43228</v>
      </c>
      <c r="C245" s="540" t="str">
        <f>MONTH(Table_NFI[[#This Row],[Distribution Date]]) &amp; "/" &amp; YEAR(Table_NFI[[#This Row],[Distribution Date]])</f>
        <v>5/2018</v>
      </c>
      <c r="D245" s="668" t="s">
        <v>1638</v>
      </c>
      <c r="E245" s="668" t="s">
        <v>424</v>
      </c>
      <c r="F245" s="668" t="s">
        <v>378</v>
      </c>
      <c r="G245" s="197" t="s">
        <v>309</v>
      </c>
      <c r="H245" s="668" t="s">
        <v>1641</v>
      </c>
      <c r="I245" s="668"/>
      <c r="J245" s="668"/>
      <c r="K245" s="541"/>
      <c r="L245" s="668">
        <v>41</v>
      </c>
      <c r="M245" s="668"/>
      <c r="N245" s="668">
        <v>82</v>
      </c>
      <c r="O245" s="668">
        <f>41*2</f>
        <v>82</v>
      </c>
      <c r="P245" s="668">
        <f>41*2</f>
        <v>82</v>
      </c>
      <c r="Q245" s="668">
        <v>41</v>
      </c>
      <c r="R245" s="541"/>
      <c r="S245" s="668">
        <v>41</v>
      </c>
      <c r="T245" s="668"/>
      <c r="U245" s="541"/>
      <c r="V245" s="541"/>
      <c r="W245" s="541"/>
      <c r="X245" s="541"/>
      <c r="Y245" s="668"/>
      <c r="Z245" s="541"/>
      <c r="AA245" s="541"/>
      <c r="AB245" s="541"/>
      <c r="AC245" s="542" t="e">
        <f>IF(NFI_Expiration=1,IF(#REF!&lt;VLOOKUP(L$5,NFI,5,0),1,0)*Table_NFI[[#This Row],[NFI Core Kit]],Table_NFI[NFI Core Kit])</f>
        <v>#REF!</v>
      </c>
      <c r="AD245" s="542" t="e">
        <f>IF(NFI_Expiration=1,IF(#REF!&lt;VLOOKUP(M$5,NFI,5,0),1,0)*Table_NFI[[#This Row],[Sanitary Kit]],Table_NFI[Sanitary Kit])</f>
        <v>#REF!</v>
      </c>
      <c r="AE245" s="542" t="e">
        <f>IF(NFI_Expiration=1,IF(#REF!&lt;VLOOKUP(N$5,NFI,5,0),1,0)*Table_NFI[[#This Row],[Mosquito net]],Table_NFI[Mosquito net])</f>
        <v>#REF!</v>
      </c>
      <c r="AF245" s="542" t="e">
        <f>IF(NFI_Expiration=1,IF(#REF!&lt;VLOOKUP(O$5,NFI,5,0),1,0)*Table_NFI[[#This Row],[Tarpaulin]],Table_NFI[[#This Row],[Tarpaulin]])</f>
        <v>#REF!</v>
      </c>
      <c r="AG245" s="542" t="e">
        <f>IF(NFI_Expiration=1,IF(#REF!&lt;VLOOKUP(P$5,NFI,5,0),1,0)*Table_NFI[[#This Row],[Blanket]],Table_NFI[[#This Row],[Blanket]])</f>
        <v>#REF!</v>
      </c>
      <c r="AH245" s="542" t="e">
        <f>IF(NFI_Expiration=1,IF(#REF!&lt;VLOOKUP(Q$5,NFI,5,0),1,0)*Table_NFI[[#This Row],[Kitchen Set]],Table_NFI[Kitchen Set])</f>
        <v>#REF!</v>
      </c>
      <c r="AI245" s="542" t="e">
        <f>IF(NFI_Expiration=1,IF(#REF!&lt;VLOOKUP(R$5,NFI,5,0),1,0)*Table_NFI[[#This Row],[Clothes Kit]],Table_NFI[Clothes Kit])</f>
        <v>#REF!</v>
      </c>
      <c r="AJ245" s="542" t="e">
        <f>IF(NFI_Expiration=1,IF(#REF!&lt;VLOOKUP(S$5,NFI,5,0),1,0)*Table_NFI[[#This Row],[Plastic Bucket]],Table_NFI[Plastic Bucket])</f>
        <v>#REF!</v>
      </c>
      <c r="AK245" s="542" t="e">
        <f>IF(NFI_Expiration=1,IF(#REF!&lt;VLOOKUP(T$5,NFI,5,0),1,0)*Table_NFI[[#This Row],[Plastic Mat]],Table_NFI[Plastic Mat])*IF(Table_NFI[[#This Row],[Distribution Date]]&gt;"2014-04-01",1,2.5)</f>
        <v>#REF!</v>
      </c>
      <c r="AL245" s="542" t="e">
        <f>IF(NFI_Expiration=1,IF(#REF!&lt;VLOOKUP(U$5,NFI,5,0),1,0)*Table_NFI[[#This Row],[Winter Clothes Adult]],Table_NFI[Winter Clothes Adult])</f>
        <v>#REF!</v>
      </c>
      <c r="AM245" s="542"/>
      <c r="AN245" s="542"/>
      <c r="AO245" s="542"/>
      <c r="AP245" s="542">
        <f>IF(Table_NFI[[#This Row],[Winter Clothes Adult]]+Table_NFI[[#This Row],[Winter Clothes Children]]+Table_NFI[[#This Row],[Winter Items Other]]+Table_NFI[[#This Row],[Winter Blanket]]&gt;0,1,0)</f>
        <v>0</v>
      </c>
      <c r="AQ245" s="542"/>
      <c r="AR245" s="542"/>
      <c r="AS245" s="542"/>
      <c r="AT245" s="205" t="str">
        <f>IFERROR(VLOOKUP(Table_NFI[[#This Row],[Location]],CL,2,0),"")</f>
        <v/>
      </c>
      <c r="AU245" s="183"/>
    </row>
    <row r="246" spans="2:47" x14ac:dyDescent="0.25">
      <c r="B246" s="540">
        <v>43228</v>
      </c>
      <c r="C246" s="540" t="str">
        <f>MONTH(Table_NFI[[#This Row],[Distribution Date]]) &amp; "/" &amp; YEAR(Table_NFI[[#This Row],[Distribution Date]])</f>
        <v>5/2018</v>
      </c>
      <c r="D246" s="668" t="s">
        <v>1638</v>
      </c>
      <c r="E246" s="668" t="s">
        <v>424</v>
      </c>
      <c r="F246" s="668" t="s">
        <v>378</v>
      </c>
      <c r="G246" s="197" t="s">
        <v>309</v>
      </c>
      <c r="H246" s="668" t="s">
        <v>1640</v>
      </c>
      <c r="I246" s="668"/>
      <c r="J246" s="668"/>
      <c r="K246" s="541"/>
      <c r="L246" s="668">
        <v>16</v>
      </c>
      <c r="M246" s="668"/>
      <c r="N246" s="668">
        <v>32</v>
      </c>
      <c r="O246" s="668">
        <f>16*2</f>
        <v>32</v>
      </c>
      <c r="P246" s="668">
        <f>16*2</f>
        <v>32</v>
      </c>
      <c r="Q246" s="668">
        <v>16</v>
      </c>
      <c r="R246" s="541"/>
      <c r="S246" s="668">
        <v>16</v>
      </c>
      <c r="T246" s="668"/>
      <c r="U246" s="541"/>
      <c r="V246" s="541"/>
      <c r="W246" s="541"/>
      <c r="X246" s="541"/>
      <c r="Y246" s="668"/>
      <c r="Z246" s="541"/>
      <c r="AA246" s="541"/>
      <c r="AB246" s="541"/>
      <c r="AC246" s="542" t="e">
        <f>IF(NFI_Expiration=1,IF(#REF!&lt;VLOOKUP(L$5,NFI,5,0),1,0)*Table_NFI[[#This Row],[NFI Core Kit]],Table_NFI[NFI Core Kit])</f>
        <v>#REF!</v>
      </c>
      <c r="AD246" s="542" t="e">
        <f>IF(NFI_Expiration=1,IF(#REF!&lt;VLOOKUP(M$5,NFI,5,0),1,0)*Table_NFI[[#This Row],[Sanitary Kit]],Table_NFI[Sanitary Kit])</f>
        <v>#REF!</v>
      </c>
      <c r="AE246" s="542" t="e">
        <f>IF(NFI_Expiration=1,IF(#REF!&lt;VLOOKUP(N$5,NFI,5,0),1,0)*Table_NFI[[#This Row],[Mosquito net]],Table_NFI[Mosquito net])</f>
        <v>#REF!</v>
      </c>
      <c r="AF246" s="542" t="e">
        <f>IF(NFI_Expiration=1,IF(#REF!&lt;VLOOKUP(O$5,NFI,5,0),1,0)*Table_NFI[[#This Row],[Tarpaulin]],Table_NFI[[#This Row],[Tarpaulin]])</f>
        <v>#REF!</v>
      </c>
      <c r="AG246" s="542" t="e">
        <f>IF(NFI_Expiration=1,IF(#REF!&lt;VLOOKUP(P$5,NFI,5,0),1,0)*Table_NFI[[#This Row],[Blanket]],Table_NFI[[#This Row],[Blanket]])</f>
        <v>#REF!</v>
      </c>
      <c r="AH246" s="542" t="e">
        <f>IF(NFI_Expiration=1,IF(#REF!&lt;VLOOKUP(Q$5,NFI,5,0),1,0)*Table_NFI[[#This Row],[Kitchen Set]],Table_NFI[Kitchen Set])</f>
        <v>#REF!</v>
      </c>
      <c r="AI246" s="542" t="e">
        <f>IF(NFI_Expiration=1,IF(#REF!&lt;VLOOKUP(R$5,NFI,5,0),1,0)*Table_NFI[[#This Row],[Clothes Kit]],Table_NFI[Clothes Kit])</f>
        <v>#REF!</v>
      </c>
      <c r="AJ246" s="542" t="e">
        <f>IF(NFI_Expiration=1,IF(#REF!&lt;VLOOKUP(S$5,NFI,5,0),1,0)*Table_NFI[[#This Row],[Plastic Bucket]],Table_NFI[Plastic Bucket])</f>
        <v>#REF!</v>
      </c>
      <c r="AK246" s="542" t="e">
        <f>IF(NFI_Expiration=1,IF(#REF!&lt;VLOOKUP(T$5,NFI,5,0),1,0)*Table_NFI[[#This Row],[Plastic Mat]],Table_NFI[Plastic Mat])*IF(Table_NFI[[#This Row],[Distribution Date]]&gt;"2014-04-01",1,2.5)</f>
        <v>#REF!</v>
      </c>
      <c r="AL246" s="542" t="e">
        <f>IF(NFI_Expiration=1,IF(#REF!&lt;VLOOKUP(U$5,NFI,5,0),1,0)*Table_NFI[[#This Row],[Winter Clothes Adult]],Table_NFI[Winter Clothes Adult])</f>
        <v>#REF!</v>
      </c>
      <c r="AM246" s="542"/>
      <c r="AN246" s="542"/>
      <c r="AO246" s="542"/>
      <c r="AP246" s="542">
        <f>IF(Table_NFI[[#This Row],[Winter Clothes Adult]]+Table_NFI[[#This Row],[Winter Clothes Children]]+Table_NFI[[#This Row],[Winter Items Other]]+Table_NFI[[#This Row],[Winter Blanket]]&gt;0,1,0)</f>
        <v>0</v>
      </c>
      <c r="AQ246" s="542"/>
      <c r="AR246" s="542"/>
      <c r="AS246" s="542"/>
      <c r="AT246" s="205" t="str">
        <f>IFERROR(VLOOKUP(Table_NFI[[#This Row],[Location]],CL,2,0),"")</f>
        <v/>
      </c>
      <c r="AU246" s="183"/>
    </row>
    <row r="247" spans="2:47" x14ac:dyDescent="0.25">
      <c r="B247" s="540">
        <v>43224</v>
      </c>
      <c r="C247" s="540" t="str">
        <f>MONTH(Table_NFI[[#This Row],[Distribution Date]]) &amp; "/" &amp; YEAR(Table_NFI[[#This Row],[Distribution Date]])</f>
        <v>5/2018</v>
      </c>
      <c r="D247" s="668" t="s">
        <v>1637</v>
      </c>
      <c r="E247" s="668" t="s">
        <v>424</v>
      </c>
      <c r="F247" s="668" t="s">
        <v>378</v>
      </c>
      <c r="G247" s="197" t="s">
        <v>173</v>
      </c>
      <c r="H247" s="219" t="s">
        <v>1733</v>
      </c>
      <c r="I247" s="668"/>
      <c r="J247" s="668"/>
      <c r="K247" s="541"/>
      <c r="L247" s="668"/>
      <c r="M247" s="668"/>
      <c r="N247" s="668">
        <v>213</v>
      </c>
      <c r="O247" s="668"/>
      <c r="P247" s="668">
        <v>213</v>
      </c>
      <c r="Q247" s="668"/>
      <c r="R247" s="541"/>
      <c r="S247" s="668">
        <v>99</v>
      </c>
      <c r="T247" s="668"/>
      <c r="U247" s="541"/>
      <c r="V247" s="541"/>
      <c r="W247" s="541"/>
      <c r="X247" s="541"/>
      <c r="Y247" s="668"/>
      <c r="Z247" s="541"/>
      <c r="AA247" s="541"/>
      <c r="AB247" s="541"/>
      <c r="AC247" s="542" t="e">
        <f>IF(NFI_Expiration=1,IF(#REF!&lt;VLOOKUP(L$5,NFI,5,0),1,0)*Table_NFI[[#This Row],[NFI Core Kit]],Table_NFI[NFI Core Kit])</f>
        <v>#REF!</v>
      </c>
      <c r="AD247" s="542" t="e">
        <f>IF(NFI_Expiration=1,IF(#REF!&lt;VLOOKUP(M$5,NFI,5,0),1,0)*Table_NFI[[#This Row],[Sanitary Kit]],Table_NFI[Sanitary Kit])</f>
        <v>#REF!</v>
      </c>
      <c r="AE247" s="542" t="e">
        <f>IF(NFI_Expiration=1,IF(#REF!&lt;VLOOKUP(N$5,NFI,5,0),1,0)*Table_NFI[[#This Row],[Mosquito net]],Table_NFI[Mosquito net])</f>
        <v>#REF!</v>
      </c>
      <c r="AF247" s="542" t="e">
        <f>IF(NFI_Expiration=1,IF(#REF!&lt;VLOOKUP(O$5,NFI,5,0),1,0)*Table_NFI[[#This Row],[Tarpaulin]],Table_NFI[[#This Row],[Tarpaulin]])</f>
        <v>#REF!</v>
      </c>
      <c r="AG247" s="542" t="e">
        <f>IF(NFI_Expiration=1,IF(#REF!&lt;VLOOKUP(P$5,NFI,5,0),1,0)*Table_NFI[[#This Row],[Blanket]],Table_NFI[[#This Row],[Blanket]])</f>
        <v>#REF!</v>
      </c>
      <c r="AH247" s="542" t="e">
        <f>IF(NFI_Expiration=1,IF(#REF!&lt;VLOOKUP(Q$5,NFI,5,0),1,0)*Table_NFI[[#This Row],[Kitchen Set]],Table_NFI[Kitchen Set])</f>
        <v>#REF!</v>
      </c>
      <c r="AI247" s="542" t="e">
        <f>IF(NFI_Expiration=1,IF(#REF!&lt;VLOOKUP(R$5,NFI,5,0),1,0)*Table_NFI[[#This Row],[Clothes Kit]],Table_NFI[Clothes Kit])</f>
        <v>#REF!</v>
      </c>
      <c r="AJ247" s="542" t="e">
        <f>IF(NFI_Expiration=1,IF(#REF!&lt;VLOOKUP(S$5,NFI,5,0),1,0)*Table_NFI[[#This Row],[Plastic Bucket]],Table_NFI[Plastic Bucket])</f>
        <v>#REF!</v>
      </c>
      <c r="AK247" s="542" t="e">
        <f>IF(NFI_Expiration=1,IF(#REF!&lt;VLOOKUP(T$5,NFI,5,0),1,0)*Table_NFI[[#This Row],[Plastic Mat]],Table_NFI[Plastic Mat])*IF(Table_NFI[[#This Row],[Distribution Date]]&gt;"2014-04-01",1,2.5)</f>
        <v>#REF!</v>
      </c>
      <c r="AL247" s="542" t="e">
        <f>IF(NFI_Expiration=1,IF(#REF!&lt;VLOOKUP(U$5,NFI,5,0),1,0)*Table_NFI[[#This Row],[Winter Clothes Adult]],Table_NFI[Winter Clothes Adult])</f>
        <v>#REF!</v>
      </c>
      <c r="AM247" s="542"/>
      <c r="AN247" s="542"/>
      <c r="AO247" s="542"/>
      <c r="AP247" s="542">
        <f>IF(Table_NFI[[#This Row],[Winter Clothes Adult]]+Table_NFI[[#This Row],[Winter Clothes Children]]+Table_NFI[[#This Row],[Winter Items Other]]+Table_NFI[[#This Row],[Winter Blanket]]&gt;0,1,0)</f>
        <v>0</v>
      </c>
      <c r="AQ247" s="542"/>
      <c r="AR247" s="542"/>
      <c r="AS247" s="542"/>
      <c r="AT247" s="205" t="str">
        <f>IFERROR(VLOOKUP(Table_NFI[[#This Row],[Location]],CL,2,0),"")</f>
        <v>MMR001CMP261</v>
      </c>
      <c r="AU247" s="183"/>
    </row>
    <row r="248" spans="2:47" x14ac:dyDescent="0.25">
      <c r="B248" s="540">
        <v>43224</v>
      </c>
      <c r="C248" s="540" t="str">
        <f>MONTH(Table_NFI[[#This Row],[Distribution Date]]) &amp; "/" &amp; YEAR(Table_NFI[[#This Row],[Distribution Date]])</f>
        <v>5/2018</v>
      </c>
      <c r="D248" s="668" t="s">
        <v>1637</v>
      </c>
      <c r="E248" s="668" t="s">
        <v>424</v>
      </c>
      <c r="F248" s="668" t="s">
        <v>378</v>
      </c>
      <c r="G248" s="197" t="s">
        <v>173</v>
      </c>
      <c r="H248" s="219" t="s">
        <v>1668</v>
      </c>
      <c r="I248" s="668"/>
      <c r="J248" s="668"/>
      <c r="K248" s="541"/>
      <c r="L248" s="668"/>
      <c r="M248" s="668"/>
      <c r="N248" s="668">
        <v>44</v>
      </c>
      <c r="O248" s="668"/>
      <c r="P248" s="668">
        <v>34</v>
      </c>
      <c r="Q248" s="668"/>
      <c r="R248" s="541"/>
      <c r="S248" s="668">
        <v>31</v>
      </c>
      <c r="T248" s="668"/>
      <c r="U248" s="541"/>
      <c r="V248" s="541"/>
      <c r="W248" s="541"/>
      <c r="X248" s="541"/>
      <c r="Y248" s="668"/>
      <c r="Z248" s="541"/>
      <c r="AA248" s="541"/>
      <c r="AB248" s="541"/>
      <c r="AC248" s="542" t="e">
        <f>IF(NFI_Expiration=1,IF(#REF!&lt;VLOOKUP(L$5,NFI,5,0),1,0)*Table_NFI[[#This Row],[NFI Core Kit]],Table_NFI[NFI Core Kit])</f>
        <v>#REF!</v>
      </c>
      <c r="AD248" s="542" t="e">
        <f>IF(NFI_Expiration=1,IF(#REF!&lt;VLOOKUP(M$5,NFI,5,0),1,0)*Table_NFI[[#This Row],[Sanitary Kit]],Table_NFI[Sanitary Kit])</f>
        <v>#REF!</v>
      </c>
      <c r="AE248" s="542" t="e">
        <f>IF(NFI_Expiration=1,IF(#REF!&lt;VLOOKUP(N$5,NFI,5,0),1,0)*Table_NFI[[#This Row],[Mosquito net]],Table_NFI[Mosquito net])</f>
        <v>#REF!</v>
      </c>
      <c r="AF248" s="542" t="e">
        <f>IF(NFI_Expiration=1,IF(#REF!&lt;VLOOKUP(O$5,NFI,5,0),1,0)*Table_NFI[[#This Row],[Tarpaulin]],Table_NFI[[#This Row],[Tarpaulin]])</f>
        <v>#REF!</v>
      </c>
      <c r="AG248" s="542" t="e">
        <f>IF(NFI_Expiration=1,IF(#REF!&lt;VLOOKUP(P$5,NFI,5,0),1,0)*Table_NFI[[#This Row],[Blanket]],Table_NFI[[#This Row],[Blanket]])</f>
        <v>#REF!</v>
      </c>
      <c r="AH248" s="542" t="e">
        <f>IF(NFI_Expiration=1,IF(#REF!&lt;VLOOKUP(Q$5,NFI,5,0),1,0)*Table_NFI[[#This Row],[Kitchen Set]],Table_NFI[Kitchen Set])</f>
        <v>#REF!</v>
      </c>
      <c r="AI248" s="542" t="e">
        <f>IF(NFI_Expiration=1,IF(#REF!&lt;VLOOKUP(R$5,NFI,5,0),1,0)*Table_NFI[[#This Row],[Clothes Kit]],Table_NFI[Clothes Kit])</f>
        <v>#REF!</v>
      </c>
      <c r="AJ248" s="542" t="e">
        <f>IF(NFI_Expiration=1,IF(#REF!&lt;VLOOKUP(S$5,NFI,5,0),1,0)*Table_NFI[[#This Row],[Plastic Bucket]],Table_NFI[Plastic Bucket])</f>
        <v>#REF!</v>
      </c>
      <c r="AK248" s="542" t="e">
        <f>IF(NFI_Expiration=1,IF(#REF!&lt;VLOOKUP(T$5,NFI,5,0),1,0)*Table_NFI[[#This Row],[Plastic Mat]],Table_NFI[Plastic Mat])*IF(Table_NFI[[#This Row],[Distribution Date]]&gt;"2014-04-01",1,2.5)</f>
        <v>#REF!</v>
      </c>
      <c r="AL248" s="542" t="e">
        <f>IF(NFI_Expiration=1,IF(#REF!&lt;VLOOKUP(U$5,NFI,5,0),1,0)*Table_NFI[[#This Row],[Winter Clothes Adult]],Table_NFI[Winter Clothes Adult])</f>
        <v>#REF!</v>
      </c>
      <c r="AM248" s="542"/>
      <c r="AN248" s="542"/>
      <c r="AO248" s="542"/>
      <c r="AP248" s="542">
        <f>IF(Table_NFI[[#This Row],[Winter Clothes Adult]]+Table_NFI[[#This Row],[Winter Clothes Children]]+Table_NFI[[#This Row],[Winter Items Other]]+Table_NFI[[#This Row],[Winter Blanket]]&gt;0,1,0)</f>
        <v>0</v>
      </c>
      <c r="AQ248" s="542"/>
      <c r="AR248" s="542"/>
      <c r="AS248" s="542"/>
      <c r="AT248" s="205" t="str">
        <f>IFERROR(VLOOKUP(Table_NFI[[#This Row],[Location]],CL,2,0),"")</f>
        <v>MMR001CMP262</v>
      </c>
      <c r="AU248" s="183"/>
    </row>
    <row r="249" spans="2:47" x14ac:dyDescent="0.25">
      <c r="B249" s="540">
        <v>43224</v>
      </c>
      <c r="C249" s="540" t="str">
        <f>MONTH(Table_NFI[[#This Row],[Distribution Date]]) &amp; "/" &amp; YEAR(Table_NFI[[#This Row],[Distribution Date]])</f>
        <v>5/2018</v>
      </c>
      <c r="D249" s="668" t="s">
        <v>1637</v>
      </c>
      <c r="E249" s="668" t="s">
        <v>424</v>
      </c>
      <c r="F249" s="668" t="s">
        <v>378</v>
      </c>
      <c r="G249" s="197" t="s">
        <v>173</v>
      </c>
      <c r="H249" s="219" t="s">
        <v>1665</v>
      </c>
      <c r="I249" s="668"/>
      <c r="J249" s="668"/>
      <c r="K249" s="541"/>
      <c r="L249" s="668"/>
      <c r="M249" s="668"/>
      <c r="N249" s="668">
        <v>167</v>
      </c>
      <c r="O249" s="668"/>
      <c r="P249" s="668"/>
      <c r="Q249" s="668"/>
      <c r="R249" s="541"/>
      <c r="S249" s="668">
        <v>72</v>
      </c>
      <c r="T249" s="668"/>
      <c r="U249" s="541"/>
      <c r="V249" s="541"/>
      <c r="W249" s="541"/>
      <c r="X249" s="541"/>
      <c r="Y249" s="668"/>
      <c r="Z249" s="541"/>
      <c r="AA249" s="541"/>
      <c r="AB249" s="541"/>
      <c r="AC249" s="542" t="e">
        <f>IF(NFI_Expiration=1,IF(#REF!&lt;VLOOKUP(L$5,NFI,5,0),1,0)*Table_NFI[[#This Row],[NFI Core Kit]],Table_NFI[NFI Core Kit])</f>
        <v>#REF!</v>
      </c>
      <c r="AD249" s="542" t="e">
        <f>IF(NFI_Expiration=1,IF(#REF!&lt;VLOOKUP(M$5,NFI,5,0),1,0)*Table_NFI[[#This Row],[Sanitary Kit]],Table_NFI[Sanitary Kit])</f>
        <v>#REF!</v>
      </c>
      <c r="AE249" s="542" t="e">
        <f>IF(NFI_Expiration=1,IF(#REF!&lt;VLOOKUP(N$5,NFI,5,0),1,0)*Table_NFI[[#This Row],[Mosquito net]],Table_NFI[Mosquito net])</f>
        <v>#REF!</v>
      </c>
      <c r="AF249" s="542" t="e">
        <f>IF(NFI_Expiration=1,IF(#REF!&lt;VLOOKUP(O$5,NFI,5,0),1,0)*Table_NFI[[#This Row],[Tarpaulin]],Table_NFI[[#This Row],[Tarpaulin]])</f>
        <v>#REF!</v>
      </c>
      <c r="AG249" s="542" t="e">
        <f>IF(NFI_Expiration=1,IF(#REF!&lt;VLOOKUP(P$5,NFI,5,0),1,0)*Table_NFI[[#This Row],[Blanket]],Table_NFI[[#This Row],[Blanket]])</f>
        <v>#REF!</v>
      </c>
      <c r="AH249" s="542" t="e">
        <f>IF(NFI_Expiration=1,IF(#REF!&lt;VLOOKUP(Q$5,NFI,5,0),1,0)*Table_NFI[[#This Row],[Kitchen Set]],Table_NFI[Kitchen Set])</f>
        <v>#REF!</v>
      </c>
      <c r="AI249" s="542" t="e">
        <f>IF(NFI_Expiration=1,IF(#REF!&lt;VLOOKUP(R$5,NFI,5,0),1,0)*Table_NFI[[#This Row],[Clothes Kit]],Table_NFI[Clothes Kit])</f>
        <v>#REF!</v>
      </c>
      <c r="AJ249" s="542" t="e">
        <f>IF(NFI_Expiration=1,IF(#REF!&lt;VLOOKUP(S$5,NFI,5,0),1,0)*Table_NFI[[#This Row],[Plastic Bucket]],Table_NFI[Plastic Bucket])</f>
        <v>#REF!</v>
      </c>
      <c r="AK249" s="542" t="e">
        <f>IF(NFI_Expiration=1,IF(#REF!&lt;VLOOKUP(T$5,NFI,5,0),1,0)*Table_NFI[[#This Row],[Plastic Mat]],Table_NFI[Plastic Mat])*IF(Table_NFI[[#This Row],[Distribution Date]]&gt;"2014-04-01",1,2.5)</f>
        <v>#REF!</v>
      </c>
      <c r="AL249" s="542" t="e">
        <f>IF(NFI_Expiration=1,IF(#REF!&lt;VLOOKUP(U$5,NFI,5,0),1,0)*Table_NFI[[#This Row],[Winter Clothes Adult]],Table_NFI[Winter Clothes Adult])</f>
        <v>#REF!</v>
      </c>
      <c r="AM249" s="542"/>
      <c r="AN249" s="542"/>
      <c r="AO249" s="542"/>
      <c r="AP249" s="542">
        <f>IF(Table_NFI[[#This Row],[Winter Clothes Adult]]+Table_NFI[[#This Row],[Winter Clothes Children]]+Table_NFI[[#This Row],[Winter Items Other]]+Table_NFI[[#This Row],[Winter Blanket]]&gt;0,1,0)</f>
        <v>0</v>
      </c>
      <c r="AQ249" s="542"/>
      <c r="AR249" s="542"/>
      <c r="AS249" s="542"/>
      <c r="AT249" s="205" t="str">
        <f>IFERROR(VLOOKUP(Table_NFI[[#This Row],[Location]],CL,2,0),"")</f>
        <v>MMR001CMP260</v>
      </c>
      <c r="AU249" s="183"/>
    </row>
    <row r="250" spans="2:47" x14ac:dyDescent="0.25">
      <c r="B250" s="540">
        <v>43224</v>
      </c>
      <c r="C250" s="540" t="str">
        <f>MONTH(Table_NFI[[#This Row],[Distribution Date]]) &amp; "/" &amp; YEAR(Table_NFI[[#This Row],[Distribution Date]])</f>
        <v>5/2018</v>
      </c>
      <c r="D250" s="668" t="s">
        <v>1637</v>
      </c>
      <c r="E250" s="668" t="s">
        <v>424</v>
      </c>
      <c r="F250" s="668" t="s">
        <v>378</v>
      </c>
      <c r="G250" s="197" t="s">
        <v>173</v>
      </c>
      <c r="H250" s="219" t="s">
        <v>1664</v>
      </c>
      <c r="I250" s="668"/>
      <c r="J250" s="668"/>
      <c r="K250" s="541"/>
      <c r="L250" s="668"/>
      <c r="M250" s="668"/>
      <c r="N250" s="668">
        <v>99</v>
      </c>
      <c r="O250" s="668"/>
      <c r="P250" s="668"/>
      <c r="Q250" s="668"/>
      <c r="R250" s="541"/>
      <c r="S250" s="668">
        <v>45</v>
      </c>
      <c r="T250" s="668"/>
      <c r="U250" s="541"/>
      <c r="V250" s="541"/>
      <c r="W250" s="541"/>
      <c r="X250" s="541"/>
      <c r="Y250" s="668"/>
      <c r="Z250" s="541"/>
      <c r="AA250" s="541"/>
      <c r="AB250" s="541"/>
      <c r="AC250" s="542" t="e">
        <f>IF(NFI_Expiration=1,IF(#REF!&lt;VLOOKUP(L$5,NFI,5,0),1,0)*Table_NFI[[#This Row],[NFI Core Kit]],Table_NFI[NFI Core Kit])</f>
        <v>#REF!</v>
      </c>
      <c r="AD250" s="542" t="e">
        <f>IF(NFI_Expiration=1,IF(#REF!&lt;VLOOKUP(M$5,NFI,5,0),1,0)*Table_NFI[[#This Row],[Sanitary Kit]],Table_NFI[Sanitary Kit])</f>
        <v>#REF!</v>
      </c>
      <c r="AE250" s="542" t="e">
        <f>IF(NFI_Expiration=1,IF(#REF!&lt;VLOOKUP(N$5,NFI,5,0),1,0)*Table_NFI[[#This Row],[Mosquito net]],Table_NFI[Mosquito net])</f>
        <v>#REF!</v>
      </c>
      <c r="AF250" s="542" t="e">
        <f>IF(NFI_Expiration=1,IF(#REF!&lt;VLOOKUP(O$5,NFI,5,0),1,0)*Table_NFI[[#This Row],[Tarpaulin]],Table_NFI[[#This Row],[Tarpaulin]])</f>
        <v>#REF!</v>
      </c>
      <c r="AG250" s="542" t="e">
        <f>IF(NFI_Expiration=1,IF(#REF!&lt;VLOOKUP(P$5,NFI,5,0),1,0)*Table_NFI[[#This Row],[Blanket]],Table_NFI[[#This Row],[Blanket]])</f>
        <v>#REF!</v>
      </c>
      <c r="AH250" s="542" t="e">
        <f>IF(NFI_Expiration=1,IF(#REF!&lt;VLOOKUP(Q$5,NFI,5,0),1,0)*Table_NFI[[#This Row],[Kitchen Set]],Table_NFI[Kitchen Set])</f>
        <v>#REF!</v>
      </c>
      <c r="AI250" s="542" t="e">
        <f>IF(NFI_Expiration=1,IF(#REF!&lt;VLOOKUP(R$5,NFI,5,0),1,0)*Table_NFI[[#This Row],[Clothes Kit]],Table_NFI[Clothes Kit])</f>
        <v>#REF!</v>
      </c>
      <c r="AJ250" s="542" t="e">
        <f>IF(NFI_Expiration=1,IF(#REF!&lt;VLOOKUP(S$5,NFI,5,0),1,0)*Table_NFI[[#This Row],[Plastic Bucket]],Table_NFI[Plastic Bucket])</f>
        <v>#REF!</v>
      </c>
      <c r="AK250" s="542" t="e">
        <f>IF(NFI_Expiration=1,IF(#REF!&lt;VLOOKUP(T$5,NFI,5,0),1,0)*Table_NFI[[#This Row],[Plastic Mat]],Table_NFI[Plastic Mat])*IF(Table_NFI[[#This Row],[Distribution Date]]&gt;"2014-04-01",1,2.5)</f>
        <v>#REF!</v>
      </c>
      <c r="AL250" s="542" t="e">
        <f>IF(NFI_Expiration=1,IF(#REF!&lt;VLOOKUP(U$5,NFI,5,0),1,0)*Table_NFI[[#This Row],[Winter Clothes Adult]],Table_NFI[Winter Clothes Adult])</f>
        <v>#REF!</v>
      </c>
      <c r="AM250" s="542"/>
      <c r="AN250" s="542"/>
      <c r="AO250" s="542"/>
      <c r="AP250" s="542">
        <f>IF(Table_NFI[[#This Row],[Winter Clothes Adult]]+Table_NFI[[#This Row],[Winter Clothes Children]]+Table_NFI[[#This Row],[Winter Items Other]]+Table_NFI[[#This Row],[Winter Blanket]]&gt;0,1,0)</f>
        <v>0</v>
      </c>
      <c r="AQ250" s="542"/>
      <c r="AR250" s="542"/>
      <c r="AS250" s="542"/>
      <c r="AT250" s="205" t="str">
        <f>IFERROR(VLOOKUP(Table_NFI[[#This Row],[Location]],CL,2,0),"")</f>
        <v>MMR001CMP259</v>
      </c>
      <c r="AU250" s="183"/>
    </row>
    <row r="251" spans="2:47" x14ac:dyDescent="0.25">
      <c r="B251" s="540">
        <v>43230</v>
      </c>
      <c r="C251" s="540" t="str">
        <f>MONTH(Table_NFI[[#This Row],[Distribution Date]]) &amp; "/" &amp; YEAR(Table_NFI[[#This Row],[Distribution Date]])</f>
        <v>5/2018</v>
      </c>
      <c r="D251" s="668" t="s">
        <v>1563</v>
      </c>
      <c r="E251" s="668" t="s">
        <v>1563</v>
      </c>
      <c r="F251" s="668" t="s">
        <v>378</v>
      </c>
      <c r="G251" s="197" t="s">
        <v>27</v>
      </c>
      <c r="H251" s="219" t="s">
        <v>363</v>
      </c>
      <c r="I251" s="668"/>
      <c r="J251" s="668"/>
      <c r="K251" s="541"/>
      <c r="L251" s="668"/>
      <c r="M251" s="668"/>
      <c r="N251" s="668">
        <v>100</v>
      </c>
      <c r="O251" s="668">
        <v>20</v>
      </c>
      <c r="P251" s="668">
        <v>100</v>
      </c>
      <c r="Q251" s="668">
        <v>100</v>
      </c>
      <c r="R251" s="541"/>
      <c r="S251" s="668"/>
      <c r="T251" s="668">
        <v>100</v>
      </c>
      <c r="U251" s="541"/>
      <c r="V251" s="541"/>
      <c r="W251" s="541"/>
      <c r="X251" s="541"/>
      <c r="Y251" s="668"/>
      <c r="Z251" s="541"/>
      <c r="AA251" s="541"/>
      <c r="AB251" s="541"/>
      <c r="AC251" s="542" t="e">
        <f>IF(NFI_Expiration=1,IF(#REF!&lt;VLOOKUP(L$5,NFI,5,0),1,0)*Table_NFI[[#This Row],[NFI Core Kit]],Table_NFI[NFI Core Kit])</f>
        <v>#REF!</v>
      </c>
      <c r="AD251" s="542" t="e">
        <f>IF(NFI_Expiration=1,IF(#REF!&lt;VLOOKUP(M$5,NFI,5,0),1,0)*Table_NFI[[#This Row],[Sanitary Kit]],Table_NFI[Sanitary Kit])</f>
        <v>#REF!</v>
      </c>
      <c r="AE251" s="542" t="e">
        <f>IF(NFI_Expiration=1,IF(#REF!&lt;VLOOKUP(N$5,NFI,5,0),1,0)*Table_NFI[[#This Row],[Mosquito net]],Table_NFI[Mosquito net])</f>
        <v>#REF!</v>
      </c>
      <c r="AF251" s="542" t="e">
        <f>IF(NFI_Expiration=1,IF(#REF!&lt;VLOOKUP(O$5,NFI,5,0),1,0)*Table_NFI[[#This Row],[Tarpaulin]],Table_NFI[[#This Row],[Tarpaulin]])</f>
        <v>#REF!</v>
      </c>
      <c r="AG251" s="542" t="e">
        <f>IF(NFI_Expiration=1,IF(#REF!&lt;VLOOKUP(P$5,NFI,5,0),1,0)*Table_NFI[[#This Row],[Blanket]],Table_NFI[[#This Row],[Blanket]])</f>
        <v>#REF!</v>
      </c>
      <c r="AH251" s="542" t="e">
        <f>IF(NFI_Expiration=1,IF(#REF!&lt;VLOOKUP(Q$5,NFI,5,0),1,0)*Table_NFI[[#This Row],[Kitchen Set]],Table_NFI[Kitchen Set])</f>
        <v>#REF!</v>
      </c>
      <c r="AI251" s="542" t="e">
        <f>IF(NFI_Expiration=1,IF(#REF!&lt;VLOOKUP(R$5,NFI,5,0),1,0)*Table_NFI[[#This Row],[Clothes Kit]],Table_NFI[Clothes Kit])</f>
        <v>#REF!</v>
      </c>
      <c r="AJ251" s="542" t="e">
        <f>IF(NFI_Expiration=1,IF(#REF!&lt;VLOOKUP(S$5,NFI,5,0),1,0)*Table_NFI[[#This Row],[Plastic Bucket]],Table_NFI[Plastic Bucket])</f>
        <v>#REF!</v>
      </c>
      <c r="AK251" s="542" t="e">
        <f>IF(NFI_Expiration=1,IF(#REF!&lt;VLOOKUP(T$5,NFI,5,0),1,0)*Table_NFI[[#This Row],[Plastic Mat]],Table_NFI[Plastic Mat])*IF(Table_NFI[[#This Row],[Distribution Date]]&gt;"2014-04-01",1,2.5)</f>
        <v>#REF!</v>
      </c>
      <c r="AL251" s="542" t="e">
        <f>IF(NFI_Expiration=1,IF(#REF!&lt;VLOOKUP(U$5,NFI,5,0),1,0)*Table_NFI[[#This Row],[Winter Clothes Adult]],Table_NFI[Winter Clothes Adult])</f>
        <v>#REF!</v>
      </c>
      <c r="AM251" s="542"/>
      <c r="AN251" s="542"/>
      <c r="AO251" s="542"/>
      <c r="AP251" s="542">
        <f>IF(Table_NFI[[#This Row],[Winter Clothes Adult]]+Table_NFI[[#This Row],[Winter Clothes Children]]+Table_NFI[[#This Row],[Winter Items Other]]+Table_NFI[[#This Row],[Winter Blanket]]&gt;0,1,0)</f>
        <v>0</v>
      </c>
      <c r="AQ251" s="542"/>
      <c r="AR251" s="542"/>
      <c r="AS251" s="542"/>
      <c r="AT251" s="205" t="str">
        <f>IFERROR(VLOOKUP(Table_NFI[[#This Row],[Location]],CL,2,0),"")</f>
        <v>MMR001CMP195</v>
      </c>
      <c r="AU251" s="183"/>
    </row>
    <row r="252" spans="2:47" x14ac:dyDescent="0.25">
      <c r="B252" s="540">
        <v>43230</v>
      </c>
      <c r="C252" s="540" t="str">
        <f>MONTH(Table_NFI[[#This Row],[Distribution Date]]) &amp; "/" &amp; YEAR(Table_NFI[[#This Row],[Distribution Date]])</f>
        <v>5/2018</v>
      </c>
      <c r="D252" s="668" t="s">
        <v>1563</v>
      </c>
      <c r="E252" s="668" t="s">
        <v>1563</v>
      </c>
      <c r="F252" s="668" t="s">
        <v>378</v>
      </c>
      <c r="G252" s="197" t="s">
        <v>27</v>
      </c>
      <c r="H252" s="684" t="s">
        <v>28</v>
      </c>
      <c r="I252" s="679"/>
      <c r="J252" s="680"/>
      <c r="K252" s="680"/>
      <c r="L252" s="680"/>
      <c r="M252" s="680"/>
      <c r="N252" s="683">
        <v>30</v>
      </c>
      <c r="O252" s="683"/>
      <c r="P252" s="683">
        <v>30</v>
      </c>
      <c r="Q252" s="683">
        <v>30</v>
      </c>
      <c r="R252" s="683"/>
      <c r="S252" s="683"/>
      <c r="T252" s="683">
        <v>30</v>
      </c>
      <c r="U252" s="680"/>
      <c r="V252" s="680"/>
      <c r="W252" s="680"/>
      <c r="X252" s="680"/>
      <c r="Y252" s="680"/>
      <c r="Z252" s="680"/>
      <c r="AA252" s="680"/>
      <c r="AB252" s="680"/>
      <c r="AC252" s="681" t="e">
        <f>IF(NFI_Expiration=1,IF(#REF!&lt;VLOOKUP(L$5,NFI,5,0),1,0)*Table_NFI[[#This Row],[NFI Core Kit]],Table_NFI[NFI Core Kit])</f>
        <v>#REF!</v>
      </c>
      <c r="AD252" s="681" t="e">
        <f>IF(NFI_Expiration=1,IF(#REF!&lt;VLOOKUP(M$5,NFI,5,0),1,0)*Table_NFI[[#This Row],[Sanitary Kit]],Table_NFI[Sanitary Kit])</f>
        <v>#REF!</v>
      </c>
      <c r="AE252" s="681" t="e">
        <f>IF(NFI_Expiration=1,IF(#REF!&lt;VLOOKUP(N$5,NFI,5,0),1,0)*Table_NFI[[#This Row],[Mosquito net]],Table_NFI[Mosquito net])</f>
        <v>#REF!</v>
      </c>
      <c r="AF252" s="681" t="e">
        <f>IF(NFI_Expiration=1,IF(#REF!&lt;VLOOKUP(O$5,NFI,5,0),1,0)*Table_NFI[[#This Row],[Tarpaulin]],Table_NFI[[#This Row],[Tarpaulin]])</f>
        <v>#REF!</v>
      </c>
      <c r="AG252" s="681" t="e">
        <f>IF(NFI_Expiration=1,IF(#REF!&lt;VLOOKUP(P$5,NFI,5,0),1,0)*Table_NFI[[#This Row],[Blanket]],Table_NFI[[#This Row],[Blanket]])</f>
        <v>#REF!</v>
      </c>
      <c r="AH252" s="681" t="e">
        <f>IF(NFI_Expiration=1,IF(#REF!&lt;VLOOKUP(Q$5,NFI,5,0),1,0)*Table_NFI[[#This Row],[Kitchen Set]],Table_NFI[Kitchen Set])</f>
        <v>#REF!</v>
      </c>
      <c r="AI252" s="681" t="e">
        <f>IF(NFI_Expiration=1,IF(#REF!&lt;VLOOKUP(R$5,NFI,5,0),1,0)*Table_NFI[[#This Row],[Clothes Kit]],Table_NFI[Clothes Kit])</f>
        <v>#REF!</v>
      </c>
      <c r="AJ252" s="681" t="e">
        <f>IF(NFI_Expiration=1,IF(#REF!&lt;VLOOKUP(S$5,NFI,5,0),1,0)*Table_NFI[[#This Row],[Plastic Bucket]],Table_NFI[Plastic Bucket])</f>
        <v>#REF!</v>
      </c>
      <c r="AK252" s="681" t="e">
        <f>IF(NFI_Expiration=1,IF(#REF!&lt;VLOOKUP(T$5,NFI,5,0),1,0)*Table_NFI[[#This Row],[Plastic Mat]],Table_NFI[Plastic Mat])*IF(Table_NFI[[#This Row],[Distribution Date]]&gt;"2014-04-01",1,2.5)</f>
        <v>#REF!</v>
      </c>
      <c r="AL252" s="681" t="e">
        <f>IF(NFI_Expiration=1,IF(#REF!&lt;VLOOKUP(U$5,NFI,5,0),1,0)*Table_NFI[[#This Row],[Winter Clothes Adult]],Table_NFI[Winter Clothes Adult])</f>
        <v>#REF!</v>
      </c>
      <c r="AM252" s="681"/>
      <c r="AN252" s="681"/>
      <c r="AO252" s="681"/>
      <c r="AP252" s="681">
        <f>IF(Table_NFI[[#This Row],[Winter Clothes Adult]]+Table_NFI[[#This Row],[Winter Clothes Children]]+Table_NFI[[#This Row],[Winter Items Other]]+Table_NFI[[#This Row],[Winter Blanket]]&gt;0,1,0)</f>
        <v>0</v>
      </c>
      <c r="AQ252" s="681"/>
      <c r="AR252" s="681"/>
      <c r="AS252" s="681"/>
      <c r="AT252" s="682" t="str">
        <f>IFERROR(VLOOKUP(Table_NFI[[#This Row],[Location]],CL,2,0),"")</f>
        <v>MMR001CMP042</v>
      </c>
      <c r="AU252" s="679"/>
    </row>
    <row r="253" spans="2:47" x14ac:dyDescent="0.25">
      <c r="B253" s="540">
        <v>43228</v>
      </c>
      <c r="C253" s="540" t="str">
        <f>MONTH(Table_NFI[[#This Row],[Distribution Date]]) &amp; "/" &amp; YEAR(Table_NFI[[#This Row],[Distribution Date]])</f>
        <v>5/2018</v>
      </c>
      <c r="D253" s="668" t="s">
        <v>420</v>
      </c>
      <c r="E253" s="668" t="s">
        <v>420</v>
      </c>
      <c r="F253" s="668" t="s">
        <v>378</v>
      </c>
      <c r="G253" s="197" t="s">
        <v>237</v>
      </c>
      <c r="H253" s="219" t="s">
        <v>1674</v>
      </c>
      <c r="I253" s="668"/>
      <c r="J253" s="668"/>
      <c r="K253" s="541"/>
      <c r="L253" s="668"/>
      <c r="M253" s="668"/>
      <c r="N253" s="668"/>
      <c r="O253" s="668">
        <v>26</v>
      </c>
      <c r="P253" s="668"/>
      <c r="Q253" s="668"/>
      <c r="R253" s="541"/>
      <c r="S253" s="668"/>
      <c r="T253" s="668"/>
      <c r="U253" s="541"/>
      <c r="V253" s="541"/>
      <c r="W253" s="541"/>
      <c r="X253" s="541"/>
      <c r="Y253" s="668"/>
      <c r="Z253" s="541"/>
      <c r="AA253" s="541"/>
      <c r="AB253" s="541"/>
      <c r="AC253" s="542" t="e">
        <f>IF(NFI_Expiration=1,IF(#REF!&lt;VLOOKUP(L$5,NFI,5,0),1,0)*Table_NFI[[#This Row],[NFI Core Kit]],Table_NFI[NFI Core Kit])</f>
        <v>#REF!</v>
      </c>
      <c r="AD253" s="542" t="e">
        <f>IF(NFI_Expiration=1,IF(#REF!&lt;VLOOKUP(M$5,NFI,5,0),1,0)*Table_NFI[[#This Row],[Sanitary Kit]],Table_NFI[Sanitary Kit])</f>
        <v>#REF!</v>
      </c>
      <c r="AE253" s="542" t="e">
        <f>IF(NFI_Expiration=1,IF(#REF!&lt;VLOOKUP(N$5,NFI,5,0),1,0)*Table_NFI[[#This Row],[Mosquito net]],Table_NFI[Mosquito net])</f>
        <v>#REF!</v>
      </c>
      <c r="AF253" s="542" t="e">
        <f>IF(NFI_Expiration=1,IF(#REF!&lt;VLOOKUP(O$5,NFI,5,0),1,0)*Table_NFI[[#This Row],[Tarpaulin]],Table_NFI[[#This Row],[Tarpaulin]])</f>
        <v>#REF!</v>
      </c>
      <c r="AG253" s="542" t="e">
        <f>IF(NFI_Expiration=1,IF(#REF!&lt;VLOOKUP(P$5,NFI,5,0),1,0)*Table_NFI[[#This Row],[Blanket]],Table_NFI[[#This Row],[Blanket]])</f>
        <v>#REF!</v>
      </c>
      <c r="AH253" s="542" t="e">
        <f>IF(NFI_Expiration=1,IF(#REF!&lt;VLOOKUP(Q$5,NFI,5,0),1,0)*Table_NFI[[#This Row],[Kitchen Set]],Table_NFI[Kitchen Set])</f>
        <v>#REF!</v>
      </c>
      <c r="AI253" s="542" t="e">
        <f>IF(NFI_Expiration=1,IF(#REF!&lt;VLOOKUP(R$5,NFI,5,0),1,0)*Table_NFI[[#This Row],[Clothes Kit]],Table_NFI[Clothes Kit])</f>
        <v>#REF!</v>
      </c>
      <c r="AJ253" s="542" t="e">
        <f>IF(NFI_Expiration=1,IF(#REF!&lt;VLOOKUP(S$5,NFI,5,0),1,0)*Table_NFI[[#This Row],[Plastic Bucket]],Table_NFI[Plastic Bucket])</f>
        <v>#REF!</v>
      </c>
      <c r="AK253" s="542" t="e">
        <f>IF(NFI_Expiration=1,IF(#REF!&lt;VLOOKUP(T$5,NFI,5,0),1,0)*Table_NFI[[#This Row],[Plastic Mat]],Table_NFI[Plastic Mat])*IF(Table_NFI[[#This Row],[Distribution Date]]&gt;"2014-04-01",1,2.5)</f>
        <v>#REF!</v>
      </c>
      <c r="AL253" s="542" t="e">
        <f>IF(NFI_Expiration=1,IF(#REF!&lt;VLOOKUP(U$5,NFI,5,0),1,0)*Table_NFI[[#This Row],[Winter Clothes Adult]],Table_NFI[Winter Clothes Adult])</f>
        <v>#REF!</v>
      </c>
      <c r="AM253" s="542"/>
      <c r="AN253" s="542"/>
      <c r="AO253" s="542"/>
      <c r="AP253" s="542">
        <f>IF(Table_NFI[[#This Row],[Winter Clothes Adult]]+Table_NFI[[#This Row],[Winter Clothes Children]]+Table_NFI[[#This Row],[Winter Items Other]]+Table_NFI[[#This Row],[Winter Blanket]]&gt;0,1,0)</f>
        <v>0</v>
      </c>
      <c r="AQ253" s="542"/>
      <c r="AR253" s="542"/>
      <c r="AS253" s="542"/>
      <c r="AT253" s="205" t="str">
        <f>IFERROR(VLOOKUP(Table_NFI[[#This Row],[Location]],CL,2,0),"")</f>
        <v>MMR001CMP264</v>
      </c>
      <c r="AU253" s="183"/>
    </row>
    <row r="254" spans="2:47" x14ac:dyDescent="0.25">
      <c r="B254" s="540">
        <v>43228</v>
      </c>
      <c r="C254" s="540" t="str">
        <f>MONTH(Table_NFI[[#This Row],[Distribution Date]]) &amp; "/" &amp; YEAR(Table_NFI[[#This Row],[Distribution Date]])</f>
        <v>5/2018</v>
      </c>
      <c r="D254" s="668" t="s">
        <v>420</v>
      </c>
      <c r="E254" s="668" t="s">
        <v>1626</v>
      </c>
      <c r="F254" s="668" t="s">
        <v>378</v>
      </c>
      <c r="G254" s="197" t="s">
        <v>480</v>
      </c>
      <c r="H254" s="219" t="s">
        <v>1642</v>
      </c>
      <c r="I254" s="668"/>
      <c r="J254" s="668"/>
      <c r="K254" s="541"/>
      <c r="L254" s="668"/>
      <c r="M254" s="668"/>
      <c r="N254" s="668"/>
      <c r="O254" s="668"/>
      <c r="P254" s="668"/>
      <c r="Q254" s="668">
        <v>40</v>
      </c>
      <c r="R254" s="541"/>
      <c r="S254" s="668"/>
      <c r="T254" s="668"/>
      <c r="U254" s="541"/>
      <c r="V254" s="541"/>
      <c r="W254" s="541"/>
      <c r="X254" s="541"/>
      <c r="Y254" s="668"/>
      <c r="Z254" s="541"/>
      <c r="AA254" s="541"/>
      <c r="AB254" s="541"/>
      <c r="AC254" s="542" t="e">
        <f>IF(NFI_Expiration=1,IF(#REF!&lt;VLOOKUP(L$5,NFI,5,0),1,0)*Table_NFI[[#This Row],[NFI Core Kit]],Table_NFI[NFI Core Kit])</f>
        <v>#REF!</v>
      </c>
      <c r="AD254" s="542" t="e">
        <f>IF(NFI_Expiration=1,IF(#REF!&lt;VLOOKUP(M$5,NFI,5,0),1,0)*Table_NFI[[#This Row],[Sanitary Kit]],Table_NFI[Sanitary Kit])</f>
        <v>#REF!</v>
      </c>
      <c r="AE254" s="542" t="e">
        <f>IF(NFI_Expiration=1,IF(#REF!&lt;VLOOKUP(N$5,NFI,5,0),1,0)*Table_NFI[[#This Row],[Mosquito net]],Table_NFI[Mosquito net])</f>
        <v>#REF!</v>
      </c>
      <c r="AF254" s="542" t="e">
        <f>IF(NFI_Expiration=1,IF(#REF!&lt;VLOOKUP(O$5,NFI,5,0),1,0)*Table_NFI[[#This Row],[Tarpaulin]],Table_NFI[[#This Row],[Tarpaulin]])</f>
        <v>#REF!</v>
      </c>
      <c r="AG254" s="542" t="e">
        <f>IF(NFI_Expiration=1,IF(#REF!&lt;VLOOKUP(P$5,NFI,5,0),1,0)*Table_NFI[[#This Row],[Blanket]],Table_NFI[[#This Row],[Blanket]])</f>
        <v>#REF!</v>
      </c>
      <c r="AH254" s="542" t="e">
        <f>IF(NFI_Expiration=1,IF(#REF!&lt;VLOOKUP(Q$5,NFI,5,0),1,0)*Table_NFI[[#This Row],[Kitchen Set]],Table_NFI[Kitchen Set])</f>
        <v>#REF!</v>
      </c>
      <c r="AI254" s="542" t="e">
        <f>IF(NFI_Expiration=1,IF(#REF!&lt;VLOOKUP(R$5,NFI,5,0),1,0)*Table_NFI[[#This Row],[Clothes Kit]],Table_NFI[Clothes Kit])</f>
        <v>#REF!</v>
      </c>
      <c r="AJ254" s="542" t="e">
        <f>IF(NFI_Expiration=1,IF(#REF!&lt;VLOOKUP(S$5,NFI,5,0),1,0)*Table_NFI[[#This Row],[Plastic Bucket]],Table_NFI[Plastic Bucket])</f>
        <v>#REF!</v>
      </c>
      <c r="AK254" s="542" t="e">
        <f>IF(NFI_Expiration=1,IF(#REF!&lt;VLOOKUP(T$5,NFI,5,0),1,0)*Table_NFI[[#This Row],[Plastic Mat]],Table_NFI[Plastic Mat])*IF(Table_NFI[[#This Row],[Distribution Date]]&gt;"2014-04-01",1,2.5)</f>
        <v>#REF!</v>
      </c>
      <c r="AL254" s="542" t="e">
        <f>IF(NFI_Expiration=1,IF(#REF!&lt;VLOOKUP(U$5,NFI,5,0),1,0)*Table_NFI[[#This Row],[Winter Clothes Adult]],Table_NFI[Winter Clothes Adult])</f>
        <v>#REF!</v>
      </c>
      <c r="AM254" s="542"/>
      <c r="AN254" s="542"/>
      <c r="AO254" s="542"/>
      <c r="AP254" s="542">
        <f>IF(Table_NFI[[#This Row],[Winter Clothes Adult]]+Table_NFI[[#This Row],[Winter Clothes Children]]+Table_NFI[[#This Row],[Winter Items Other]]+Table_NFI[[#This Row],[Winter Blanket]]&gt;0,1,0)</f>
        <v>0</v>
      </c>
      <c r="AQ254" s="542"/>
      <c r="AR254" s="542"/>
      <c r="AS254" s="542"/>
      <c r="AT254" s="205" t="str">
        <f>IFERROR(VLOOKUP(Table_NFI[[#This Row],[Location]],CL,2,0),"")</f>
        <v>MMR001CMP268</v>
      </c>
      <c r="AU254" s="183"/>
    </row>
    <row r="255" spans="2:47" x14ac:dyDescent="0.25">
      <c r="B255" s="540">
        <v>43228</v>
      </c>
      <c r="C255" s="540" t="str">
        <f>MONTH(Table_NFI[[#This Row],[Distribution Date]]) &amp; "/" &amp; YEAR(Table_NFI[[#This Row],[Distribution Date]])</f>
        <v>5/2018</v>
      </c>
      <c r="D255" s="668" t="s">
        <v>420</v>
      </c>
      <c r="E255" s="668" t="s">
        <v>1626</v>
      </c>
      <c r="F255" s="668" t="s">
        <v>378</v>
      </c>
      <c r="G255" s="197" t="s">
        <v>237</v>
      </c>
      <c r="H255" s="219" t="s">
        <v>1674</v>
      </c>
      <c r="I255" s="668"/>
      <c r="J255" s="668">
        <v>251</v>
      </c>
      <c r="K255" s="541"/>
      <c r="L255" s="668"/>
      <c r="M255" s="668"/>
      <c r="N255" s="668"/>
      <c r="O255" s="668"/>
      <c r="P255" s="668"/>
      <c r="Q255" s="668">
        <v>251</v>
      </c>
      <c r="R255" s="541"/>
      <c r="S255" s="668"/>
      <c r="T255" s="668"/>
      <c r="U255" s="541"/>
      <c r="V255" s="541"/>
      <c r="W255" s="541"/>
      <c r="X255" s="541"/>
      <c r="Y255" s="668"/>
      <c r="Z255" s="541"/>
      <c r="AA255" s="541"/>
      <c r="AB255" s="541"/>
      <c r="AC255" s="542" t="e">
        <f>IF(NFI_Expiration=1,IF(#REF!&lt;VLOOKUP(L$5,NFI,5,0),1,0)*Table_NFI[[#This Row],[NFI Core Kit]],Table_NFI[NFI Core Kit])</f>
        <v>#REF!</v>
      </c>
      <c r="AD255" s="542" t="e">
        <f>IF(NFI_Expiration=1,IF(#REF!&lt;VLOOKUP(M$5,NFI,5,0),1,0)*Table_NFI[[#This Row],[Sanitary Kit]],Table_NFI[Sanitary Kit])</f>
        <v>#REF!</v>
      </c>
      <c r="AE255" s="542" t="e">
        <f>IF(NFI_Expiration=1,IF(#REF!&lt;VLOOKUP(N$5,NFI,5,0),1,0)*Table_NFI[[#This Row],[Mosquito net]],Table_NFI[Mosquito net])</f>
        <v>#REF!</v>
      </c>
      <c r="AF255" s="542" t="e">
        <f>IF(NFI_Expiration=1,IF(#REF!&lt;VLOOKUP(O$5,NFI,5,0),1,0)*Table_NFI[[#This Row],[Tarpaulin]],Table_NFI[[#This Row],[Tarpaulin]])</f>
        <v>#REF!</v>
      </c>
      <c r="AG255" s="542" t="e">
        <f>IF(NFI_Expiration=1,IF(#REF!&lt;VLOOKUP(P$5,NFI,5,0),1,0)*Table_NFI[[#This Row],[Blanket]],Table_NFI[[#This Row],[Blanket]])</f>
        <v>#REF!</v>
      </c>
      <c r="AH255" s="542" t="e">
        <f>IF(NFI_Expiration=1,IF(#REF!&lt;VLOOKUP(Q$5,NFI,5,0),1,0)*Table_NFI[[#This Row],[Kitchen Set]],Table_NFI[Kitchen Set])</f>
        <v>#REF!</v>
      </c>
      <c r="AI255" s="542" t="e">
        <f>IF(NFI_Expiration=1,IF(#REF!&lt;VLOOKUP(R$5,NFI,5,0),1,0)*Table_NFI[[#This Row],[Clothes Kit]],Table_NFI[Clothes Kit])</f>
        <v>#REF!</v>
      </c>
      <c r="AJ255" s="542" t="e">
        <f>IF(NFI_Expiration=1,IF(#REF!&lt;VLOOKUP(S$5,NFI,5,0),1,0)*Table_NFI[[#This Row],[Plastic Bucket]],Table_NFI[Plastic Bucket])</f>
        <v>#REF!</v>
      </c>
      <c r="AK255" s="542" t="e">
        <f>IF(NFI_Expiration=1,IF(#REF!&lt;VLOOKUP(T$5,NFI,5,0),1,0)*Table_NFI[[#This Row],[Plastic Mat]],Table_NFI[Plastic Mat])*IF(Table_NFI[[#This Row],[Distribution Date]]&gt;"2014-04-01",1,2.5)</f>
        <v>#REF!</v>
      </c>
      <c r="AL255" s="542" t="e">
        <f>IF(NFI_Expiration=1,IF(#REF!&lt;VLOOKUP(U$5,NFI,5,0),1,0)*Table_NFI[[#This Row],[Winter Clothes Adult]],Table_NFI[Winter Clothes Adult])</f>
        <v>#REF!</v>
      </c>
      <c r="AM255" s="542"/>
      <c r="AN255" s="542"/>
      <c r="AO255" s="542"/>
      <c r="AP255" s="542">
        <f>IF(Table_NFI[[#This Row],[Winter Clothes Adult]]+Table_NFI[[#This Row],[Winter Clothes Children]]+Table_NFI[[#This Row],[Winter Items Other]]+Table_NFI[[#This Row],[Winter Blanket]]&gt;0,1,0)</f>
        <v>0</v>
      </c>
      <c r="AQ255" s="542"/>
      <c r="AR255" s="542"/>
      <c r="AS255" s="542"/>
      <c r="AT255" s="205" t="str">
        <f>IFERROR(VLOOKUP(Table_NFI[[#This Row],[Location]],CL,2,0),"")</f>
        <v>MMR001CMP264</v>
      </c>
      <c r="AU255" s="183"/>
    </row>
    <row r="256" spans="2:47" x14ac:dyDescent="0.25">
      <c r="B256" s="540">
        <v>43228</v>
      </c>
      <c r="C256" s="540" t="str">
        <f>MONTH(Table_NFI[[#This Row],[Distribution Date]]) &amp; "/" &amp; YEAR(Table_NFI[[#This Row],[Distribution Date]])</f>
        <v>5/2018</v>
      </c>
      <c r="D256" s="668" t="s">
        <v>420</v>
      </c>
      <c r="E256" s="668" t="s">
        <v>1626</v>
      </c>
      <c r="F256" s="668" t="s">
        <v>378</v>
      </c>
      <c r="G256" s="197" t="s">
        <v>237</v>
      </c>
      <c r="H256" s="219" t="s">
        <v>1734</v>
      </c>
      <c r="I256" s="668"/>
      <c r="J256" s="668">
        <v>160</v>
      </c>
      <c r="K256" s="541"/>
      <c r="L256" s="668"/>
      <c r="M256" s="668"/>
      <c r="N256" s="668"/>
      <c r="O256" s="668"/>
      <c r="P256" s="668"/>
      <c r="Q256" s="668">
        <v>160</v>
      </c>
      <c r="R256" s="541"/>
      <c r="S256" s="668"/>
      <c r="T256" s="668"/>
      <c r="U256" s="541"/>
      <c r="V256" s="541"/>
      <c r="W256" s="541"/>
      <c r="X256" s="541"/>
      <c r="Y256" s="668"/>
      <c r="Z256" s="541"/>
      <c r="AA256" s="541"/>
      <c r="AB256" s="541"/>
      <c r="AC256" s="542" t="e">
        <f>IF(NFI_Expiration=1,IF(#REF!&lt;VLOOKUP(L$5,NFI,5,0),1,0)*Table_NFI[[#This Row],[NFI Core Kit]],Table_NFI[NFI Core Kit])</f>
        <v>#REF!</v>
      </c>
      <c r="AD256" s="542" t="e">
        <f>IF(NFI_Expiration=1,IF(#REF!&lt;VLOOKUP(M$5,NFI,5,0),1,0)*Table_NFI[[#This Row],[Sanitary Kit]],Table_NFI[Sanitary Kit])</f>
        <v>#REF!</v>
      </c>
      <c r="AE256" s="542" t="e">
        <f>IF(NFI_Expiration=1,IF(#REF!&lt;VLOOKUP(N$5,NFI,5,0),1,0)*Table_NFI[[#This Row],[Mosquito net]],Table_NFI[Mosquito net])</f>
        <v>#REF!</v>
      </c>
      <c r="AF256" s="542" t="e">
        <f>IF(NFI_Expiration=1,IF(#REF!&lt;VLOOKUP(O$5,NFI,5,0),1,0)*Table_NFI[[#This Row],[Tarpaulin]],Table_NFI[[#This Row],[Tarpaulin]])</f>
        <v>#REF!</v>
      </c>
      <c r="AG256" s="542" t="e">
        <f>IF(NFI_Expiration=1,IF(#REF!&lt;VLOOKUP(P$5,NFI,5,0),1,0)*Table_NFI[[#This Row],[Blanket]],Table_NFI[[#This Row],[Blanket]])</f>
        <v>#REF!</v>
      </c>
      <c r="AH256" s="542" t="e">
        <f>IF(NFI_Expiration=1,IF(#REF!&lt;VLOOKUP(Q$5,NFI,5,0),1,0)*Table_NFI[[#This Row],[Kitchen Set]],Table_NFI[Kitchen Set])</f>
        <v>#REF!</v>
      </c>
      <c r="AI256" s="542" t="e">
        <f>IF(NFI_Expiration=1,IF(#REF!&lt;VLOOKUP(R$5,NFI,5,0),1,0)*Table_NFI[[#This Row],[Clothes Kit]],Table_NFI[Clothes Kit])</f>
        <v>#REF!</v>
      </c>
      <c r="AJ256" s="542" t="e">
        <f>IF(NFI_Expiration=1,IF(#REF!&lt;VLOOKUP(S$5,NFI,5,0),1,0)*Table_NFI[[#This Row],[Plastic Bucket]],Table_NFI[Plastic Bucket])</f>
        <v>#REF!</v>
      </c>
      <c r="AK256" s="542" t="e">
        <f>IF(NFI_Expiration=1,IF(#REF!&lt;VLOOKUP(T$5,NFI,5,0),1,0)*Table_NFI[[#This Row],[Plastic Mat]],Table_NFI[Plastic Mat])*IF(Table_NFI[[#This Row],[Distribution Date]]&gt;"2014-04-01",1,2.5)</f>
        <v>#REF!</v>
      </c>
      <c r="AL256" s="542" t="e">
        <f>IF(NFI_Expiration=1,IF(#REF!&lt;VLOOKUP(U$5,NFI,5,0),1,0)*Table_NFI[[#This Row],[Winter Clothes Adult]],Table_NFI[Winter Clothes Adult])</f>
        <v>#REF!</v>
      </c>
      <c r="AM256" s="542"/>
      <c r="AN256" s="542"/>
      <c r="AO256" s="542"/>
      <c r="AP256" s="542">
        <f>IF(Table_NFI[[#This Row],[Winter Clothes Adult]]+Table_NFI[[#This Row],[Winter Clothes Children]]+Table_NFI[[#This Row],[Winter Items Other]]+Table_NFI[[#This Row],[Winter Blanket]]&gt;0,1,0)</f>
        <v>0</v>
      </c>
      <c r="AQ256" s="542"/>
      <c r="AR256" s="542"/>
      <c r="AS256" s="542"/>
      <c r="AT256" s="205" t="str">
        <f>IFERROR(VLOOKUP(Table_NFI[[#This Row],[Location]],CL,2,0),"")</f>
        <v>MMR001CMP263</v>
      </c>
      <c r="AU256" s="183"/>
    </row>
    <row r="257" spans="2:47" x14ac:dyDescent="0.25">
      <c r="B257" s="540">
        <v>43228</v>
      </c>
      <c r="C257" s="540" t="str">
        <f>MONTH(Table_NFI[[#This Row],[Distribution Date]]) &amp; "/" &amp; YEAR(Table_NFI[[#This Row],[Distribution Date]])</f>
        <v>5/2018</v>
      </c>
      <c r="D257" s="668" t="s">
        <v>420</v>
      </c>
      <c r="E257" s="668" t="s">
        <v>1626</v>
      </c>
      <c r="F257" s="668" t="s">
        <v>378</v>
      </c>
      <c r="G257" s="197" t="s">
        <v>1136</v>
      </c>
      <c r="H257" s="219" t="s">
        <v>1403</v>
      </c>
      <c r="I257" s="668"/>
      <c r="J257" s="668">
        <v>101</v>
      </c>
      <c r="K257" s="541"/>
      <c r="L257" s="668"/>
      <c r="M257" s="668"/>
      <c r="N257" s="668"/>
      <c r="O257" s="668"/>
      <c r="P257" s="668"/>
      <c r="Q257" s="668">
        <v>101</v>
      </c>
      <c r="R257" s="541"/>
      <c r="S257" s="668"/>
      <c r="T257" s="668"/>
      <c r="U257" s="541"/>
      <c r="V257" s="541"/>
      <c r="W257" s="541"/>
      <c r="X257" s="541"/>
      <c r="Y257" s="668"/>
      <c r="Z257" s="541"/>
      <c r="AA257" s="541"/>
      <c r="AB257" s="541"/>
      <c r="AC257" s="542" t="e">
        <f>IF(NFI_Expiration=1,IF(#REF!&lt;VLOOKUP(L$5,NFI,5,0),1,0)*Table_NFI[[#This Row],[NFI Core Kit]],Table_NFI[NFI Core Kit])</f>
        <v>#REF!</v>
      </c>
      <c r="AD257" s="542" t="e">
        <f>IF(NFI_Expiration=1,IF(#REF!&lt;VLOOKUP(M$5,NFI,5,0),1,0)*Table_NFI[[#This Row],[Sanitary Kit]],Table_NFI[Sanitary Kit])</f>
        <v>#REF!</v>
      </c>
      <c r="AE257" s="542" t="e">
        <f>IF(NFI_Expiration=1,IF(#REF!&lt;VLOOKUP(N$5,NFI,5,0),1,0)*Table_NFI[[#This Row],[Mosquito net]],Table_NFI[Mosquito net])</f>
        <v>#REF!</v>
      </c>
      <c r="AF257" s="542" t="e">
        <f>IF(NFI_Expiration=1,IF(#REF!&lt;VLOOKUP(O$5,NFI,5,0),1,0)*Table_NFI[[#This Row],[Tarpaulin]],Table_NFI[[#This Row],[Tarpaulin]])</f>
        <v>#REF!</v>
      </c>
      <c r="AG257" s="542" t="e">
        <f>IF(NFI_Expiration=1,IF(#REF!&lt;VLOOKUP(P$5,NFI,5,0),1,0)*Table_NFI[[#This Row],[Blanket]],Table_NFI[[#This Row],[Blanket]])</f>
        <v>#REF!</v>
      </c>
      <c r="AH257" s="542" t="e">
        <f>IF(NFI_Expiration=1,IF(#REF!&lt;VLOOKUP(Q$5,NFI,5,0),1,0)*Table_NFI[[#This Row],[Kitchen Set]],Table_NFI[Kitchen Set])</f>
        <v>#REF!</v>
      </c>
      <c r="AI257" s="542" t="e">
        <f>IF(NFI_Expiration=1,IF(#REF!&lt;VLOOKUP(R$5,NFI,5,0),1,0)*Table_NFI[[#This Row],[Clothes Kit]],Table_NFI[Clothes Kit])</f>
        <v>#REF!</v>
      </c>
      <c r="AJ257" s="542" t="e">
        <f>IF(NFI_Expiration=1,IF(#REF!&lt;VLOOKUP(S$5,NFI,5,0),1,0)*Table_NFI[[#This Row],[Plastic Bucket]],Table_NFI[Plastic Bucket])</f>
        <v>#REF!</v>
      </c>
      <c r="AK257" s="542" t="e">
        <f>IF(NFI_Expiration=1,IF(#REF!&lt;VLOOKUP(T$5,NFI,5,0),1,0)*Table_NFI[[#This Row],[Plastic Mat]],Table_NFI[Plastic Mat])*IF(Table_NFI[[#This Row],[Distribution Date]]&gt;"2014-04-01",1,2.5)</f>
        <v>#REF!</v>
      </c>
      <c r="AL257" s="542" t="e">
        <f>IF(NFI_Expiration=1,IF(#REF!&lt;VLOOKUP(U$5,NFI,5,0),1,0)*Table_NFI[[#This Row],[Winter Clothes Adult]],Table_NFI[Winter Clothes Adult])</f>
        <v>#REF!</v>
      </c>
      <c r="AM257" s="542"/>
      <c r="AN257" s="542"/>
      <c r="AO257" s="542"/>
      <c r="AP257" s="542">
        <f>IF(Table_NFI[[#This Row],[Winter Clothes Adult]]+Table_NFI[[#This Row],[Winter Clothes Children]]+Table_NFI[[#This Row],[Winter Items Other]]+Table_NFI[[#This Row],[Winter Blanket]]&gt;0,1,0)</f>
        <v>0</v>
      </c>
      <c r="AQ257" s="542"/>
      <c r="AR257" s="542"/>
      <c r="AS257" s="542"/>
      <c r="AT257" s="205" t="str">
        <f>IFERROR(VLOOKUP(Table_NFI[[#This Row],[Location]],CL,2,0),"")</f>
        <v/>
      </c>
      <c r="AU257" s="183"/>
    </row>
    <row r="258" spans="2:47" x14ac:dyDescent="0.25">
      <c r="B258" s="540">
        <v>43228</v>
      </c>
      <c r="C258" s="540" t="str">
        <f>MONTH(Table_NFI[[#This Row],[Distribution Date]]) &amp; "/" &amp; YEAR(Table_NFI[[#This Row],[Distribution Date]])</f>
        <v>5/2018</v>
      </c>
      <c r="D258" s="668" t="s">
        <v>420</v>
      </c>
      <c r="E258" s="668" t="s">
        <v>1626</v>
      </c>
      <c r="F258" s="668" t="s">
        <v>378</v>
      </c>
      <c r="G258" s="197" t="s">
        <v>237</v>
      </c>
      <c r="H258" s="219" t="s">
        <v>1735</v>
      </c>
      <c r="I258" s="668"/>
      <c r="J258" s="668">
        <v>86</v>
      </c>
      <c r="K258" s="541"/>
      <c r="L258" s="668"/>
      <c r="M258" s="668"/>
      <c r="N258" s="668"/>
      <c r="O258" s="668"/>
      <c r="P258" s="668"/>
      <c r="Q258" s="668">
        <v>86</v>
      </c>
      <c r="R258" s="541"/>
      <c r="S258" s="668"/>
      <c r="T258" s="668"/>
      <c r="U258" s="541"/>
      <c r="V258" s="541"/>
      <c r="W258" s="541"/>
      <c r="X258" s="541"/>
      <c r="Y258" s="668"/>
      <c r="Z258" s="541"/>
      <c r="AA258" s="541"/>
      <c r="AB258" s="541"/>
      <c r="AC258" s="542" t="e">
        <f>IF(NFI_Expiration=1,IF(#REF!&lt;VLOOKUP(L$5,NFI,5,0),1,0)*Table_NFI[[#This Row],[NFI Core Kit]],Table_NFI[NFI Core Kit])</f>
        <v>#REF!</v>
      </c>
      <c r="AD258" s="542" t="e">
        <f>IF(NFI_Expiration=1,IF(#REF!&lt;VLOOKUP(M$5,NFI,5,0),1,0)*Table_NFI[[#This Row],[Sanitary Kit]],Table_NFI[Sanitary Kit])</f>
        <v>#REF!</v>
      </c>
      <c r="AE258" s="542" t="e">
        <f>IF(NFI_Expiration=1,IF(#REF!&lt;VLOOKUP(N$5,NFI,5,0),1,0)*Table_NFI[[#This Row],[Mosquito net]],Table_NFI[Mosquito net])</f>
        <v>#REF!</v>
      </c>
      <c r="AF258" s="542" t="e">
        <f>IF(NFI_Expiration=1,IF(#REF!&lt;VLOOKUP(O$5,NFI,5,0),1,0)*Table_NFI[[#This Row],[Tarpaulin]],Table_NFI[[#This Row],[Tarpaulin]])</f>
        <v>#REF!</v>
      </c>
      <c r="AG258" s="542" t="e">
        <f>IF(NFI_Expiration=1,IF(#REF!&lt;VLOOKUP(P$5,NFI,5,0),1,0)*Table_NFI[[#This Row],[Blanket]],Table_NFI[[#This Row],[Blanket]])</f>
        <v>#REF!</v>
      </c>
      <c r="AH258" s="542" t="e">
        <f>IF(NFI_Expiration=1,IF(#REF!&lt;VLOOKUP(Q$5,NFI,5,0),1,0)*Table_NFI[[#This Row],[Kitchen Set]],Table_NFI[Kitchen Set])</f>
        <v>#REF!</v>
      </c>
      <c r="AI258" s="542" t="e">
        <f>IF(NFI_Expiration=1,IF(#REF!&lt;VLOOKUP(R$5,NFI,5,0),1,0)*Table_NFI[[#This Row],[Clothes Kit]],Table_NFI[Clothes Kit])</f>
        <v>#REF!</v>
      </c>
      <c r="AJ258" s="542" t="e">
        <f>IF(NFI_Expiration=1,IF(#REF!&lt;VLOOKUP(S$5,NFI,5,0),1,0)*Table_NFI[[#This Row],[Plastic Bucket]],Table_NFI[Plastic Bucket])</f>
        <v>#REF!</v>
      </c>
      <c r="AK258" s="542" t="e">
        <f>IF(NFI_Expiration=1,IF(#REF!&lt;VLOOKUP(T$5,NFI,5,0),1,0)*Table_NFI[[#This Row],[Plastic Mat]],Table_NFI[Plastic Mat])*IF(Table_NFI[[#This Row],[Distribution Date]]&gt;"2014-04-01",1,2.5)</f>
        <v>#REF!</v>
      </c>
      <c r="AL258" s="542" t="e">
        <f>IF(NFI_Expiration=1,IF(#REF!&lt;VLOOKUP(U$5,NFI,5,0),1,0)*Table_NFI[[#This Row],[Winter Clothes Adult]],Table_NFI[Winter Clothes Adult])</f>
        <v>#REF!</v>
      </c>
      <c r="AM258" s="542"/>
      <c r="AN258" s="542"/>
      <c r="AO258" s="542"/>
      <c r="AP258" s="542">
        <f>IF(Table_NFI[[#This Row],[Winter Clothes Adult]]+Table_NFI[[#This Row],[Winter Clothes Children]]+Table_NFI[[#This Row],[Winter Items Other]]+Table_NFI[[#This Row],[Winter Blanket]]&gt;0,1,0)</f>
        <v>0</v>
      </c>
      <c r="AQ258" s="542"/>
      <c r="AR258" s="542"/>
      <c r="AS258" s="542"/>
      <c r="AT258" s="205" t="str">
        <f>IFERROR(VLOOKUP(Table_NFI[[#This Row],[Location]],CL,2,0),"")</f>
        <v/>
      </c>
      <c r="AU258" s="183"/>
    </row>
    <row r="259" spans="2:47" x14ac:dyDescent="0.25">
      <c r="B259" s="540">
        <v>43228</v>
      </c>
      <c r="C259" s="540" t="str">
        <f>MONTH(Table_NFI[[#This Row],[Distribution Date]]) &amp; "/" &amp; YEAR(Table_NFI[[#This Row],[Distribution Date]])</f>
        <v>5/2018</v>
      </c>
      <c r="D259" s="668" t="s">
        <v>420</v>
      </c>
      <c r="E259" s="668" t="s">
        <v>424</v>
      </c>
      <c r="F259" s="668" t="s">
        <v>378</v>
      </c>
      <c r="G259" s="197" t="s">
        <v>309</v>
      </c>
      <c r="H259" s="219" t="s">
        <v>323</v>
      </c>
      <c r="I259" s="668"/>
      <c r="J259" s="668"/>
      <c r="K259" s="541"/>
      <c r="L259" s="668">
        <v>3</v>
      </c>
      <c r="M259" s="668"/>
      <c r="N259" s="672"/>
      <c r="O259" s="668">
        <v>3</v>
      </c>
      <c r="P259" s="672"/>
      <c r="Q259" s="668">
        <v>3</v>
      </c>
      <c r="R259" s="541"/>
      <c r="S259" s="668">
        <v>3</v>
      </c>
      <c r="T259" s="672"/>
      <c r="U259" s="541"/>
      <c r="V259" s="541"/>
      <c r="W259" s="541"/>
      <c r="X259" s="541"/>
      <c r="Y259" s="668">
        <v>3</v>
      </c>
      <c r="Z259" s="541"/>
      <c r="AA259" s="541"/>
      <c r="AB259" s="541"/>
      <c r="AC259" s="542" t="e">
        <f>IF(NFI_Expiration=1,IF(#REF!&lt;VLOOKUP(L$5,NFI,5,0),1,0)*Table_NFI[[#This Row],[NFI Core Kit]],Table_NFI[NFI Core Kit])</f>
        <v>#REF!</v>
      </c>
      <c r="AD259" s="542" t="e">
        <f>IF(NFI_Expiration=1,IF(#REF!&lt;VLOOKUP(M$5,NFI,5,0),1,0)*Table_NFI[[#This Row],[Sanitary Kit]],Table_NFI[Sanitary Kit])</f>
        <v>#REF!</v>
      </c>
      <c r="AE259" s="542" t="e">
        <f>IF(NFI_Expiration=1,IF(#REF!&lt;VLOOKUP(N$5,NFI,5,0),1,0)*Table_NFI[[#This Row],[Mosquito net]],Table_NFI[Mosquito net])</f>
        <v>#REF!</v>
      </c>
      <c r="AF259" s="542" t="e">
        <f>IF(NFI_Expiration=1,IF(#REF!&lt;VLOOKUP(O$5,NFI,5,0),1,0)*Table_NFI[[#This Row],[Tarpaulin]],Table_NFI[[#This Row],[Tarpaulin]])</f>
        <v>#REF!</v>
      </c>
      <c r="AG259" s="542" t="e">
        <f>IF(NFI_Expiration=1,IF(#REF!&lt;VLOOKUP(P$5,NFI,5,0),1,0)*Table_NFI[[#This Row],[Blanket]],Table_NFI[[#This Row],[Blanket]])</f>
        <v>#REF!</v>
      </c>
      <c r="AH259" s="542" t="e">
        <f>IF(NFI_Expiration=1,IF(#REF!&lt;VLOOKUP(Q$5,NFI,5,0),1,0)*Table_NFI[[#This Row],[Kitchen Set]],Table_NFI[Kitchen Set])</f>
        <v>#REF!</v>
      </c>
      <c r="AI259" s="542" t="e">
        <f>IF(NFI_Expiration=1,IF(#REF!&lt;VLOOKUP(R$5,NFI,5,0),1,0)*Table_NFI[[#This Row],[Clothes Kit]],Table_NFI[Clothes Kit])</f>
        <v>#REF!</v>
      </c>
      <c r="AJ259" s="542" t="e">
        <f>IF(NFI_Expiration=1,IF(#REF!&lt;VLOOKUP(S$5,NFI,5,0),1,0)*Table_NFI[[#This Row],[Plastic Bucket]],Table_NFI[Plastic Bucket])</f>
        <v>#REF!</v>
      </c>
      <c r="AK259" s="542" t="e">
        <f>IF(NFI_Expiration=1,IF(#REF!&lt;VLOOKUP(T$5,NFI,5,0),1,0)*Table_NFI[[#This Row],[Plastic Mat]],Table_NFI[Plastic Mat])*IF(Table_NFI[[#This Row],[Distribution Date]]&gt;"2014-04-01",1,2.5)</f>
        <v>#REF!</v>
      </c>
      <c r="AL259" s="542" t="e">
        <f>IF(NFI_Expiration=1,IF(#REF!&lt;VLOOKUP(U$5,NFI,5,0),1,0)*Table_NFI[[#This Row],[Winter Clothes Adult]],Table_NFI[Winter Clothes Adult])</f>
        <v>#REF!</v>
      </c>
      <c r="AM259" s="542"/>
      <c r="AN259" s="542"/>
      <c r="AO259" s="542"/>
      <c r="AP259" s="542">
        <f>IF(Table_NFI[[#This Row],[Winter Clothes Adult]]+Table_NFI[[#This Row],[Winter Clothes Children]]+Table_NFI[[#This Row],[Winter Items Other]]+Table_NFI[[#This Row],[Winter Blanket]]&gt;0,1,0)</f>
        <v>0</v>
      </c>
      <c r="AQ259" s="542"/>
      <c r="AR259" s="542"/>
      <c r="AS259" s="542"/>
      <c r="AT259" s="205" t="str">
        <f>IFERROR(VLOOKUP(Table_NFI[[#This Row],[Location]],CL,2,0),"")</f>
        <v>MMR001CMP040</v>
      </c>
      <c r="AU259" s="183"/>
    </row>
    <row r="260" spans="2:47" x14ac:dyDescent="0.25">
      <c r="B260" s="540">
        <v>43228</v>
      </c>
      <c r="C260" s="540" t="str">
        <f>MONTH(Table_NFI[[#This Row],[Distribution Date]]) &amp; "/" &amp; YEAR(Table_NFI[[#This Row],[Distribution Date]])</f>
        <v>5/2018</v>
      </c>
      <c r="D260" s="668" t="s">
        <v>420</v>
      </c>
      <c r="E260" s="668" t="s">
        <v>424</v>
      </c>
      <c r="F260" s="668" t="s">
        <v>378</v>
      </c>
      <c r="G260" s="197" t="s">
        <v>309</v>
      </c>
      <c r="H260" s="219" t="s">
        <v>323</v>
      </c>
      <c r="I260" s="668"/>
      <c r="J260" s="668"/>
      <c r="K260" s="541"/>
      <c r="L260" s="668">
        <v>24</v>
      </c>
      <c r="M260" s="668"/>
      <c r="N260" s="668">
        <v>52</v>
      </c>
      <c r="O260" s="668">
        <v>24</v>
      </c>
      <c r="P260" s="668">
        <v>52</v>
      </c>
      <c r="Q260" s="668">
        <v>24</v>
      </c>
      <c r="R260" s="668"/>
      <c r="S260" s="668">
        <v>24</v>
      </c>
      <c r="T260" s="668">
        <v>89</v>
      </c>
      <c r="U260" s="668"/>
      <c r="V260" s="541"/>
      <c r="W260" s="541"/>
      <c r="X260" s="541"/>
      <c r="Y260" s="668">
        <v>24</v>
      </c>
      <c r="Z260" s="541"/>
      <c r="AA260" s="541"/>
      <c r="AB260" s="541"/>
      <c r="AC260" s="542" t="e">
        <f>IF(NFI_Expiration=1,IF(#REF!&lt;VLOOKUP(L$5,NFI,5,0),1,0)*Table_NFI[[#This Row],[NFI Core Kit]],Table_NFI[NFI Core Kit])</f>
        <v>#REF!</v>
      </c>
      <c r="AD260" s="542" t="e">
        <f>IF(NFI_Expiration=1,IF(#REF!&lt;VLOOKUP(M$5,NFI,5,0),1,0)*Table_NFI[[#This Row],[Sanitary Kit]],Table_NFI[Sanitary Kit])</f>
        <v>#REF!</v>
      </c>
      <c r="AE260" s="542" t="e">
        <f>IF(NFI_Expiration=1,IF(#REF!&lt;VLOOKUP(N$5,NFI,5,0),1,0)*Table_NFI[[#This Row],[Mosquito net]],Table_NFI[Mosquito net])</f>
        <v>#REF!</v>
      </c>
      <c r="AF260" s="542" t="e">
        <f>IF(NFI_Expiration=1,IF(#REF!&lt;VLOOKUP(O$5,NFI,5,0),1,0)*Table_NFI[[#This Row],[Tarpaulin]],Table_NFI[[#This Row],[Tarpaulin]])</f>
        <v>#REF!</v>
      </c>
      <c r="AG260" s="542" t="e">
        <f>IF(NFI_Expiration=1,IF(#REF!&lt;VLOOKUP(P$5,NFI,5,0),1,0)*Table_NFI[[#This Row],[Blanket]],Table_NFI[[#This Row],[Blanket]])</f>
        <v>#REF!</v>
      </c>
      <c r="AH260" s="542" t="e">
        <f>IF(NFI_Expiration=1,IF(#REF!&lt;VLOOKUP(Q$5,NFI,5,0),1,0)*Table_NFI[[#This Row],[Kitchen Set]],Table_NFI[Kitchen Set])</f>
        <v>#REF!</v>
      </c>
      <c r="AI260" s="542" t="e">
        <f>IF(NFI_Expiration=1,IF(#REF!&lt;VLOOKUP(R$5,NFI,5,0),1,0)*Table_NFI[[#This Row],[Clothes Kit]],Table_NFI[Clothes Kit])</f>
        <v>#REF!</v>
      </c>
      <c r="AJ260" s="542" t="e">
        <f>IF(NFI_Expiration=1,IF(#REF!&lt;VLOOKUP(S$5,NFI,5,0),1,0)*Table_NFI[[#This Row],[Plastic Bucket]],Table_NFI[Plastic Bucket])</f>
        <v>#REF!</v>
      </c>
      <c r="AK260" s="542" t="e">
        <f>IF(NFI_Expiration=1,IF(#REF!&lt;VLOOKUP(T$5,NFI,5,0),1,0)*Table_NFI[[#This Row],[Plastic Mat]],Table_NFI[Plastic Mat])*IF(Table_NFI[[#This Row],[Distribution Date]]&gt;"2014-04-01",1,2.5)</f>
        <v>#REF!</v>
      </c>
      <c r="AL260" s="542" t="e">
        <f>IF(NFI_Expiration=1,IF(#REF!&lt;VLOOKUP(U$5,NFI,5,0),1,0)*Table_NFI[[#This Row],[Winter Clothes Adult]],Table_NFI[Winter Clothes Adult])</f>
        <v>#REF!</v>
      </c>
      <c r="AM260" s="542"/>
      <c r="AN260" s="542"/>
      <c r="AO260" s="542"/>
      <c r="AP260" s="542">
        <f>IF(Table_NFI[[#This Row],[Winter Clothes Adult]]+Table_NFI[[#This Row],[Winter Clothes Children]]+Table_NFI[[#This Row],[Winter Items Other]]+Table_NFI[[#This Row],[Winter Blanket]]&gt;0,1,0)</f>
        <v>0</v>
      </c>
      <c r="AQ260" s="542"/>
      <c r="AR260" s="542"/>
      <c r="AS260" s="542"/>
      <c r="AT260" s="205" t="str">
        <f>IFERROR(VLOOKUP(Table_NFI[[#This Row],[Location]],CL,2,0),"")</f>
        <v>MMR001CMP040</v>
      </c>
      <c r="AU260" s="183"/>
    </row>
    <row r="261" spans="2:47" x14ac:dyDescent="0.25">
      <c r="B261" s="540">
        <v>43231</v>
      </c>
      <c r="C261" s="540" t="str">
        <f>MONTH(Table_NFI[[#This Row],[Distribution Date]]) &amp; "/" &amp; YEAR(Table_NFI[[#This Row],[Distribution Date]])</f>
        <v>5/2018</v>
      </c>
      <c r="D261" s="668" t="s">
        <v>420</v>
      </c>
      <c r="E261" s="668" t="s">
        <v>462</v>
      </c>
      <c r="F261" s="668" t="s">
        <v>378</v>
      </c>
      <c r="G261" s="197" t="s">
        <v>309</v>
      </c>
      <c r="H261" s="219" t="s">
        <v>317</v>
      </c>
      <c r="I261" s="183"/>
      <c r="J261" s="541"/>
      <c r="K261" s="541"/>
      <c r="L261" s="668">
        <v>12</v>
      </c>
      <c r="M261" s="668">
        <v>9</v>
      </c>
      <c r="N261" s="668">
        <v>25</v>
      </c>
      <c r="O261" s="668">
        <v>12</v>
      </c>
      <c r="P261" s="668">
        <v>25</v>
      </c>
      <c r="Q261" s="668">
        <v>12</v>
      </c>
      <c r="R261" s="668"/>
      <c r="S261" s="668">
        <v>12</v>
      </c>
      <c r="T261" s="668">
        <v>34</v>
      </c>
      <c r="U261" s="668"/>
      <c r="V261" s="541"/>
      <c r="W261" s="541"/>
      <c r="X261" s="541"/>
      <c r="Y261" s="668">
        <v>12</v>
      </c>
      <c r="Z261" s="541"/>
      <c r="AA261" s="541"/>
      <c r="AB261" s="541"/>
      <c r="AC261" s="542" t="e">
        <f>IF(NFI_Expiration=1,IF(#REF!&lt;VLOOKUP(L$5,NFI,5,0),1,0)*Table_NFI[[#This Row],[NFI Core Kit]],Table_NFI[NFI Core Kit])</f>
        <v>#REF!</v>
      </c>
      <c r="AD261" s="542" t="e">
        <f>IF(NFI_Expiration=1,IF(#REF!&lt;VLOOKUP(M$5,NFI,5,0),1,0)*Table_NFI[[#This Row],[Sanitary Kit]],Table_NFI[Sanitary Kit])</f>
        <v>#REF!</v>
      </c>
      <c r="AE261" s="542" t="e">
        <f>IF(NFI_Expiration=1,IF(#REF!&lt;VLOOKUP(N$5,NFI,5,0),1,0)*Table_NFI[[#This Row],[Mosquito net]],Table_NFI[Mosquito net])</f>
        <v>#REF!</v>
      </c>
      <c r="AF261" s="542" t="e">
        <f>IF(NFI_Expiration=1,IF(#REF!&lt;VLOOKUP(O$5,NFI,5,0),1,0)*Table_NFI[[#This Row],[Tarpaulin]],Table_NFI[[#This Row],[Tarpaulin]])</f>
        <v>#REF!</v>
      </c>
      <c r="AG261" s="542" t="e">
        <f>IF(NFI_Expiration=1,IF(#REF!&lt;VLOOKUP(P$5,NFI,5,0),1,0)*Table_NFI[[#This Row],[Blanket]],Table_NFI[[#This Row],[Blanket]])</f>
        <v>#REF!</v>
      </c>
      <c r="AH261" s="542" t="e">
        <f>IF(NFI_Expiration=1,IF(#REF!&lt;VLOOKUP(Q$5,NFI,5,0),1,0)*Table_NFI[[#This Row],[Kitchen Set]],Table_NFI[Kitchen Set])</f>
        <v>#REF!</v>
      </c>
      <c r="AI261" s="542" t="e">
        <f>IF(NFI_Expiration=1,IF(#REF!&lt;VLOOKUP(R$5,NFI,5,0),1,0)*Table_NFI[[#This Row],[Clothes Kit]],Table_NFI[Clothes Kit])</f>
        <v>#REF!</v>
      </c>
      <c r="AJ261" s="542" t="e">
        <f>IF(NFI_Expiration=1,IF(#REF!&lt;VLOOKUP(S$5,NFI,5,0),1,0)*Table_NFI[[#This Row],[Plastic Bucket]],Table_NFI[Plastic Bucket])</f>
        <v>#REF!</v>
      </c>
      <c r="AK261" s="542" t="e">
        <f>IF(NFI_Expiration=1,IF(#REF!&lt;VLOOKUP(T$5,NFI,5,0),1,0)*Table_NFI[[#This Row],[Plastic Mat]],Table_NFI[Plastic Mat])*IF(Table_NFI[[#This Row],[Distribution Date]]&gt;"2014-04-01",1,2.5)</f>
        <v>#REF!</v>
      </c>
      <c r="AL261" s="542" t="e">
        <f>IF(NFI_Expiration=1,IF(#REF!&lt;VLOOKUP(U$5,NFI,5,0),1,0)*Table_NFI[[#This Row],[Winter Clothes Adult]],Table_NFI[Winter Clothes Adult])</f>
        <v>#REF!</v>
      </c>
      <c r="AM261" s="542"/>
      <c r="AN261" s="542"/>
      <c r="AO261" s="542"/>
      <c r="AP261" s="542">
        <f>IF(Table_NFI[[#This Row],[Winter Clothes Adult]]+Table_NFI[[#This Row],[Winter Clothes Children]]+Table_NFI[[#This Row],[Winter Items Other]]+Table_NFI[[#This Row],[Winter Blanket]]&gt;0,1,0)</f>
        <v>0</v>
      </c>
      <c r="AQ261" s="542"/>
      <c r="AR261" s="542"/>
      <c r="AS261" s="542"/>
      <c r="AT261" s="205" t="str">
        <f>IFERROR(VLOOKUP(Table_NFI[[#This Row],[Location]],CL,2,0),"")</f>
        <v>MMR001CMP032</v>
      </c>
      <c r="AU261" s="183"/>
    </row>
    <row r="262" spans="2:47" x14ac:dyDescent="0.25">
      <c r="B262" s="540">
        <v>43231</v>
      </c>
      <c r="C262" s="540" t="str">
        <f>MONTH(Table_NFI[[#This Row],[Distribution Date]]) &amp; "/" &amp; YEAR(Table_NFI[[#This Row],[Distribution Date]])</f>
        <v>5/2018</v>
      </c>
      <c r="D262" s="668" t="s">
        <v>420</v>
      </c>
      <c r="E262" s="668" t="s">
        <v>462</v>
      </c>
      <c r="F262" s="668" t="s">
        <v>378</v>
      </c>
      <c r="G262" s="197" t="s">
        <v>309</v>
      </c>
      <c r="H262" s="219" t="s">
        <v>337</v>
      </c>
      <c r="I262" s="183"/>
      <c r="J262" s="541"/>
      <c r="K262" s="541"/>
      <c r="L262" s="668">
        <v>1</v>
      </c>
      <c r="M262" s="668">
        <v>1</v>
      </c>
      <c r="N262" s="668">
        <v>4</v>
      </c>
      <c r="O262" s="668">
        <v>1</v>
      </c>
      <c r="P262" s="668">
        <v>4</v>
      </c>
      <c r="Q262" s="668">
        <v>1</v>
      </c>
      <c r="R262" s="668"/>
      <c r="S262" s="668">
        <v>1</v>
      </c>
      <c r="T262" s="668">
        <v>7</v>
      </c>
      <c r="U262" s="668"/>
      <c r="V262" s="541"/>
      <c r="W262" s="541"/>
      <c r="X262" s="541"/>
      <c r="Y262" s="668">
        <v>1</v>
      </c>
      <c r="Z262" s="541"/>
      <c r="AA262" s="541"/>
      <c r="AB262" s="541"/>
      <c r="AC262" s="542" t="e">
        <f>IF(NFI_Expiration=1,IF(#REF!&lt;VLOOKUP(L$5,NFI,5,0),1,0)*Table_NFI[[#This Row],[NFI Core Kit]],Table_NFI[NFI Core Kit])</f>
        <v>#REF!</v>
      </c>
      <c r="AD262" s="542" t="e">
        <f>IF(NFI_Expiration=1,IF(#REF!&lt;VLOOKUP(M$5,NFI,5,0),1,0)*Table_NFI[[#This Row],[Sanitary Kit]],Table_NFI[Sanitary Kit])</f>
        <v>#REF!</v>
      </c>
      <c r="AE262" s="542" t="e">
        <f>IF(NFI_Expiration=1,IF(#REF!&lt;VLOOKUP(N$5,NFI,5,0),1,0)*Table_NFI[[#This Row],[Mosquito net]],Table_NFI[Mosquito net])</f>
        <v>#REF!</v>
      </c>
      <c r="AF262" s="542" t="e">
        <f>IF(NFI_Expiration=1,IF(#REF!&lt;VLOOKUP(O$5,NFI,5,0),1,0)*Table_NFI[[#This Row],[Tarpaulin]],Table_NFI[[#This Row],[Tarpaulin]])</f>
        <v>#REF!</v>
      </c>
      <c r="AG262" s="542" t="e">
        <f>IF(NFI_Expiration=1,IF(#REF!&lt;VLOOKUP(P$5,NFI,5,0),1,0)*Table_NFI[[#This Row],[Blanket]],Table_NFI[[#This Row],[Blanket]])</f>
        <v>#REF!</v>
      </c>
      <c r="AH262" s="542" t="e">
        <f>IF(NFI_Expiration=1,IF(#REF!&lt;VLOOKUP(Q$5,NFI,5,0),1,0)*Table_NFI[[#This Row],[Kitchen Set]],Table_NFI[Kitchen Set])</f>
        <v>#REF!</v>
      </c>
      <c r="AI262" s="542" t="e">
        <f>IF(NFI_Expiration=1,IF(#REF!&lt;VLOOKUP(R$5,NFI,5,0),1,0)*Table_NFI[[#This Row],[Clothes Kit]],Table_NFI[Clothes Kit])</f>
        <v>#REF!</v>
      </c>
      <c r="AJ262" s="542" t="e">
        <f>IF(NFI_Expiration=1,IF(#REF!&lt;VLOOKUP(S$5,NFI,5,0),1,0)*Table_NFI[[#This Row],[Plastic Bucket]],Table_NFI[Plastic Bucket])</f>
        <v>#REF!</v>
      </c>
      <c r="AK262" s="542" t="e">
        <f>IF(NFI_Expiration=1,IF(#REF!&lt;VLOOKUP(T$5,NFI,5,0),1,0)*Table_NFI[[#This Row],[Plastic Mat]],Table_NFI[Plastic Mat])*IF(Table_NFI[[#This Row],[Distribution Date]]&gt;"2014-04-01",1,2.5)</f>
        <v>#REF!</v>
      </c>
      <c r="AL262" s="542" t="e">
        <f>IF(NFI_Expiration=1,IF(#REF!&lt;VLOOKUP(U$5,NFI,5,0),1,0)*Table_NFI[[#This Row],[Winter Clothes Adult]],Table_NFI[Winter Clothes Adult])</f>
        <v>#REF!</v>
      </c>
      <c r="AM262" s="542"/>
      <c r="AN262" s="542"/>
      <c r="AO262" s="542"/>
      <c r="AP262" s="542">
        <f>IF(Table_NFI[[#This Row],[Winter Clothes Adult]]+Table_NFI[[#This Row],[Winter Clothes Children]]+Table_NFI[[#This Row],[Winter Items Other]]+Table_NFI[[#This Row],[Winter Blanket]]&gt;0,1,0)</f>
        <v>0</v>
      </c>
      <c r="AQ262" s="542"/>
      <c r="AR262" s="542"/>
      <c r="AS262" s="542"/>
      <c r="AT262" s="205" t="str">
        <f>IFERROR(VLOOKUP(Table_NFI[[#This Row],[Location]],CL,2,0),"")</f>
        <v>MMR001CMP030</v>
      </c>
      <c r="AU262" s="183"/>
    </row>
    <row r="263" spans="2:47" x14ac:dyDescent="0.25">
      <c r="B263" s="540">
        <v>43231</v>
      </c>
      <c r="C263" s="540" t="str">
        <f>MONTH(Table_NFI[[#This Row],[Distribution Date]]) &amp; "/" &amp; YEAR(Table_NFI[[#This Row],[Distribution Date]])</f>
        <v>5/2018</v>
      </c>
      <c r="D263" s="668" t="s">
        <v>420</v>
      </c>
      <c r="E263" s="668" t="s">
        <v>462</v>
      </c>
      <c r="F263" s="668" t="s">
        <v>378</v>
      </c>
      <c r="G263" s="197" t="s">
        <v>309</v>
      </c>
      <c r="H263" s="219" t="s">
        <v>315</v>
      </c>
      <c r="I263" s="183"/>
      <c r="J263" s="541"/>
      <c r="K263" s="541"/>
      <c r="L263" s="668">
        <v>1</v>
      </c>
      <c r="M263" s="668">
        <v>1</v>
      </c>
      <c r="N263" s="668">
        <v>3</v>
      </c>
      <c r="O263" s="668">
        <v>1</v>
      </c>
      <c r="P263" s="668">
        <v>3</v>
      </c>
      <c r="Q263" s="668">
        <v>1</v>
      </c>
      <c r="R263" s="668"/>
      <c r="S263" s="668">
        <v>1</v>
      </c>
      <c r="T263" s="668">
        <v>4</v>
      </c>
      <c r="U263" s="668"/>
      <c r="V263" s="541"/>
      <c r="W263" s="541"/>
      <c r="X263" s="541"/>
      <c r="Y263" s="668">
        <v>1</v>
      </c>
      <c r="Z263" s="541"/>
      <c r="AA263" s="541"/>
      <c r="AB263" s="541"/>
      <c r="AC263" s="542" t="e">
        <f>IF(NFI_Expiration=1,IF(#REF!&lt;VLOOKUP(L$5,NFI,5,0),1,0)*Table_NFI[[#This Row],[NFI Core Kit]],Table_NFI[NFI Core Kit])</f>
        <v>#REF!</v>
      </c>
      <c r="AD263" s="542" t="e">
        <f>IF(NFI_Expiration=1,IF(#REF!&lt;VLOOKUP(M$5,NFI,5,0),1,0)*Table_NFI[[#This Row],[Sanitary Kit]],Table_NFI[Sanitary Kit])</f>
        <v>#REF!</v>
      </c>
      <c r="AE263" s="542" t="e">
        <f>IF(NFI_Expiration=1,IF(#REF!&lt;VLOOKUP(N$5,NFI,5,0),1,0)*Table_NFI[[#This Row],[Mosquito net]],Table_NFI[Mosquito net])</f>
        <v>#REF!</v>
      </c>
      <c r="AF263" s="542" t="e">
        <f>IF(NFI_Expiration=1,IF(#REF!&lt;VLOOKUP(O$5,NFI,5,0),1,0)*Table_NFI[[#This Row],[Tarpaulin]],Table_NFI[[#This Row],[Tarpaulin]])</f>
        <v>#REF!</v>
      </c>
      <c r="AG263" s="542" t="e">
        <f>IF(NFI_Expiration=1,IF(#REF!&lt;VLOOKUP(P$5,NFI,5,0),1,0)*Table_NFI[[#This Row],[Blanket]],Table_NFI[[#This Row],[Blanket]])</f>
        <v>#REF!</v>
      </c>
      <c r="AH263" s="542" t="e">
        <f>IF(NFI_Expiration=1,IF(#REF!&lt;VLOOKUP(Q$5,NFI,5,0),1,0)*Table_NFI[[#This Row],[Kitchen Set]],Table_NFI[Kitchen Set])</f>
        <v>#REF!</v>
      </c>
      <c r="AI263" s="542" t="e">
        <f>IF(NFI_Expiration=1,IF(#REF!&lt;VLOOKUP(R$5,NFI,5,0),1,0)*Table_NFI[[#This Row],[Clothes Kit]],Table_NFI[Clothes Kit])</f>
        <v>#REF!</v>
      </c>
      <c r="AJ263" s="542" t="e">
        <f>IF(NFI_Expiration=1,IF(#REF!&lt;VLOOKUP(S$5,NFI,5,0),1,0)*Table_NFI[[#This Row],[Plastic Bucket]],Table_NFI[Plastic Bucket])</f>
        <v>#REF!</v>
      </c>
      <c r="AK263" s="542" t="e">
        <f>IF(NFI_Expiration=1,IF(#REF!&lt;VLOOKUP(T$5,NFI,5,0),1,0)*Table_NFI[[#This Row],[Plastic Mat]],Table_NFI[Plastic Mat])*IF(Table_NFI[[#This Row],[Distribution Date]]&gt;"2014-04-01",1,2.5)</f>
        <v>#REF!</v>
      </c>
      <c r="AL263" s="542" t="e">
        <f>IF(NFI_Expiration=1,IF(#REF!&lt;VLOOKUP(U$5,NFI,5,0),1,0)*Table_NFI[[#This Row],[Winter Clothes Adult]],Table_NFI[Winter Clothes Adult])</f>
        <v>#REF!</v>
      </c>
      <c r="AM263" s="542"/>
      <c r="AN263" s="542"/>
      <c r="AO263" s="542"/>
      <c r="AP263" s="542">
        <f>IF(Table_NFI[[#This Row],[Winter Clothes Adult]]+Table_NFI[[#This Row],[Winter Clothes Children]]+Table_NFI[[#This Row],[Winter Items Other]]+Table_NFI[[#This Row],[Winter Blanket]]&gt;0,1,0)</f>
        <v>0</v>
      </c>
      <c r="AQ263" s="542"/>
      <c r="AR263" s="542"/>
      <c r="AS263" s="542"/>
      <c r="AT263" s="205" t="str">
        <f>IFERROR(VLOOKUP(Table_NFI[[#This Row],[Location]],CL,2,0),"")</f>
        <v>MMR001CMP038</v>
      </c>
      <c r="AU263" s="183"/>
    </row>
    <row r="264" spans="2:47" x14ac:dyDescent="0.25">
      <c r="B264" s="540">
        <v>43245</v>
      </c>
      <c r="C264" s="540" t="str">
        <f>MONTH(Table_NFI[[#This Row],[Distribution Date]]) &amp; "/" &amp; YEAR(Table_NFI[[#This Row],[Distribution Date]])</f>
        <v>5/2018</v>
      </c>
      <c r="D264" s="668" t="s">
        <v>420</v>
      </c>
      <c r="E264" s="668" t="s">
        <v>462</v>
      </c>
      <c r="F264" s="668" t="s">
        <v>378</v>
      </c>
      <c r="G264" s="197" t="s">
        <v>309</v>
      </c>
      <c r="H264" s="219" t="s">
        <v>327</v>
      </c>
      <c r="I264" s="183"/>
      <c r="J264" s="541"/>
      <c r="K264" s="541"/>
      <c r="L264" s="668">
        <v>10</v>
      </c>
      <c r="M264" s="668"/>
      <c r="N264" s="668">
        <v>33</v>
      </c>
      <c r="O264" s="668">
        <v>10</v>
      </c>
      <c r="P264" s="668">
        <v>33</v>
      </c>
      <c r="Q264" s="668">
        <v>10</v>
      </c>
      <c r="R264" s="668"/>
      <c r="S264" s="668">
        <v>10</v>
      </c>
      <c r="T264" s="668">
        <v>57</v>
      </c>
      <c r="U264" s="668"/>
      <c r="V264" s="668"/>
      <c r="W264" s="668"/>
      <c r="X264" s="668"/>
      <c r="Y264" s="668">
        <v>10</v>
      </c>
      <c r="Z264" s="541"/>
      <c r="AA264" s="541"/>
      <c r="AB264" s="541"/>
      <c r="AC264" s="542" t="e">
        <f>IF(NFI_Expiration=1,IF(#REF!&lt;VLOOKUP(L$5,NFI,5,0),1,0)*Table_NFI[[#This Row],[NFI Core Kit]],Table_NFI[NFI Core Kit])</f>
        <v>#REF!</v>
      </c>
      <c r="AD264" s="542" t="e">
        <f>IF(NFI_Expiration=1,IF(#REF!&lt;VLOOKUP(M$5,NFI,5,0),1,0)*Table_NFI[[#This Row],[Sanitary Kit]],Table_NFI[Sanitary Kit])</f>
        <v>#REF!</v>
      </c>
      <c r="AE264" s="542" t="e">
        <f>IF(NFI_Expiration=1,IF(#REF!&lt;VLOOKUP(N$5,NFI,5,0),1,0)*Table_NFI[[#This Row],[Mosquito net]],Table_NFI[Mosquito net])</f>
        <v>#REF!</v>
      </c>
      <c r="AF264" s="542" t="e">
        <f>IF(NFI_Expiration=1,IF(#REF!&lt;VLOOKUP(O$5,NFI,5,0),1,0)*Table_NFI[[#This Row],[Tarpaulin]],Table_NFI[[#This Row],[Tarpaulin]])</f>
        <v>#REF!</v>
      </c>
      <c r="AG264" s="542" t="e">
        <f>IF(NFI_Expiration=1,IF(#REF!&lt;VLOOKUP(P$5,NFI,5,0),1,0)*Table_NFI[[#This Row],[Blanket]],Table_NFI[[#This Row],[Blanket]])</f>
        <v>#REF!</v>
      </c>
      <c r="AH264" s="542" t="e">
        <f>IF(NFI_Expiration=1,IF(#REF!&lt;VLOOKUP(Q$5,NFI,5,0),1,0)*Table_NFI[[#This Row],[Kitchen Set]],Table_NFI[Kitchen Set])</f>
        <v>#REF!</v>
      </c>
      <c r="AI264" s="542" t="e">
        <f>IF(NFI_Expiration=1,IF(#REF!&lt;VLOOKUP(R$5,NFI,5,0),1,0)*Table_NFI[[#This Row],[Clothes Kit]],Table_NFI[Clothes Kit])</f>
        <v>#REF!</v>
      </c>
      <c r="AJ264" s="542" t="e">
        <f>IF(NFI_Expiration=1,IF(#REF!&lt;VLOOKUP(S$5,NFI,5,0),1,0)*Table_NFI[[#This Row],[Plastic Bucket]],Table_NFI[Plastic Bucket])</f>
        <v>#REF!</v>
      </c>
      <c r="AK264" s="542" t="e">
        <f>IF(NFI_Expiration=1,IF(#REF!&lt;VLOOKUP(T$5,NFI,5,0),1,0)*Table_NFI[[#This Row],[Plastic Mat]],Table_NFI[Plastic Mat])*IF(Table_NFI[[#This Row],[Distribution Date]]&gt;"2014-04-01",1,2.5)</f>
        <v>#REF!</v>
      </c>
      <c r="AL264" s="542" t="e">
        <f>IF(NFI_Expiration=1,IF(#REF!&lt;VLOOKUP(U$5,NFI,5,0),1,0)*Table_NFI[[#This Row],[Winter Clothes Adult]],Table_NFI[Winter Clothes Adult])</f>
        <v>#REF!</v>
      </c>
      <c r="AM264" s="542"/>
      <c r="AN264" s="542"/>
      <c r="AO264" s="542"/>
      <c r="AP264" s="542">
        <f>IF(Table_NFI[[#This Row],[Winter Clothes Adult]]+Table_NFI[[#This Row],[Winter Clothes Children]]+Table_NFI[[#This Row],[Winter Items Other]]+Table_NFI[[#This Row],[Winter Blanket]]&gt;0,1,0)</f>
        <v>0</v>
      </c>
      <c r="AQ264" s="542"/>
      <c r="AR264" s="542"/>
      <c r="AS264" s="542"/>
      <c r="AT264" s="205" t="str">
        <f>IFERROR(VLOOKUP(Table_NFI[[#This Row],[Location]],CL,2,0),"")</f>
        <v>MMR001CMP031</v>
      </c>
      <c r="AU264" s="183"/>
    </row>
    <row r="265" spans="2:47" x14ac:dyDescent="0.25">
      <c r="B265" s="540">
        <v>43245</v>
      </c>
      <c r="C265" s="540" t="str">
        <f>MONTH(Table_NFI[[#This Row],[Distribution Date]]) &amp; "/" &amp; YEAR(Table_NFI[[#This Row],[Distribution Date]])</f>
        <v>5/2018</v>
      </c>
      <c r="D265" s="668" t="s">
        <v>420</v>
      </c>
      <c r="E265" s="668" t="s">
        <v>462</v>
      </c>
      <c r="F265" s="668" t="s">
        <v>378</v>
      </c>
      <c r="G265" s="197" t="s">
        <v>309</v>
      </c>
      <c r="H265" s="219" t="s">
        <v>317</v>
      </c>
      <c r="I265" s="183"/>
      <c r="J265" s="541"/>
      <c r="K265" s="541"/>
      <c r="L265" s="668">
        <v>7</v>
      </c>
      <c r="M265" s="668"/>
      <c r="N265" s="668">
        <v>12</v>
      </c>
      <c r="O265" s="668">
        <v>7</v>
      </c>
      <c r="P265" s="668">
        <v>12</v>
      </c>
      <c r="Q265" s="668">
        <v>7</v>
      </c>
      <c r="R265" s="668"/>
      <c r="S265" s="668">
        <v>7</v>
      </c>
      <c r="T265" s="668">
        <v>16</v>
      </c>
      <c r="U265" s="668"/>
      <c r="V265" s="668"/>
      <c r="W265" s="668"/>
      <c r="X265" s="668"/>
      <c r="Y265" s="668">
        <v>7</v>
      </c>
      <c r="Z265" s="541"/>
      <c r="AA265" s="541"/>
      <c r="AB265" s="541"/>
      <c r="AC265" s="542" t="e">
        <f>IF(NFI_Expiration=1,IF(#REF!&lt;VLOOKUP(L$5,NFI,5,0),1,0)*Table_NFI[[#This Row],[NFI Core Kit]],Table_NFI[NFI Core Kit])</f>
        <v>#REF!</v>
      </c>
      <c r="AD265" s="542" t="e">
        <f>IF(NFI_Expiration=1,IF(#REF!&lt;VLOOKUP(M$5,NFI,5,0),1,0)*Table_NFI[[#This Row],[Sanitary Kit]],Table_NFI[Sanitary Kit])</f>
        <v>#REF!</v>
      </c>
      <c r="AE265" s="542" t="e">
        <f>IF(NFI_Expiration=1,IF(#REF!&lt;VLOOKUP(N$5,NFI,5,0),1,0)*Table_NFI[[#This Row],[Mosquito net]],Table_NFI[Mosquito net])</f>
        <v>#REF!</v>
      </c>
      <c r="AF265" s="542" t="e">
        <f>IF(NFI_Expiration=1,IF(#REF!&lt;VLOOKUP(O$5,NFI,5,0),1,0)*Table_NFI[[#This Row],[Tarpaulin]],Table_NFI[[#This Row],[Tarpaulin]])</f>
        <v>#REF!</v>
      </c>
      <c r="AG265" s="542" t="e">
        <f>IF(NFI_Expiration=1,IF(#REF!&lt;VLOOKUP(P$5,NFI,5,0),1,0)*Table_NFI[[#This Row],[Blanket]],Table_NFI[[#This Row],[Blanket]])</f>
        <v>#REF!</v>
      </c>
      <c r="AH265" s="542" t="e">
        <f>IF(NFI_Expiration=1,IF(#REF!&lt;VLOOKUP(Q$5,NFI,5,0),1,0)*Table_NFI[[#This Row],[Kitchen Set]],Table_NFI[Kitchen Set])</f>
        <v>#REF!</v>
      </c>
      <c r="AI265" s="542" t="e">
        <f>IF(NFI_Expiration=1,IF(#REF!&lt;VLOOKUP(R$5,NFI,5,0),1,0)*Table_NFI[[#This Row],[Clothes Kit]],Table_NFI[Clothes Kit])</f>
        <v>#REF!</v>
      </c>
      <c r="AJ265" s="542" t="e">
        <f>IF(NFI_Expiration=1,IF(#REF!&lt;VLOOKUP(S$5,NFI,5,0),1,0)*Table_NFI[[#This Row],[Plastic Bucket]],Table_NFI[Plastic Bucket])</f>
        <v>#REF!</v>
      </c>
      <c r="AK265" s="542" t="e">
        <f>IF(NFI_Expiration=1,IF(#REF!&lt;VLOOKUP(T$5,NFI,5,0),1,0)*Table_NFI[[#This Row],[Plastic Mat]],Table_NFI[Plastic Mat])*IF(Table_NFI[[#This Row],[Distribution Date]]&gt;"2014-04-01",1,2.5)</f>
        <v>#REF!</v>
      </c>
      <c r="AL265" s="542" t="e">
        <f>IF(NFI_Expiration=1,IF(#REF!&lt;VLOOKUP(U$5,NFI,5,0),1,0)*Table_NFI[[#This Row],[Winter Clothes Adult]],Table_NFI[Winter Clothes Adult])</f>
        <v>#REF!</v>
      </c>
      <c r="AM265" s="542"/>
      <c r="AN265" s="542"/>
      <c r="AO265" s="542"/>
      <c r="AP265" s="542">
        <f>IF(Table_NFI[[#This Row],[Winter Clothes Adult]]+Table_NFI[[#This Row],[Winter Clothes Children]]+Table_NFI[[#This Row],[Winter Items Other]]+Table_NFI[[#This Row],[Winter Blanket]]&gt;0,1,0)</f>
        <v>0</v>
      </c>
      <c r="AQ265" s="542"/>
      <c r="AR265" s="542"/>
      <c r="AS265" s="542"/>
      <c r="AT265" s="205" t="str">
        <f>IFERROR(VLOOKUP(Table_NFI[[#This Row],[Location]],CL,2,0),"")</f>
        <v>MMR001CMP032</v>
      </c>
      <c r="AU265" s="183"/>
    </row>
    <row r="266" spans="2:47" x14ac:dyDescent="0.25">
      <c r="B266" s="540">
        <v>43244</v>
      </c>
      <c r="C266" s="540" t="str">
        <f>MONTH(Table_NFI[[#This Row],[Distribution Date]]) &amp; "/" &amp; YEAR(Table_NFI[[#This Row],[Distribution Date]])</f>
        <v>5/2018</v>
      </c>
      <c r="D266" s="198" t="s">
        <v>420</v>
      </c>
      <c r="E266" s="198" t="s">
        <v>1308</v>
      </c>
      <c r="F266" s="198" t="s">
        <v>378</v>
      </c>
      <c r="G266" s="197" t="s">
        <v>237</v>
      </c>
      <c r="H266" s="219" t="s">
        <v>272</v>
      </c>
      <c r="I266" s="183"/>
      <c r="J266" s="541"/>
      <c r="K266" s="541"/>
      <c r="L266" s="668">
        <v>21</v>
      </c>
      <c r="M266" s="668"/>
      <c r="N266" s="668">
        <v>61</v>
      </c>
      <c r="O266" s="668">
        <v>21</v>
      </c>
      <c r="P266" s="668">
        <v>65</v>
      </c>
      <c r="Q266" s="668">
        <v>21</v>
      </c>
      <c r="R266" s="668"/>
      <c r="S266" s="678">
        <v>21</v>
      </c>
      <c r="T266" s="678">
        <v>106</v>
      </c>
      <c r="U266" s="668"/>
      <c r="V266" s="668"/>
      <c r="W266" s="668"/>
      <c r="X266" s="668"/>
      <c r="Y266" s="678">
        <v>21</v>
      </c>
      <c r="Z266" s="541"/>
      <c r="AA266" s="541"/>
      <c r="AB266" s="541"/>
      <c r="AC266" s="542" t="e">
        <f>IF(NFI_Expiration=1,IF(#REF!&lt;VLOOKUP(L$5,NFI,5,0),1,0)*Table_NFI[[#This Row],[NFI Core Kit]],Table_NFI[NFI Core Kit])</f>
        <v>#REF!</v>
      </c>
      <c r="AD266" s="542" t="e">
        <f>IF(NFI_Expiration=1,IF(#REF!&lt;VLOOKUP(M$5,NFI,5,0),1,0)*Table_NFI[[#This Row],[Sanitary Kit]],Table_NFI[Sanitary Kit])</f>
        <v>#REF!</v>
      </c>
      <c r="AE266" s="542" t="e">
        <f>IF(NFI_Expiration=1,IF(#REF!&lt;VLOOKUP(N$5,NFI,5,0),1,0)*Table_NFI[[#This Row],[Mosquito net]],Table_NFI[Mosquito net])</f>
        <v>#REF!</v>
      </c>
      <c r="AF266" s="542" t="e">
        <f>IF(NFI_Expiration=1,IF(#REF!&lt;VLOOKUP(O$5,NFI,5,0),1,0)*Table_NFI[[#This Row],[Tarpaulin]],Table_NFI[[#This Row],[Tarpaulin]])</f>
        <v>#REF!</v>
      </c>
      <c r="AG266" s="542" t="e">
        <f>IF(NFI_Expiration=1,IF(#REF!&lt;VLOOKUP(P$5,NFI,5,0),1,0)*Table_NFI[[#This Row],[Blanket]],Table_NFI[[#This Row],[Blanket]])</f>
        <v>#REF!</v>
      </c>
      <c r="AH266" s="542" t="e">
        <f>IF(NFI_Expiration=1,IF(#REF!&lt;VLOOKUP(Q$5,NFI,5,0),1,0)*Table_NFI[[#This Row],[Kitchen Set]],Table_NFI[Kitchen Set])</f>
        <v>#REF!</v>
      </c>
      <c r="AI266" s="542" t="e">
        <f>IF(NFI_Expiration=1,IF(#REF!&lt;VLOOKUP(R$5,NFI,5,0),1,0)*Table_NFI[[#This Row],[Clothes Kit]],Table_NFI[Clothes Kit])</f>
        <v>#REF!</v>
      </c>
      <c r="AJ266" s="542" t="e">
        <f>IF(NFI_Expiration=1,IF(#REF!&lt;VLOOKUP(S$5,NFI,5,0),1,0)*Table_NFI[[#This Row],[Plastic Bucket]],Table_NFI[Plastic Bucket])</f>
        <v>#REF!</v>
      </c>
      <c r="AK266" s="542" t="e">
        <f>IF(NFI_Expiration=1,IF(#REF!&lt;VLOOKUP(T$5,NFI,5,0),1,0)*Table_NFI[[#This Row],[Plastic Mat]],Table_NFI[Plastic Mat])*IF(Table_NFI[[#This Row],[Distribution Date]]&gt;"2014-04-01",1,2.5)</f>
        <v>#REF!</v>
      </c>
      <c r="AL266" s="542" t="e">
        <f>IF(NFI_Expiration=1,IF(#REF!&lt;VLOOKUP(U$5,NFI,5,0),1,0)*Table_NFI[[#This Row],[Winter Clothes Adult]],Table_NFI[Winter Clothes Adult])</f>
        <v>#REF!</v>
      </c>
      <c r="AM266" s="542"/>
      <c r="AN266" s="542"/>
      <c r="AO266" s="542"/>
      <c r="AP266" s="542">
        <f>IF(Table_NFI[[#This Row],[Winter Clothes Adult]]+Table_NFI[[#This Row],[Winter Clothes Children]]+Table_NFI[[#This Row],[Winter Items Other]]+Table_NFI[[#This Row],[Winter Blanket]]&gt;0,1,0)</f>
        <v>0</v>
      </c>
      <c r="AQ266" s="542"/>
      <c r="AR266" s="542"/>
      <c r="AS266" s="542"/>
      <c r="AT266" s="205" t="str">
        <f>IFERROR(VLOOKUP(Table_NFI[[#This Row],[Location]],CL,2,0),"")</f>
        <v>MMR001CMP162</v>
      </c>
      <c r="AU266" s="183"/>
    </row>
    <row r="267" spans="2:47" x14ac:dyDescent="0.25">
      <c r="B267" s="540">
        <v>43238</v>
      </c>
      <c r="C267" s="540" t="str">
        <f>MONTH(Table_NFI[[#This Row],[Distribution Date]]) &amp; "/" &amp; YEAR(Table_NFI[[#This Row],[Distribution Date]])</f>
        <v>5/2018</v>
      </c>
      <c r="D267" s="198" t="s">
        <v>420</v>
      </c>
      <c r="E267" s="198" t="s">
        <v>1308</v>
      </c>
      <c r="F267" s="198" t="s">
        <v>378</v>
      </c>
      <c r="G267" s="197" t="s">
        <v>309</v>
      </c>
      <c r="H267" s="219" t="s">
        <v>329</v>
      </c>
      <c r="I267" s="183"/>
      <c r="J267" s="541"/>
      <c r="K267" s="541"/>
      <c r="L267" s="668">
        <v>52</v>
      </c>
      <c r="M267" s="668"/>
      <c r="N267" s="668">
        <v>153</v>
      </c>
      <c r="O267" s="668">
        <v>52</v>
      </c>
      <c r="P267" s="668">
        <v>157</v>
      </c>
      <c r="Q267" s="668">
        <v>52</v>
      </c>
      <c r="R267" s="668"/>
      <c r="S267" s="678">
        <v>52</v>
      </c>
      <c r="T267" s="678">
        <v>274</v>
      </c>
      <c r="U267" s="668"/>
      <c r="V267" s="668"/>
      <c r="W267" s="668"/>
      <c r="X267" s="668"/>
      <c r="Y267" s="678">
        <v>52</v>
      </c>
      <c r="Z267" s="541"/>
      <c r="AA267" s="541"/>
      <c r="AB267" s="541"/>
      <c r="AC267" s="542" t="e">
        <f>IF(NFI_Expiration=1,IF(#REF!&lt;VLOOKUP(L$5,NFI,5,0),1,0)*Table_NFI[[#This Row],[NFI Core Kit]],Table_NFI[NFI Core Kit])</f>
        <v>#REF!</v>
      </c>
      <c r="AD267" s="542" t="e">
        <f>IF(NFI_Expiration=1,IF(#REF!&lt;VLOOKUP(M$5,NFI,5,0),1,0)*Table_NFI[[#This Row],[Sanitary Kit]],Table_NFI[Sanitary Kit])</f>
        <v>#REF!</v>
      </c>
      <c r="AE267" s="542" t="e">
        <f>IF(NFI_Expiration=1,IF(#REF!&lt;VLOOKUP(N$5,NFI,5,0),1,0)*Table_NFI[[#This Row],[Mosquito net]],Table_NFI[Mosquito net])</f>
        <v>#REF!</v>
      </c>
      <c r="AF267" s="542" t="e">
        <f>IF(NFI_Expiration=1,IF(#REF!&lt;VLOOKUP(O$5,NFI,5,0),1,0)*Table_NFI[[#This Row],[Tarpaulin]],Table_NFI[[#This Row],[Tarpaulin]])</f>
        <v>#REF!</v>
      </c>
      <c r="AG267" s="542" t="e">
        <f>IF(NFI_Expiration=1,IF(#REF!&lt;VLOOKUP(P$5,NFI,5,0),1,0)*Table_NFI[[#This Row],[Blanket]],Table_NFI[[#This Row],[Blanket]])</f>
        <v>#REF!</v>
      </c>
      <c r="AH267" s="542" t="e">
        <f>IF(NFI_Expiration=1,IF(#REF!&lt;VLOOKUP(Q$5,NFI,5,0),1,0)*Table_NFI[[#This Row],[Kitchen Set]],Table_NFI[Kitchen Set])</f>
        <v>#REF!</v>
      </c>
      <c r="AI267" s="542" t="e">
        <f>IF(NFI_Expiration=1,IF(#REF!&lt;VLOOKUP(R$5,NFI,5,0),1,0)*Table_NFI[[#This Row],[Clothes Kit]],Table_NFI[Clothes Kit])</f>
        <v>#REF!</v>
      </c>
      <c r="AJ267" s="542" t="e">
        <f>IF(NFI_Expiration=1,IF(#REF!&lt;VLOOKUP(S$5,NFI,5,0),1,0)*Table_NFI[[#This Row],[Plastic Bucket]],Table_NFI[Plastic Bucket])</f>
        <v>#REF!</v>
      </c>
      <c r="AK267" s="542" t="e">
        <f>IF(NFI_Expiration=1,IF(#REF!&lt;VLOOKUP(T$5,NFI,5,0),1,0)*Table_NFI[[#This Row],[Plastic Mat]],Table_NFI[Plastic Mat])*IF(Table_NFI[[#This Row],[Distribution Date]]&gt;"2014-04-01",1,2.5)</f>
        <v>#REF!</v>
      </c>
      <c r="AL267" s="542" t="e">
        <f>IF(NFI_Expiration=1,IF(#REF!&lt;VLOOKUP(U$5,NFI,5,0),1,0)*Table_NFI[[#This Row],[Winter Clothes Adult]],Table_NFI[Winter Clothes Adult])</f>
        <v>#REF!</v>
      </c>
      <c r="AM267" s="542"/>
      <c r="AN267" s="542"/>
      <c r="AO267" s="542"/>
      <c r="AP267" s="542">
        <f>IF(Table_NFI[[#This Row],[Winter Clothes Adult]]+Table_NFI[[#This Row],[Winter Clothes Children]]+Table_NFI[[#This Row],[Winter Items Other]]+Table_NFI[[#This Row],[Winter Blanket]]&gt;0,1,0)</f>
        <v>0</v>
      </c>
      <c r="AQ267" s="542"/>
      <c r="AR267" s="542"/>
      <c r="AS267" s="542"/>
      <c r="AT267" s="205" t="str">
        <f>IFERROR(VLOOKUP(Table_NFI[[#This Row],[Location]],CL,2,0),"")</f>
        <v>MMR001CMP029</v>
      </c>
      <c r="AU267" s="183"/>
    </row>
    <row r="268" spans="2:47" x14ac:dyDescent="0.3">
      <c r="B268" s="540">
        <v>43221</v>
      </c>
      <c r="C268" s="540" t="str">
        <f>MONTH(Table_NFI[[#This Row],[Distribution Date]]) &amp; "/" &amp; YEAR(Table_NFI[[#This Row],[Distribution Date]])</f>
        <v>5/2018</v>
      </c>
      <c r="D268" s="198" t="s">
        <v>420</v>
      </c>
      <c r="E268" s="198" t="s">
        <v>1308</v>
      </c>
      <c r="F268" s="198" t="s">
        <v>378</v>
      </c>
      <c r="G268" s="197" t="s">
        <v>309</v>
      </c>
      <c r="H268" s="219" t="s">
        <v>329</v>
      </c>
      <c r="I268" s="183"/>
      <c r="J268" s="541"/>
      <c r="K268" s="541"/>
      <c r="L268" s="541"/>
      <c r="M268" s="541"/>
      <c r="N268" s="541"/>
      <c r="O268" s="541"/>
      <c r="P268" s="541"/>
      <c r="Q268" s="541"/>
      <c r="R268" s="541"/>
      <c r="S268" s="541"/>
      <c r="T268" s="541"/>
      <c r="U268" s="541"/>
      <c r="V268" s="541"/>
      <c r="W268" s="541"/>
      <c r="X268" s="541"/>
      <c r="Y268" s="541"/>
      <c r="Z268" s="541"/>
      <c r="AA268" s="541"/>
      <c r="AB268" s="541">
        <v>9</v>
      </c>
      <c r="AC268" s="542" t="e">
        <f>IF(NFI_Expiration=1,IF(#REF!&lt;VLOOKUP(L$5,NFI,5,0),1,0)*Table_NFI[[#This Row],[NFI Core Kit]],Table_NFI[NFI Core Kit])</f>
        <v>#REF!</v>
      </c>
      <c r="AD268" s="542" t="e">
        <f>IF(NFI_Expiration=1,IF(#REF!&lt;VLOOKUP(M$5,NFI,5,0),1,0)*Table_NFI[[#This Row],[Sanitary Kit]],Table_NFI[Sanitary Kit])</f>
        <v>#REF!</v>
      </c>
      <c r="AE268" s="542" t="e">
        <f>IF(NFI_Expiration=1,IF(#REF!&lt;VLOOKUP(N$5,NFI,5,0),1,0)*Table_NFI[[#This Row],[Mosquito net]],Table_NFI[Mosquito net])</f>
        <v>#REF!</v>
      </c>
      <c r="AF268" s="542" t="e">
        <f>IF(NFI_Expiration=1,IF(#REF!&lt;VLOOKUP(O$5,NFI,5,0),1,0)*Table_NFI[[#This Row],[Tarpaulin]],Table_NFI[[#This Row],[Tarpaulin]])</f>
        <v>#REF!</v>
      </c>
      <c r="AG268" s="542" t="e">
        <f>IF(NFI_Expiration=1,IF(#REF!&lt;VLOOKUP(P$5,NFI,5,0),1,0)*Table_NFI[[#This Row],[Blanket]],Table_NFI[[#This Row],[Blanket]])</f>
        <v>#REF!</v>
      </c>
      <c r="AH268" s="542" t="e">
        <f>IF(NFI_Expiration=1,IF(#REF!&lt;VLOOKUP(Q$5,NFI,5,0),1,0)*Table_NFI[[#This Row],[Kitchen Set]],Table_NFI[Kitchen Set])</f>
        <v>#REF!</v>
      </c>
      <c r="AI268" s="542" t="e">
        <f>IF(NFI_Expiration=1,IF(#REF!&lt;VLOOKUP(R$5,NFI,5,0),1,0)*Table_NFI[[#This Row],[Clothes Kit]],Table_NFI[Clothes Kit])</f>
        <v>#REF!</v>
      </c>
      <c r="AJ268" s="542" t="e">
        <f>IF(NFI_Expiration=1,IF(#REF!&lt;VLOOKUP(S$5,NFI,5,0),1,0)*Table_NFI[[#This Row],[Plastic Bucket]],Table_NFI[Plastic Bucket])</f>
        <v>#REF!</v>
      </c>
      <c r="AK268" s="542" t="e">
        <f>IF(NFI_Expiration=1,IF(#REF!&lt;VLOOKUP(T$5,NFI,5,0),1,0)*Table_NFI[[#This Row],[Plastic Mat]],Table_NFI[Plastic Mat])*IF(Table_NFI[[#This Row],[Distribution Date]]&gt;"2014-04-01",1,2.5)</f>
        <v>#REF!</v>
      </c>
      <c r="AL268" s="542" t="e">
        <f>IF(NFI_Expiration=1,IF(#REF!&lt;VLOOKUP(U$5,NFI,5,0),1,0)*Table_NFI[[#This Row],[Winter Clothes Adult]],Table_NFI[Winter Clothes Adult])</f>
        <v>#REF!</v>
      </c>
      <c r="AM268" s="542"/>
      <c r="AN268" s="542"/>
      <c r="AO268" s="542"/>
      <c r="AP268" s="542">
        <f>IF(Table_NFI[[#This Row],[Winter Clothes Adult]]+Table_NFI[[#This Row],[Winter Clothes Children]]+Table_NFI[[#This Row],[Winter Items Other]]+Table_NFI[[#This Row],[Winter Blanket]]&gt;0,1,0)</f>
        <v>0</v>
      </c>
      <c r="AQ268" s="542"/>
      <c r="AR268" s="542"/>
      <c r="AS268" s="542"/>
      <c r="AT268" s="205" t="str">
        <f>IFERROR(VLOOKUP(Table_NFI[[#This Row],[Location]],CL,2,0),"")</f>
        <v>MMR001CMP029</v>
      </c>
      <c r="AU268" s="183"/>
    </row>
    <row r="269" spans="2:47" x14ac:dyDescent="0.25">
      <c r="B269" s="540">
        <v>43224</v>
      </c>
      <c r="C269" s="540" t="str">
        <f>MONTH(Table_NFI[[#This Row],[Distribution Date]]) &amp; "/" &amp; YEAR(Table_NFI[[#This Row],[Distribution Date]])</f>
        <v>5/2018</v>
      </c>
      <c r="D269" s="668" t="s">
        <v>825</v>
      </c>
      <c r="E269" s="668" t="s">
        <v>825</v>
      </c>
      <c r="F269" s="668" t="s">
        <v>378</v>
      </c>
      <c r="G269" s="197" t="s">
        <v>27</v>
      </c>
      <c r="H269" s="219" t="s">
        <v>28</v>
      </c>
      <c r="I269" s="183"/>
      <c r="J269" s="541"/>
      <c r="K269" s="541"/>
      <c r="L269" s="541">
        <v>45</v>
      </c>
      <c r="M269" s="541">
        <v>45</v>
      </c>
      <c r="N269" s="541"/>
      <c r="O269" s="541"/>
      <c r="P269" s="541"/>
      <c r="Q269" s="541"/>
      <c r="R269" s="541"/>
      <c r="S269" s="541"/>
      <c r="T269" s="541"/>
      <c r="U269" s="541"/>
      <c r="V269" s="541"/>
      <c r="W269" s="541"/>
      <c r="X269" s="541"/>
      <c r="Y269" s="541">
        <v>45</v>
      </c>
      <c r="Z269" s="541"/>
      <c r="AA269" s="541"/>
      <c r="AB269" s="541"/>
      <c r="AC269" s="542" t="e">
        <f>IF(NFI_Expiration=1,IF(#REF!&lt;VLOOKUP(L$5,NFI,5,0),1,0)*Table_NFI[[#This Row],[NFI Core Kit]],Table_NFI[NFI Core Kit])</f>
        <v>#REF!</v>
      </c>
      <c r="AD269" s="542" t="e">
        <f>IF(NFI_Expiration=1,IF(#REF!&lt;VLOOKUP(M$5,NFI,5,0),1,0)*Table_NFI[[#This Row],[Sanitary Kit]],Table_NFI[Sanitary Kit])</f>
        <v>#REF!</v>
      </c>
      <c r="AE269" s="542" t="e">
        <f>IF(NFI_Expiration=1,IF(#REF!&lt;VLOOKUP(N$5,NFI,5,0),1,0)*Table_NFI[[#This Row],[Mosquito net]],Table_NFI[Mosquito net])</f>
        <v>#REF!</v>
      </c>
      <c r="AF269" s="542" t="e">
        <f>IF(NFI_Expiration=1,IF(#REF!&lt;VLOOKUP(O$5,NFI,5,0),1,0)*Table_NFI[[#This Row],[Tarpaulin]],Table_NFI[[#This Row],[Tarpaulin]])</f>
        <v>#REF!</v>
      </c>
      <c r="AG269" s="542" t="e">
        <f>IF(NFI_Expiration=1,IF(#REF!&lt;VLOOKUP(P$5,NFI,5,0),1,0)*Table_NFI[[#This Row],[Blanket]],Table_NFI[[#This Row],[Blanket]])</f>
        <v>#REF!</v>
      </c>
      <c r="AH269" s="542" t="e">
        <f>IF(NFI_Expiration=1,IF(#REF!&lt;VLOOKUP(Q$5,NFI,5,0),1,0)*Table_NFI[[#This Row],[Kitchen Set]],Table_NFI[Kitchen Set])</f>
        <v>#REF!</v>
      </c>
      <c r="AI269" s="542" t="e">
        <f>IF(NFI_Expiration=1,IF(#REF!&lt;VLOOKUP(R$5,NFI,5,0),1,0)*Table_NFI[[#This Row],[Clothes Kit]],Table_NFI[Clothes Kit])</f>
        <v>#REF!</v>
      </c>
      <c r="AJ269" s="542" t="e">
        <f>IF(NFI_Expiration=1,IF(#REF!&lt;VLOOKUP(S$5,NFI,5,0),1,0)*Table_NFI[[#This Row],[Plastic Bucket]],Table_NFI[Plastic Bucket])</f>
        <v>#REF!</v>
      </c>
      <c r="AK269" s="542" t="e">
        <f>IF(NFI_Expiration=1,IF(#REF!&lt;VLOOKUP(T$5,NFI,5,0),1,0)*Table_NFI[[#This Row],[Plastic Mat]],Table_NFI[Plastic Mat])*IF(Table_NFI[[#This Row],[Distribution Date]]&gt;"2014-04-01",1,2.5)</f>
        <v>#REF!</v>
      </c>
      <c r="AL269" s="542" t="e">
        <f>IF(NFI_Expiration=1,IF(#REF!&lt;VLOOKUP(U$5,NFI,5,0),1,0)*Table_NFI[[#This Row],[Winter Clothes Adult]],Table_NFI[Winter Clothes Adult])</f>
        <v>#REF!</v>
      </c>
      <c r="AM269" s="542"/>
      <c r="AN269" s="542"/>
      <c r="AO269" s="542"/>
      <c r="AP269" s="542">
        <f>IF(Table_NFI[[#This Row],[Winter Clothes Adult]]+Table_NFI[[#This Row],[Winter Clothes Children]]+Table_NFI[[#This Row],[Winter Items Other]]+Table_NFI[[#This Row],[Winter Blanket]]&gt;0,1,0)</f>
        <v>0</v>
      </c>
      <c r="AQ269" s="542"/>
      <c r="AR269" s="542"/>
      <c r="AS269" s="542"/>
      <c r="AT269" s="205" t="str">
        <f>IFERROR(VLOOKUP(Table_NFI[[#This Row],[Location]],CL,2,0),"")</f>
        <v>MMR001CMP042</v>
      </c>
      <c r="AU269" s="183"/>
    </row>
    <row r="270" spans="2:47" x14ac:dyDescent="0.25">
      <c r="B270" s="540">
        <v>43224</v>
      </c>
      <c r="C270" s="540" t="str">
        <f>MONTH(Table_NFI[[#This Row],[Distribution Date]]) &amp; "/" &amp; YEAR(Table_NFI[[#This Row],[Distribution Date]])</f>
        <v>5/2018</v>
      </c>
      <c r="D270" s="668" t="s">
        <v>825</v>
      </c>
      <c r="E270" s="668" t="s">
        <v>825</v>
      </c>
      <c r="F270" s="668" t="s">
        <v>378</v>
      </c>
      <c r="G270" s="197" t="s">
        <v>27</v>
      </c>
      <c r="H270" s="219" t="s">
        <v>363</v>
      </c>
      <c r="I270" s="183"/>
      <c r="J270" s="541"/>
      <c r="K270" s="541"/>
      <c r="L270" s="541">
        <v>54</v>
      </c>
      <c r="M270" s="541">
        <v>54</v>
      </c>
      <c r="N270" s="541"/>
      <c r="O270" s="541"/>
      <c r="P270" s="541"/>
      <c r="Q270" s="541"/>
      <c r="R270" s="541"/>
      <c r="S270" s="541"/>
      <c r="T270" s="541"/>
      <c r="U270" s="541"/>
      <c r="V270" s="541"/>
      <c r="W270" s="541"/>
      <c r="X270" s="541"/>
      <c r="Y270" s="541">
        <v>54</v>
      </c>
      <c r="Z270" s="541"/>
      <c r="AA270" s="541"/>
      <c r="AB270" s="541"/>
      <c r="AC270" s="542" t="e">
        <f>IF(NFI_Expiration=1,IF(#REF!&lt;VLOOKUP(L$5,NFI,5,0),1,0)*Table_NFI[[#This Row],[NFI Core Kit]],Table_NFI[NFI Core Kit])</f>
        <v>#REF!</v>
      </c>
      <c r="AD270" s="542" t="e">
        <f>IF(NFI_Expiration=1,IF(#REF!&lt;VLOOKUP(M$5,NFI,5,0),1,0)*Table_NFI[[#This Row],[Sanitary Kit]],Table_NFI[Sanitary Kit])</f>
        <v>#REF!</v>
      </c>
      <c r="AE270" s="542" t="e">
        <f>IF(NFI_Expiration=1,IF(#REF!&lt;VLOOKUP(N$5,NFI,5,0),1,0)*Table_NFI[[#This Row],[Mosquito net]],Table_NFI[Mosquito net])</f>
        <v>#REF!</v>
      </c>
      <c r="AF270" s="542" t="e">
        <f>IF(NFI_Expiration=1,IF(#REF!&lt;VLOOKUP(O$5,NFI,5,0),1,0)*Table_NFI[[#This Row],[Tarpaulin]],Table_NFI[[#This Row],[Tarpaulin]])</f>
        <v>#REF!</v>
      </c>
      <c r="AG270" s="542" t="e">
        <f>IF(NFI_Expiration=1,IF(#REF!&lt;VLOOKUP(P$5,NFI,5,0),1,0)*Table_NFI[[#This Row],[Blanket]],Table_NFI[[#This Row],[Blanket]])</f>
        <v>#REF!</v>
      </c>
      <c r="AH270" s="542" t="e">
        <f>IF(NFI_Expiration=1,IF(#REF!&lt;VLOOKUP(Q$5,NFI,5,0),1,0)*Table_NFI[[#This Row],[Kitchen Set]],Table_NFI[Kitchen Set])</f>
        <v>#REF!</v>
      </c>
      <c r="AI270" s="542" t="e">
        <f>IF(NFI_Expiration=1,IF(#REF!&lt;VLOOKUP(R$5,NFI,5,0),1,0)*Table_NFI[[#This Row],[Clothes Kit]],Table_NFI[Clothes Kit])</f>
        <v>#REF!</v>
      </c>
      <c r="AJ270" s="542" t="e">
        <f>IF(NFI_Expiration=1,IF(#REF!&lt;VLOOKUP(S$5,NFI,5,0),1,0)*Table_NFI[[#This Row],[Plastic Bucket]],Table_NFI[Plastic Bucket])</f>
        <v>#REF!</v>
      </c>
      <c r="AK270" s="542" t="e">
        <f>IF(NFI_Expiration=1,IF(#REF!&lt;VLOOKUP(T$5,NFI,5,0),1,0)*Table_NFI[[#This Row],[Plastic Mat]],Table_NFI[Plastic Mat])*IF(Table_NFI[[#This Row],[Distribution Date]]&gt;"2014-04-01",1,2.5)</f>
        <v>#REF!</v>
      </c>
      <c r="AL270" s="542" t="e">
        <f>IF(NFI_Expiration=1,IF(#REF!&lt;VLOOKUP(U$5,NFI,5,0),1,0)*Table_NFI[[#This Row],[Winter Clothes Adult]],Table_NFI[Winter Clothes Adult])</f>
        <v>#REF!</v>
      </c>
      <c r="AM270" s="542"/>
      <c r="AN270" s="542"/>
      <c r="AO270" s="542"/>
      <c r="AP270" s="542">
        <f>IF(Table_NFI[[#This Row],[Winter Clothes Adult]]+Table_NFI[[#This Row],[Winter Clothes Children]]+Table_NFI[[#This Row],[Winter Items Other]]+Table_NFI[[#This Row],[Winter Blanket]]&gt;0,1,0)</f>
        <v>0</v>
      </c>
      <c r="AQ270" s="542"/>
      <c r="AR270" s="542"/>
      <c r="AS270" s="542"/>
      <c r="AT270" s="205" t="str">
        <f>IFERROR(VLOOKUP(Table_NFI[[#This Row],[Location]],CL,2,0),"")</f>
        <v>MMR001CMP195</v>
      </c>
      <c r="AU270" s="183"/>
    </row>
    <row r="271" spans="2:47" x14ac:dyDescent="0.25">
      <c r="B271" s="540">
        <v>43224</v>
      </c>
      <c r="C271" s="540" t="str">
        <f>MONTH(Table_NFI[[#This Row],[Distribution Date]]) &amp; "/" &amp; YEAR(Table_NFI[[#This Row],[Distribution Date]])</f>
        <v>5/2018</v>
      </c>
      <c r="D271" s="668" t="s">
        <v>825</v>
      </c>
      <c r="E271" s="668" t="s">
        <v>825</v>
      </c>
      <c r="F271" s="668" t="s">
        <v>378</v>
      </c>
      <c r="G271" s="197" t="s">
        <v>480</v>
      </c>
      <c r="H271" s="219" t="s">
        <v>1707</v>
      </c>
      <c r="I271" s="183"/>
      <c r="J271" s="541">
        <v>28</v>
      </c>
      <c r="K271" s="541"/>
      <c r="L271" s="541"/>
      <c r="M271" s="541"/>
      <c r="N271" s="541">
        <v>28</v>
      </c>
      <c r="O271" s="541">
        <v>28</v>
      </c>
      <c r="P271" s="541">
        <v>28</v>
      </c>
      <c r="Q271" s="541">
        <v>28</v>
      </c>
      <c r="R271" s="541"/>
      <c r="S271" s="541"/>
      <c r="T271" s="541"/>
      <c r="U271" s="541"/>
      <c r="V271" s="541"/>
      <c r="W271" s="541"/>
      <c r="X271" s="541"/>
      <c r="Y271" s="541"/>
      <c r="Z271" s="541"/>
      <c r="AA271" s="541"/>
      <c r="AB271" s="541"/>
      <c r="AC271" s="542" t="e">
        <f>IF(NFI_Expiration=1,IF(#REF!&lt;VLOOKUP(L$5,NFI,5,0),1,0)*Table_NFI[[#This Row],[NFI Core Kit]],Table_NFI[NFI Core Kit])</f>
        <v>#REF!</v>
      </c>
      <c r="AD271" s="542" t="e">
        <f>IF(NFI_Expiration=1,IF(#REF!&lt;VLOOKUP(M$5,NFI,5,0),1,0)*Table_NFI[[#This Row],[Sanitary Kit]],Table_NFI[Sanitary Kit])</f>
        <v>#REF!</v>
      </c>
      <c r="AE271" s="542" t="e">
        <f>IF(NFI_Expiration=1,IF(#REF!&lt;VLOOKUP(N$5,NFI,5,0),1,0)*Table_NFI[[#This Row],[Mosquito net]],Table_NFI[Mosquito net])</f>
        <v>#REF!</v>
      </c>
      <c r="AF271" s="542" t="e">
        <f>IF(NFI_Expiration=1,IF(#REF!&lt;VLOOKUP(O$5,NFI,5,0),1,0)*Table_NFI[[#This Row],[Tarpaulin]],Table_NFI[[#This Row],[Tarpaulin]])</f>
        <v>#REF!</v>
      </c>
      <c r="AG271" s="542" t="e">
        <f>IF(NFI_Expiration=1,IF(#REF!&lt;VLOOKUP(P$5,NFI,5,0),1,0)*Table_NFI[[#This Row],[Blanket]],Table_NFI[[#This Row],[Blanket]])</f>
        <v>#REF!</v>
      </c>
      <c r="AH271" s="542" t="e">
        <f>IF(NFI_Expiration=1,IF(#REF!&lt;VLOOKUP(Q$5,NFI,5,0),1,0)*Table_NFI[[#This Row],[Kitchen Set]],Table_NFI[Kitchen Set])</f>
        <v>#REF!</v>
      </c>
      <c r="AI271" s="542" t="e">
        <f>IF(NFI_Expiration=1,IF(#REF!&lt;VLOOKUP(R$5,NFI,5,0),1,0)*Table_NFI[[#This Row],[Clothes Kit]],Table_NFI[Clothes Kit])</f>
        <v>#REF!</v>
      </c>
      <c r="AJ271" s="542" t="e">
        <f>IF(NFI_Expiration=1,IF(#REF!&lt;VLOOKUP(S$5,NFI,5,0),1,0)*Table_NFI[[#This Row],[Plastic Bucket]],Table_NFI[Plastic Bucket])</f>
        <v>#REF!</v>
      </c>
      <c r="AK271" s="542" t="e">
        <f>IF(NFI_Expiration=1,IF(#REF!&lt;VLOOKUP(T$5,NFI,5,0),1,0)*Table_NFI[[#This Row],[Plastic Mat]],Table_NFI[Plastic Mat])*IF(Table_NFI[[#This Row],[Distribution Date]]&gt;"2014-04-01",1,2.5)</f>
        <v>#REF!</v>
      </c>
      <c r="AL271" s="542" t="e">
        <f>IF(NFI_Expiration=1,IF(#REF!&lt;VLOOKUP(U$5,NFI,5,0),1,0)*Table_NFI[[#This Row],[Winter Clothes Adult]],Table_NFI[Winter Clothes Adult])</f>
        <v>#REF!</v>
      </c>
      <c r="AM271" s="542"/>
      <c r="AN271" s="542"/>
      <c r="AO271" s="542"/>
      <c r="AP271" s="542">
        <f>IF(Table_NFI[[#This Row],[Winter Clothes Adult]]+Table_NFI[[#This Row],[Winter Clothes Children]]+Table_NFI[[#This Row],[Winter Items Other]]+Table_NFI[[#This Row],[Winter Blanket]]&gt;0,1,0)</f>
        <v>0</v>
      </c>
      <c r="AQ271" s="542"/>
      <c r="AR271" s="542"/>
      <c r="AS271" s="542"/>
      <c r="AT271" s="205" t="str">
        <f>IFERROR(VLOOKUP(Table_NFI[[#This Row],[Location]],CL,2,0),"")</f>
        <v>MMR001CMP270</v>
      </c>
      <c r="AU271" s="183"/>
    </row>
    <row r="272" spans="2:47" x14ac:dyDescent="0.25">
      <c r="B272" s="540">
        <v>43228</v>
      </c>
      <c r="C272" s="540" t="str">
        <f>MONTH(Table_NFI[[#This Row],[Distribution Date]]) &amp; "/" &amp; YEAR(Table_NFI[[#This Row],[Distribution Date]])</f>
        <v>5/2018</v>
      </c>
      <c r="D272" s="668" t="s">
        <v>825</v>
      </c>
      <c r="E272" s="668" t="s">
        <v>825</v>
      </c>
      <c r="F272" s="668" t="s">
        <v>378</v>
      </c>
      <c r="G272" s="197" t="s">
        <v>361</v>
      </c>
      <c r="H272" s="219" t="s">
        <v>1700</v>
      </c>
      <c r="I272" s="183"/>
      <c r="J272" s="541"/>
      <c r="K272" s="541"/>
      <c r="L272" s="541"/>
      <c r="M272" s="541">
        <v>29</v>
      </c>
      <c r="N272" s="541">
        <v>29</v>
      </c>
      <c r="O272" s="541"/>
      <c r="P272" s="541"/>
      <c r="Q272" s="541">
        <v>29</v>
      </c>
      <c r="R272" s="541"/>
      <c r="S272" s="541"/>
      <c r="T272" s="541"/>
      <c r="U272" s="541"/>
      <c r="V272" s="541"/>
      <c r="W272" s="541"/>
      <c r="X272" s="541"/>
      <c r="Y272" s="541"/>
      <c r="Z272" s="541"/>
      <c r="AA272" s="541"/>
      <c r="AB272" s="541"/>
      <c r="AC272" s="542" t="e">
        <f>IF(NFI_Expiration=1,IF(#REF!&lt;VLOOKUP(L$5,NFI,5,0),1,0)*Table_NFI[[#This Row],[NFI Core Kit]],Table_NFI[NFI Core Kit])</f>
        <v>#REF!</v>
      </c>
      <c r="AD272" s="542" t="e">
        <f>IF(NFI_Expiration=1,IF(#REF!&lt;VLOOKUP(M$5,NFI,5,0),1,0)*Table_NFI[[#This Row],[Sanitary Kit]],Table_NFI[Sanitary Kit])</f>
        <v>#REF!</v>
      </c>
      <c r="AE272" s="542" t="e">
        <f>IF(NFI_Expiration=1,IF(#REF!&lt;VLOOKUP(N$5,NFI,5,0),1,0)*Table_NFI[[#This Row],[Mosquito net]],Table_NFI[Mosquito net])</f>
        <v>#REF!</v>
      </c>
      <c r="AF272" s="542" t="e">
        <f>IF(NFI_Expiration=1,IF(#REF!&lt;VLOOKUP(O$5,NFI,5,0),1,0)*Table_NFI[[#This Row],[Tarpaulin]],Table_NFI[[#This Row],[Tarpaulin]])</f>
        <v>#REF!</v>
      </c>
      <c r="AG272" s="542" t="e">
        <f>IF(NFI_Expiration=1,IF(#REF!&lt;VLOOKUP(P$5,NFI,5,0),1,0)*Table_NFI[[#This Row],[Blanket]],Table_NFI[[#This Row],[Blanket]])</f>
        <v>#REF!</v>
      </c>
      <c r="AH272" s="542" t="e">
        <f>IF(NFI_Expiration=1,IF(#REF!&lt;VLOOKUP(Q$5,NFI,5,0),1,0)*Table_NFI[[#This Row],[Kitchen Set]],Table_NFI[Kitchen Set])</f>
        <v>#REF!</v>
      </c>
      <c r="AI272" s="542" t="e">
        <f>IF(NFI_Expiration=1,IF(#REF!&lt;VLOOKUP(R$5,NFI,5,0),1,0)*Table_NFI[[#This Row],[Clothes Kit]],Table_NFI[Clothes Kit])</f>
        <v>#REF!</v>
      </c>
      <c r="AJ272" s="542" t="e">
        <f>IF(NFI_Expiration=1,IF(#REF!&lt;VLOOKUP(S$5,NFI,5,0),1,0)*Table_NFI[[#This Row],[Plastic Bucket]],Table_NFI[Plastic Bucket])</f>
        <v>#REF!</v>
      </c>
      <c r="AK272" s="542" t="e">
        <f>IF(NFI_Expiration=1,IF(#REF!&lt;VLOOKUP(T$5,NFI,5,0),1,0)*Table_NFI[[#This Row],[Plastic Mat]],Table_NFI[Plastic Mat])*IF(Table_NFI[[#This Row],[Distribution Date]]&gt;"2014-04-01",1,2.5)</f>
        <v>#REF!</v>
      </c>
      <c r="AL272" s="542" t="e">
        <f>IF(NFI_Expiration=1,IF(#REF!&lt;VLOOKUP(U$5,NFI,5,0),1,0)*Table_NFI[[#This Row],[Winter Clothes Adult]],Table_NFI[Winter Clothes Adult])</f>
        <v>#REF!</v>
      </c>
      <c r="AM272" s="542"/>
      <c r="AN272" s="542"/>
      <c r="AO272" s="542"/>
      <c r="AP272" s="542">
        <f>IF(Table_NFI[[#This Row],[Winter Clothes Adult]]+Table_NFI[[#This Row],[Winter Clothes Children]]+Table_NFI[[#This Row],[Winter Items Other]]+Table_NFI[[#This Row],[Winter Blanket]]&gt;0,1,0)</f>
        <v>0</v>
      </c>
      <c r="AQ272" s="542"/>
      <c r="AR272" s="542"/>
      <c r="AS272" s="542"/>
      <c r="AT272" s="205" t="str">
        <f>IFERROR(VLOOKUP(Table_NFI[[#This Row],[Location]],CL,2,0),"")</f>
        <v/>
      </c>
      <c r="AU272" s="183"/>
    </row>
    <row r="273" spans="2:47" x14ac:dyDescent="0.25">
      <c r="B273" s="540">
        <v>43230</v>
      </c>
      <c r="C273" s="540" t="str">
        <f>MONTH(Table_NFI[[#This Row],[Distribution Date]]) &amp; "/" &amp; YEAR(Table_NFI[[#This Row],[Distribution Date]])</f>
        <v>5/2018</v>
      </c>
      <c r="D273" s="668" t="s">
        <v>825</v>
      </c>
      <c r="E273" s="668" t="s">
        <v>825</v>
      </c>
      <c r="F273" s="668" t="s">
        <v>378</v>
      </c>
      <c r="G273" s="197" t="s">
        <v>1136</v>
      </c>
      <c r="H273" s="219" t="s">
        <v>1403</v>
      </c>
      <c r="I273" s="183"/>
      <c r="J273" s="541">
        <v>67</v>
      </c>
      <c r="K273" s="541"/>
      <c r="L273" s="541"/>
      <c r="M273" s="541"/>
      <c r="N273" s="541">
        <v>67</v>
      </c>
      <c r="O273" s="541"/>
      <c r="P273" s="541"/>
      <c r="Q273" s="541"/>
      <c r="R273" s="541"/>
      <c r="S273" s="541"/>
      <c r="T273" s="541"/>
      <c r="U273" s="541"/>
      <c r="V273" s="541"/>
      <c r="W273" s="541"/>
      <c r="X273" s="541"/>
      <c r="Y273" s="541"/>
      <c r="Z273" s="541"/>
      <c r="AA273" s="541"/>
      <c r="AB273" s="541"/>
      <c r="AC273" s="542" t="e">
        <f>IF(NFI_Expiration=1,IF(#REF!&lt;VLOOKUP(L$5,NFI,5,0),1,0)*Table_NFI[[#This Row],[NFI Core Kit]],Table_NFI[NFI Core Kit])</f>
        <v>#REF!</v>
      </c>
      <c r="AD273" s="542" t="e">
        <f>IF(NFI_Expiration=1,IF(#REF!&lt;VLOOKUP(M$5,NFI,5,0),1,0)*Table_NFI[[#This Row],[Sanitary Kit]],Table_NFI[Sanitary Kit])</f>
        <v>#REF!</v>
      </c>
      <c r="AE273" s="542" t="e">
        <f>IF(NFI_Expiration=1,IF(#REF!&lt;VLOOKUP(N$5,NFI,5,0),1,0)*Table_NFI[[#This Row],[Mosquito net]],Table_NFI[Mosquito net])</f>
        <v>#REF!</v>
      </c>
      <c r="AF273" s="542" t="e">
        <f>IF(NFI_Expiration=1,IF(#REF!&lt;VLOOKUP(O$5,NFI,5,0),1,0)*Table_NFI[[#This Row],[Tarpaulin]],Table_NFI[[#This Row],[Tarpaulin]])</f>
        <v>#REF!</v>
      </c>
      <c r="AG273" s="542" t="e">
        <f>IF(NFI_Expiration=1,IF(#REF!&lt;VLOOKUP(P$5,NFI,5,0),1,0)*Table_NFI[[#This Row],[Blanket]],Table_NFI[[#This Row],[Blanket]])</f>
        <v>#REF!</v>
      </c>
      <c r="AH273" s="542" t="e">
        <f>IF(NFI_Expiration=1,IF(#REF!&lt;VLOOKUP(Q$5,NFI,5,0),1,0)*Table_NFI[[#This Row],[Kitchen Set]],Table_NFI[Kitchen Set])</f>
        <v>#REF!</v>
      </c>
      <c r="AI273" s="542" t="e">
        <f>IF(NFI_Expiration=1,IF(#REF!&lt;VLOOKUP(R$5,NFI,5,0),1,0)*Table_NFI[[#This Row],[Clothes Kit]],Table_NFI[Clothes Kit])</f>
        <v>#REF!</v>
      </c>
      <c r="AJ273" s="542" t="e">
        <f>IF(NFI_Expiration=1,IF(#REF!&lt;VLOOKUP(S$5,NFI,5,0),1,0)*Table_NFI[[#This Row],[Plastic Bucket]],Table_NFI[Plastic Bucket])</f>
        <v>#REF!</v>
      </c>
      <c r="AK273" s="542" t="e">
        <f>IF(NFI_Expiration=1,IF(#REF!&lt;VLOOKUP(T$5,NFI,5,0),1,0)*Table_NFI[[#This Row],[Plastic Mat]],Table_NFI[Plastic Mat])*IF(Table_NFI[[#This Row],[Distribution Date]]&gt;"2014-04-01",1,2.5)</f>
        <v>#REF!</v>
      </c>
      <c r="AL273" s="542" t="e">
        <f>IF(NFI_Expiration=1,IF(#REF!&lt;VLOOKUP(U$5,NFI,5,0),1,0)*Table_NFI[[#This Row],[Winter Clothes Adult]],Table_NFI[Winter Clothes Adult])</f>
        <v>#REF!</v>
      </c>
      <c r="AM273" s="542"/>
      <c r="AN273" s="542"/>
      <c r="AO273" s="542"/>
      <c r="AP273" s="542">
        <f>IF(Table_NFI[[#This Row],[Winter Clothes Adult]]+Table_NFI[[#This Row],[Winter Clothes Children]]+Table_NFI[[#This Row],[Winter Items Other]]+Table_NFI[[#This Row],[Winter Blanket]]&gt;0,1,0)</f>
        <v>0</v>
      </c>
      <c r="AQ273" s="542"/>
      <c r="AR273" s="542"/>
      <c r="AS273" s="542"/>
      <c r="AT273" s="205" t="str">
        <f>IFERROR(VLOOKUP(Table_NFI[[#This Row],[Location]],CL,2,0),"")</f>
        <v/>
      </c>
      <c r="AU273" s="183"/>
    </row>
    <row r="274" spans="2:47" x14ac:dyDescent="0.25">
      <c r="B274" s="540">
        <v>43230</v>
      </c>
      <c r="C274" s="540" t="str">
        <f>MONTH(Table_NFI[[#This Row],[Distribution Date]]) &amp; "/" &amp; YEAR(Table_NFI[[#This Row],[Distribution Date]])</f>
        <v>5/2018</v>
      </c>
      <c r="D274" s="668" t="s">
        <v>825</v>
      </c>
      <c r="E274" s="668" t="s">
        <v>825</v>
      </c>
      <c r="F274" s="668" t="s">
        <v>378</v>
      </c>
      <c r="G274" s="197" t="s">
        <v>480</v>
      </c>
      <c r="H274" s="219" t="s">
        <v>1642</v>
      </c>
      <c r="I274" s="183"/>
      <c r="J274" s="541"/>
      <c r="K274" s="541"/>
      <c r="L274" s="541">
        <v>37</v>
      </c>
      <c r="M274" s="541">
        <v>37</v>
      </c>
      <c r="N274" s="541"/>
      <c r="O274" s="541"/>
      <c r="P274" s="541"/>
      <c r="Q274" s="541"/>
      <c r="R274" s="541"/>
      <c r="S274" s="541"/>
      <c r="T274" s="541"/>
      <c r="U274" s="541"/>
      <c r="V274" s="541"/>
      <c r="W274" s="541"/>
      <c r="X274" s="541"/>
      <c r="Y274" s="541">
        <v>37</v>
      </c>
      <c r="Z274" s="541"/>
      <c r="AA274" s="541"/>
      <c r="AB274" s="541"/>
      <c r="AC274" s="542" t="e">
        <f>IF(NFI_Expiration=1,IF(#REF!&lt;VLOOKUP(L$5,NFI,5,0),1,0)*Table_NFI[[#This Row],[NFI Core Kit]],Table_NFI[NFI Core Kit])</f>
        <v>#REF!</v>
      </c>
      <c r="AD274" s="542" t="e">
        <f>IF(NFI_Expiration=1,IF(#REF!&lt;VLOOKUP(M$5,NFI,5,0),1,0)*Table_NFI[[#This Row],[Sanitary Kit]],Table_NFI[Sanitary Kit])</f>
        <v>#REF!</v>
      </c>
      <c r="AE274" s="542" t="e">
        <f>IF(NFI_Expiration=1,IF(#REF!&lt;VLOOKUP(N$5,NFI,5,0),1,0)*Table_NFI[[#This Row],[Mosquito net]],Table_NFI[Mosquito net])</f>
        <v>#REF!</v>
      </c>
      <c r="AF274" s="542" t="e">
        <f>IF(NFI_Expiration=1,IF(#REF!&lt;VLOOKUP(O$5,NFI,5,0),1,0)*Table_NFI[[#This Row],[Tarpaulin]],Table_NFI[[#This Row],[Tarpaulin]])</f>
        <v>#REF!</v>
      </c>
      <c r="AG274" s="542" t="e">
        <f>IF(NFI_Expiration=1,IF(#REF!&lt;VLOOKUP(P$5,NFI,5,0),1,0)*Table_NFI[[#This Row],[Blanket]],Table_NFI[[#This Row],[Blanket]])</f>
        <v>#REF!</v>
      </c>
      <c r="AH274" s="542" t="e">
        <f>IF(NFI_Expiration=1,IF(#REF!&lt;VLOOKUP(Q$5,NFI,5,0),1,0)*Table_NFI[[#This Row],[Kitchen Set]],Table_NFI[Kitchen Set])</f>
        <v>#REF!</v>
      </c>
      <c r="AI274" s="542" t="e">
        <f>IF(NFI_Expiration=1,IF(#REF!&lt;VLOOKUP(R$5,NFI,5,0),1,0)*Table_NFI[[#This Row],[Clothes Kit]],Table_NFI[Clothes Kit])</f>
        <v>#REF!</v>
      </c>
      <c r="AJ274" s="542" t="e">
        <f>IF(NFI_Expiration=1,IF(#REF!&lt;VLOOKUP(S$5,NFI,5,0),1,0)*Table_NFI[[#This Row],[Plastic Bucket]],Table_NFI[Plastic Bucket])</f>
        <v>#REF!</v>
      </c>
      <c r="AK274" s="542" t="e">
        <f>IF(NFI_Expiration=1,IF(#REF!&lt;VLOOKUP(T$5,NFI,5,0),1,0)*Table_NFI[[#This Row],[Plastic Mat]],Table_NFI[Plastic Mat])*IF(Table_NFI[[#This Row],[Distribution Date]]&gt;"2014-04-01",1,2.5)</f>
        <v>#REF!</v>
      </c>
      <c r="AL274" s="542" t="e">
        <f>IF(NFI_Expiration=1,IF(#REF!&lt;VLOOKUP(U$5,NFI,5,0),1,0)*Table_NFI[[#This Row],[Winter Clothes Adult]],Table_NFI[Winter Clothes Adult])</f>
        <v>#REF!</v>
      </c>
      <c r="AM274" s="542"/>
      <c r="AN274" s="542"/>
      <c r="AO274" s="542"/>
      <c r="AP274" s="542">
        <f>IF(Table_NFI[[#This Row],[Winter Clothes Adult]]+Table_NFI[[#This Row],[Winter Clothes Children]]+Table_NFI[[#This Row],[Winter Items Other]]+Table_NFI[[#This Row],[Winter Blanket]]&gt;0,1,0)</f>
        <v>0</v>
      </c>
      <c r="AQ274" s="542"/>
      <c r="AR274" s="542"/>
      <c r="AS274" s="542"/>
      <c r="AT274" s="205" t="str">
        <f>IFERROR(VLOOKUP(Table_NFI[[#This Row],[Location]],CL,2,0),"")</f>
        <v>MMR001CMP268</v>
      </c>
      <c r="AU274" s="183"/>
    </row>
    <row r="275" spans="2:47" x14ac:dyDescent="0.3">
      <c r="B275" s="540">
        <v>43237</v>
      </c>
      <c r="C275" s="540" t="str">
        <f>MONTH(Table_NFI[[#This Row],[Distribution Date]]) &amp; "/" &amp; YEAR(Table_NFI[[#This Row],[Distribution Date]])</f>
        <v>5/2018</v>
      </c>
      <c r="D275" s="198" t="s">
        <v>1461</v>
      </c>
      <c r="E275" s="198"/>
      <c r="F275" s="198" t="s">
        <v>506</v>
      </c>
      <c r="G275" s="197" t="s">
        <v>297</v>
      </c>
      <c r="H275" s="219" t="s">
        <v>1137</v>
      </c>
      <c r="I275" s="183"/>
      <c r="J275" s="541"/>
      <c r="K275" s="541"/>
      <c r="L275" s="541">
        <v>1</v>
      </c>
      <c r="M275" s="541"/>
      <c r="N275" s="541"/>
      <c r="O275" s="541"/>
      <c r="P275" s="541"/>
      <c r="Q275" s="541"/>
      <c r="R275" s="541"/>
      <c r="S275" s="541"/>
      <c r="T275" s="541"/>
      <c r="U275" s="541"/>
      <c r="V275" s="541"/>
      <c r="W275" s="541"/>
      <c r="X275" s="541"/>
      <c r="Y275" s="541"/>
      <c r="Z275" s="541"/>
      <c r="AA275" s="541"/>
      <c r="AB275" s="541"/>
      <c r="AC275" s="542" t="e">
        <f>IF(NFI_Expiration=1,IF(#REF!&lt;VLOOKUP(L$5,NFI,5,0),1,0)*Table_NFI[[#This Row],[NFI Core Kit]],Table_NFI[NFI Core Kit])</f>
        <v>#REF!</v>
      </c>
      <c r="AD275" s="542" t="e">
        <f>IF(NFI_Expiration=1,IF(#REF!&lt;VLOOKUP(M$5,NFI,5,0),1,0)*Table_NFI[[#This Row],[Sanitary Kit]],Table_NFI[Sanitary Kit])</f>
        <v>#REF!</v>
      </c>
      <c r="AE275" s="542" t="e">
        <f>IF(NFI_Expiration=1,IF(#REF!&lt;VLOOKUP(N$5,NFI,5,0),1,0)*Table_NFI[[#This Row],[Mosquito net]],Table_NFI[Mosquito net])</f>
        <v>#REF!</v>
      </c>
      <c r="AF275" s="542" t="e">
        <f>IF(NFI_Expiration=1,IF(#REF!&lt;VLOOKUP(O$5,NFI,5,0),1,0)*Table_NFI[[#This Row],[Tarpaulin]],Table_NFI[[#This Row],[Tarpaulin]])</f>
        <v>#REF!</v>
      </c>
      <c r="AG275" s="542" t="e">
        <f>IF(NFI_Expiration=1,IF(#REF!&lt;VLOOKUP(P$5,NFI,5,0),1,0)*Table_NFI[[#This Row],[Blanket]],Table_NFI[[#This Row],[Blanket]])</f>
        <v>#REF!</v>
      </c>
      <c r="AH275" s="542" t="e">
        <f>IF(NFI_Expiration=1,IF(#REF!&lt;VLOOKUP(Q$5,NFI,5,0),1,0)*Table_NFI[[#This Row],[Kitchen Set]],Table_NFI[Kitchen Set])</f>
        <v>#REF!</v>
      </c>
      <c r="AI275" s="542" t="e">
        <f>IF(NFI_Expiration=1,IF(#REF!&lt;VLOOKUP(R$5,NFI,5,0),1,0)*Table_NFI[[#This Row],[Clothes Kit]],Table_NFI[Clothes Kit])</f>
        <v>#REF!</v>
      </c>
      <c r="AJ275" s="542" t="e">
        <f>IF(NFI_Expiration=1,IF(#REF!&lt;VLOOKUP(S$5,NFI,5,0),1,0)*Table_NFI[[#This Row],[Plastic Bucket]],Table_NFI[Plastic Bucket])</f>
        <v>#REF!</v>
      </c>
      <c r="AK275" s="542" t="e">
        <f>IF(NFI_Expiration=1,IF(#REF!&lt;VLOOKUP(T$5,NFI,5,0),1,0)*Table_NFI[[#This Row],[Plastic Mat]],Table_NFI[Plastic Mat])*IF(Table_NFI[[#This Row],[Distribution Date]]&gt;"2014-04-01",1,2.5)</f>
        <v>#REF!</v>
      </c>
      <c r="AL275" s="542" t="e">
        <f>IF(NFI_Expiration=1,IF(#REF!&lt;VLOOKUP(U$5,NFI,5,0),1,0)*Table_NFI[[#This Row],[Winter Clothes Adult]],Table_NFI[Winter Clothes Adult])</f>
        <v>#REF!</v>
      </c>
      <c r="AM275" s="542"/>
      <c r="AN275" s="542"/>
      <c r="AO275" s="542"/>
      <c r="AP275" s="542">
        <f>IF(Table_NFI[[#This Row],[Winter Clothes Adult]]+Table_NFI[[#This Row],[Winter Clothes Children]]+Table_NFI[[#This Row],[Winter Items Other]]+Table_NFI[[#This Row],[Winter Blanket]]&gt;0,1,0)</f>
        <v>0</v>
      </c>
      <c r="AQ275" s="542"/>
      <c r="AR275" s="542"/>
      <c r="AS275" s="542"/>
      <c r="AT275" s="205" t="str">
        <f>IFERROR(VLOOKUP(Table_NFI[[#This Row],[Location]],CL,2,0),"")</f>
        <v>MMR015CMP221</v>
      </c>
      <c r="AU275" s="183"/>
    </row>
    <row r="276" spans="2:47" x14ac:dyDescent="0.3">
      <c r="B276" s="540">
        <v>43248</v>
      </c>
      <c r="C276" s="540" t="str">
        <f>MONTH(Table_NFI[[#This Row],[Distribution Date]]) &amp; "/" &amp; YEAR(Table_NFI[[#This Row],[Distribution Date]])</f>
        <v>5/2018</v>
      </c>
      <c r="D276" s="198" t="s">
        <v>1461</v>
      </c>
      <c r="E276" s="198"/>
      <c r="F276" s="198" t="s">
        <v>506</v>
      </c>
      <c r="G276" s="197" t="s">
        <v>288</v>
      </c>
      <c r="H276" s="219" t="s">
        <v>1137</v>
      </c>
      <c r="I276" s="183"/>
      <c r="J276" s="541"/>
      <c r="K276" s="541"/>
      <c r="L276" s="541">
        <v>1</v>
      </c>
      <c r="M276" s="541"/>
      <c r="N276" s="541"/>
      <c r="O276" s="541"/>
      <c r="P276" s="541"/>
      <c r="Q276" s="541"/>
      <c r="R276" s="541"/>
      <c r="S276" s="541"/>
      <c r="T276" s="541"/>
      <c r="U276" s="541"/>
      <c r="V276" s="541"/>
      <c r="W276" s="541"/>
      <c r="X276" s="541"/>
      <c r="Y276" s="541"/>
      <c r="Z276" s="541"/>
      <c r="AA276" s="541"/>
      <c r="AB276" s="541"/>
      <c r="AC276" s="542" t="e">
        <f>IF(NFI_Expiration=1,IF(#REF!&lt;VLOOKUP(L$5,NFI,5,0),1,0)*Table_NFI[[#This Row],[NFI Core Kit]],Table_NFI[NFI Core Kit])</f>
        <v>#REF!</v>
      </c>
      <c r="AD276" s="542" t="e">
        <f>IF(NFI_Expiration=1,IF(#REF!&lt;VLOOKUP(M$5,NFI,5,0),1,0)*Table_NFI[[#This Row],[Sanitary Kit]],Table_NFI[Sanitary Kit])</f>
        <v>#REF!</v>
      </c>
      <c r="AE276" s="542" t="e">
        <f>IF(NFI_Expiration=1,IF(#REF!&lt;VLOOKUP(N$5,NFI,5,0),1,0)*Table_NFI[[#This Row],[Mosquito net]],Table_NFI[Mosquito net])</f>
        <v>#REF!</v>
      </c>
      <c r="AF276" s="542" t="e">
        <f>IF(NFI_Expiration=1,IF(#REF!&lt;VLOOKUP(O$5,NFI,5,0),1,0)*Table_NFI[[#This Row],[Tarpaulin]],Table_NFI[[#This Row],[Tarpaulin]])</f>
        <v>#REF!</v>
      </c>
      <c r="AG276" s="542" t="e">
        <f>IF(NFI_Expiration=1,IF(#REF!&lt;VLOOKUP(P$5,NFI,5,0),1,0)*Table_NFI[[#This Row],[Blanket]],Table_NFI[[#This Row],[Blanket]])</f>
        <v>#REF!</v>
      </c>
      <c r="AH276" s="542" t="e">
        <f>IF(NFI_Expiration=1,IF(#REF!&lt;VLOOKUP(Q$5,NFI,5,0),1,0)*Table_NFI[[#This Row],[Kitchen Set]],Table_NFI[Kitchen Set])</f>
        <v>#REF!</v>
      </c>
      <c r="AI276" s="542" t="e">
        <f>IF(NFI_Expiration=1,IF(#REF!&lt;VLOOKUP(R$5,NFI,5,0),1,0)*Table_NFI[[#This Row],[Clothes Kit]],Table_NFI[Clothes Kit])</f>
        <v>#REF!</v>
      </c>
      <c r="AJ276" s="542" t="e">
        <f>IF(NFI_Expiration=1,IF(#REF!&lt;VLOOKUP(S$5,NFI,5,0),1,0)*Table_NFI[[#This Row],[Plastic Bucket]],Table_NFI[Plastic Bucket])</f>
        <v>#REF!</v>
      </c>
      <c r="AK276" s="542" t="e">
        <f>IF(NFI_Expiration=1,IF(#REF!&lt;VLOOKUP(T$5,NFI,5,0),1,0)*Table_NFI[[#This Row],[Plastic Mat]],Table_NFI[Plastic Mat])*IF(Table_NFI[[#This Row],[Distribution Date]]&gt;"2014-04-01",1,2.5)</f>
        <v>#REF!</v>
      </c>
      <c r="AL276" s="542" t="e">
        <f>IF(NFI_Expiration=1,IF(#REF!&lt;VLOOKUP(U$5,NFI,5,0),1,0)*Table_NFI[[#This Row],[Winter Clothes Adult]],Table_NFI[Winter Clothes Adult])</f>
        <v>#REF!</v>
      </c>
      <c r="AM276" s="542"/>
      <c r="AN276" s="542"/>
      <c r="AO276" s="542"/>
      <c r="AP276" s="542">
        <f>IF(Table_NFI[[#This Row],[Winter Clothes Adult]]+Table_NFI[[#This Row],[Winter Clothes Children]]+Table_NFI[[#This Row],[Winter Items Other]]+Table_NFI[[#This Row],[Winter Blanket]]&gt;0,1,0)</f>
        <v>0</v>
      </c>
      <c r="AQ276" s="542"/>
      <c r="AR276" s="542"/>
      <c r="AS276" s="542"/>
      <c r="AT276" s="205" t="str">
        <f>IFERROR(VLOOKUP(Table_NFI[[#This Row],[Location]],CL,2,0),"")</f>
        <v>MMR015CMP221</v>
      </c>
      <c r="AU276" s="183"/>
    </row>
    <row r="277" spans="2:47" x14ac:dyDescent="0.3">
      <c r="B277" s="540">
        <v>43235</v>
      </c>
      <c r="C277" s="540" t="str">
        <f>MONTH(Table_NFI[[#This Row],[Distribution Date]]) &amp; "/" &amp; YEAR(Table_NFI[[#This Row],[Distribution Date]])</f>
        <v>5/2018</v>
      </c>
      <c r="D277" s="198" t="s">
        <v>1461</v>
      </c>
      <c r="E277" s="198"/>
      <c r="F277" s="198" t="s">
        <v>378</v>
      </c>
      <c r="G277" s="197" t="s">
        <v>151</v>
      </c>
      <c r="H277" s="219" t="s">
        <v>154</v>
      </c>
      <c r="I277" s="183">
        <v>1</v>
      </c>
      <c r="J277" s="541"/>
      <c r="K277" s="541"/>
      <c r="L277" s="541"/>
      <c r="M277" s="541"/>
      <c r="N277" s="541"/>
      <c r="O277" s="541"/>
      <c r="P277" s="541"/>
      <c r="Q277" s="541"/>
      <c r="R277" s="541"/>
      <c r="S277" s="541"/>
      <c r="T277" s="541"/>
      <c r="U277" s="541"/>
      <c r="V277" s="541"/>
      <c r="W277" s="541"/>
      <c r="X277" s="541"/>
      <c r="Y277" s="541"/>
      <c r="Z277" s="541"/>
      <c r="AA277" s="541"/>
      <c r="AB277" s="541"/>
      <c r="AC277" s="542" t="e">
        <f>IF(NFI_Expiration=1,IF(#REF!&lt;VLOOKUP(L$5,NFI,5,0),1,0)*Table_NFI[[#This Row],[NFI Core Kit]],Table_NFI[NFI Core Kit])</f>
        <v>#REF!</v>
      </c>
      <c r="AD277" s="542" t="e">
        <f>IF(NFI_Expiration=1,IF(#REF!&lt;VLOOKUP(M$5,NFI,5,0),1,0)*Table_NFI[[#This Row],[Sanitary Kit]],Table_NFI[Sanitary Kit])</f>
        <v>#REF!</v>
      </c>
      <c r="AE277" s="542" t="e">
        <f>IF(NFI_Expiration=1,IF(#REF!&lt;VLOOKUP(N$5,NFI,5,0),1,0)*Table_NFI[[#This Row],[Mosquito net]],Table_NFI[Mosquito net])</f>
        <v>#REF!</v>
      </c>
      <c r="AF277" s="542" t="e">
        <f>IF(NFI_Expiration=1,IF(#REF!&lt;VLOOKUP(O$5,NFI,5,0),1,0)*Table_NFI[[#This Row],[Tarpaulin]],Table_NFI[[#This Row],[Tarpaulin]])</f>
        <v>#REF!</v>
      </c>
      <c r="AG277" s="542" t="e">
        <f>IF(NFI_Expiration=1,IF(#REF!&lt;VLOOKUP(P$5,NFI,5,0),1,0)*Table_NFI[[#This Row],[Blanket]],Table_NFI[[#This Row],[Blanket]])</f>
        <v>#REF!</v>
      </c>
      <c r="AH277" s="542" t="e">
        <f>IF(NFI_Expiration=1,IF(#REF!&lt;VLOOKUP(Q$5,NFI,5,0),1,0)*Table_NFI[[#This Row],[Kitchen Set]],Table_NFI[Kitchen Set])</f>
        <v>#REF!</v>
      </c>
      <c r="AI277" s="542" t="e">
        <f>IF(NFI_Expiration=1,IF(#REF!&lt;VLOOKUP(R$5,NFI,5,0),1,0)*Table_NFI[[#This Row],[Clothes Kit]],Table_NFI[Clothes Kit])</f>
        <v>#REF!</v>
      </c>
      <c r="AJ277" s="542" t="e">
        <f>IF(NFI_Expiration=1,IF(#REF!&lt;VLOOKUP(S$5,NFI,5,0),1,0)*Table_NFI[[#This Row],[Plastic Bucket]],Table_NFI[Plastic Bucket])</f>
        <v>#REF!</v>
      </c>
      <c r="AK277" s="542" t="e">
        <f>IF(NFI_Expiration=1,IF(#REF!&lt;VLOOKUP(T$5,NFI,5,0),1,0)*Table_NFI[[#This Row],[Plastic Mat]],Table_NFI[Plastic Mat])*IF(Table_NFI[[#This Row],[Distribution Date]]&gt;"2014-04-01",1,2.5)</f>
        <v>#REF!</v>
      </c>
      <c r="AL277" s="542" t="e">
        <f>IF(NFI_Expiration=1,IF(#REF!&lt;VLOOKUP(U$5,NFI,5,0),1,0)*Table_NFI[[#This Row],[Winter Clothes Adult]],Table_NFI[Winter Clothes Adult])</f>
        <v>#REF!</v>
      </c>
      <c r="AM277" s="542"/>
      <c r="AN277" s="542"/>
      <c r="AO277" s="542"/>
      <c r="AP277" s="542">
        <f>IF(Table_NFI[[#This Row],[Winter Clothes Adult]]+Table_NFI[[#This Row],[Winter Clothes Children]]+Table_NFI[[#This Row],[Winter Items Other]]+Table_NFI[[#This Row],[Winter Blanket]]&gt;0,1,0)</f>
        <v>0</v>
      </c>
      <c r="AQ277" s="542"/>
      <c r="AR277" s="542"/>
      <c r="AS277" s="542"/>
      <c r="AT277" s="205" t="str">
        <f>IFERROR(VLOOKUP(Table_NFI[[#This Row],[Location]],CL,2,0),"")</f>
        <v>MMR001CMP132</v>
      </c>
      <c r="AU277" s="183"/>
    </row>
    <row r="278" spans="2:47" x14ac:dyDescent="0.3">
      <c r="B278" s="540">
        <v>43241</v>
      </c>
      <c r="C278" s="540" t="str">
        <f>MONTH(Table_NFI[[#This Row],[Distribution Date]]) &amp; "/" &amp; YEAR(Table_NFI[[#This Row],[Distribution Date]])</f>
        <v>5/2018</v>
      </c>
      <c r="D278" s="198" t="s">
        <v>1461</v>
      </c>
      <c r="E278" s="198"/>
      <c r="F278" s="198" t="s">
        <v>506</v>
      </c>
      <c r="G278" s="197" t="s">
        <v>288</v>
      </c>
      <c r="H278" s="219" t="s">
        <v>289</v>
      </c>
      <c r="I278" s="183">
        <v>1</v>
      </c>
      <c r="J278" s="541"/>
      <c r="K278" s="541"/>
      <c r="L278" s="541"/>
      <c r="M278" s="541"/>
      <c r="N278" s="541"/>
      <c r="O278" s="541"/>
      <c r="P278" s="541"/>
      <c r="Q278" s="541"/>
      <c r="R278" s="541"/>
      <c r="S278" s="541"/>
      <c r="T278" s="541"/>
      <c r="U278" s="541"/>
      <c r="V278" s="541"/>
      <c r="W278" s="541"/>
      <c r="X278" s="541"/>
      <c r="Y278" s="541"/>
      <c r="Z278" s="541"/>
      <c r="AA278" s="541"/>
      <c r="AB278" s="541"/>
      <c r="AC278" s="542" t="e">
        <f>IF(NFI_Expiration=1,IF(#REF!&lt;VLOOKUP(L$5,NFI,5,0),1,0)*Table_NFI[[#This Row],[NFI Core Kit]],Table_NFI[NFI Core Kit])</f>
        <v>#REF!</v>
      </c>
      <c r="AD278" s="542" t="e">
        <f>IF(NFI_Expiration=1,IF(#REF!&lt;VLOOKUP(M$5,NFI,5,0),1,0)*Table_NFI[[#This Row],[Sanitary Kit]],Table_NFI[Sanitary Kit])</f>
        <v>#REF!</v>
      </c>
      <c r="AE278" s="542" t="e">
        <f>IF(NFI_Expiration=1,IF(#REF!&lt;VLOOKUP(N$5,NFI,5,0),1,0)*Table_NFI[[#This Row],[Mosquito net]],Table_NFI[Mosquito net])</f>
        <v>#REF!</v>
      </c>
      <c r="AF278" s="542" t="e">
        <f>IF(NFI_Expiration=1,IF(#REF!&lt;VLOOKUP(O$5,NFI,5,0),1,0)*Table_NFI[[#This Row],[Tarpaulin]],Table_NFI[[#This Row],[Tarpaulin]])</f>
        <v>#REF!</v>
      </c>
      <c r="AG278" s="542" t="e">
        <f>IF(NFI_Expiration=1,IF(#REF!&lt;VLOOKUP(P$5,NFI,5,0),1,0)*Table_NFI[[#This Row],[Blanket]],Table_NFI[[#This Row],[Blanket]])</f>
        <v>#REF!</v>
      </c>
      <c r="AH278" s="542" t="e">
        <f>IF(NFI_Expiration=1,IF(#REF!&lt;VLOOKUP(Q$5,NFI,5,0),1,0)*Table_NFI[[#This Row],[Kitchen Set]],Table_NFI[Kitchen Set])</f>
        <v>#REF!</v>
      </c>
      <c r="AI278" s="542" t="e">
        <f>IF(NFI_Expiration=1,IF(#REF!&lt;VLOOKUP(R$5,NFI,5,0),1,0)*Table_NFI[[#This Row],[Clothes Kit]],Table_NFI[Clothes Kit])</f>
        <v>#REF!</v>
      </c>
      <c r="AJ278" s="542" t="e">
        <f>IF(NFI_Expiration=1,IF(#REF!&lt;VLOOKUP(S$5,NFI,5,0),1,0)*Table_NFI[[#This Row],[Plastic Bucket]],Table_NFI[Plastic Bucket])</f>
        <v>#REF!</v>
      </c>
      <c r="AK278" s="542" t="e">
        <f>IF(NFI_Expiration=1,IF(#REF!&lt;VLOOKUP(T$5,NFI,5,0),1,0)*Table_NFI[[#This Row],[Plastic Mat]],Table_NFI[Plastic Mat])*IF(Table_NFI[[#This Row],[Distribution Date]]&gt;"2014-04-01",1,2.5)</f>
        <v>#REF!</v>
      </c>
      <c r="AL278" s="542" t="e">
        <f>IF(NFI_Expiration=1,IF(#REF!&lt;VLOOKUP(U$5,NFI,5,0),1,0)*Table_NFI[[#This Row],[Winter Clothes Adult]],Table_NFI[Winter Clothes Adult])</f>
        <v>#REF!</v>
      </c>
      <c r="AM278" s="542"/>
      <c r="AN278" s="542"/>
      <c r="AO278" s="542"/>
      <c r="AP278" s="542">
        <f>IF(Table_NFI[[#This Row],[Winter Clothes Adult]]+Table_NFI[[#This Row],[Winter Clothes Children]]+Table_NFI[[#This Row],[Winter Items Other]]+Table_NFI[[#This Row],[Winter Blanket]]&gt;0,1,0)</f>
        <v>0</v>
      </c>
      <c r="AQ278" s="542"/>
      <c r="AR278" s="542"/>
      <c r="AS278" s="542"/>
      <c r="AT278" s="205" t="str">
        <f>IFERROR(VLOOKUP(Table_NFI[[#This Row],[Location]],CL,2,0),"")</f>
        <v>MMR015CMP001</v>
      </c>
      <c r="AU278" s="183"/>
    </row>
    <row r="279" spans="2:47" x14ac:dyDescent="0.3">
      <c r="B279" s="540">
        <v>43251</v>
      </c>
      <c r="C279" s="540" t="str">
        <f>MONTH(Table_NFI[[#This Row],[Distribution Date]]) &amp; "/" &amp; YEAR(Table_NFI[[#This Row],[Distribution Date]])</f>
        <v>5/2018</v>
      </c>
      <c r="D279" s="198" t="s">
        <v>1461</v>
      </c>
      <c r="E279" s="198"/>
      <c r="F279" s="198" t="s">
        <v>378</v>
      </c>
      <c r="G279" s="197" t="s">
        <v>151</v>
      </c>
      <c r="H279" s="219" t="s">
        <v>911</v>
      </c>
      <c r="I279" s="183">
        <v>1</v>
      </c>
      <c r="J279" s="541"/>
      <c r="K279" s="541"/>
      <c r="L279" s="541"/>
      <c r="M279" s="541"/>
      <c r="N279" s="541">
        <v>2</v>
      </c>
      <c r="O279" s="541"/>
      <c r="P279" s="541">
        <v>2</v>
      </c>
      <c r="Q279" s="541">
        <v>2</v>
      </c>
      <c r="R279" s="541">
        <v>2</v>
      </c>
      <c r="S279" s="541">
        <v>1</v>
      </c>
      <c r="T279" s="541">
        <v>2</v>
      </c>
      <c r="U279" s="541"/>
      <c r="V279" s="541"/>
      <c r="W279" s="541"/>
      <c r="X279" s="541"/>
      <c r="Y279" s="541"/>
      <c r="Z279" s="541"/>
      <c r="AA279" s="541"/>
      <c r="AB279" s="541"/>
      <c r="AC279" s="542" t="e">
        <f>IF(NFI_Expiration=1,IF(#REF!&lt;VLOOKUP(L$5,NFI,5,0),1,0)*Table_NFI[[#This Row],[NFI Core Kit]],Table_NFI[NFI Core Kit])</f>
        <v>#REF!</v>
      </c>
      <c r="AD279" s="542" t="e">
        <f>IF(NFI_Expiration=1,IF(#REF!&lt;VLOOKUP(M$5,NFI,5,0),1,0)*Table_NFI[[#This Row],[Sanitary Kit]],Table_NFI[Sanitary Kit])</f>
        <v>#REF!</v>
      </c>
      <c r="AE279" s="542" t="e">
        <f>IF(NFI_Expiration=1,IF(#REF!&lt;VLOOKUP(N$5,NFI,5,0),1,0)*Table_NFI[[#This Row],[Mosquito net]],Table_NFI[Mosquito net])</f>
        <v>#REF!</v>
      </c>
      <c r="AF279" s="542" t="e">
        <f>IF(NFI_Expiration=1,IF(#REF!&lt;VLOOKUP(O$5,NFI,5,0),1,0)*Table_NFI[[#This Row],[Tarpaulin]],Table_NFI[[#This Row],[Tarpaulin]])</f>
        <v>#REF!</v>
      </c>
      <c r="AG279" s="542" t="e">
        <f>IF(NFI_Expiration=1,IF(#REF!&lt;VLOOKUP(P$5,NFI,5,0),1,0)*Table_NFI[[#This Row],[Blanket]],Table_NFI[[#This Row],[Blanket]])</f>
        <v>#REF!</v>
      </c>
      <c r="AH279" s="542" t="e">
        <f>IF(NFI_Expiration=1,IF(#REF!&lt;VLOOKUP(Q$5,NFI,5,0),1,0)*Table_NFI[[#This Row],[Kitchen Set]],Table_NFI[Kitchen Set])</f>
        <v>#REF!</v>
      </c>
      <c r="AI279" s="542" t="e">
        <f>IF(NFI_Expiration=1,IF(#REF!&lt;VLOOKUP(R$5,NFI,5,0),1,0)*Table_NFI[[#This Row],[Clothes Kit]],Table_NFI[Clothes Kit])</f>
        <v>#REF!</v>
      </c>
      <c r="AJ279" s="542" t="e">
        <f>IF(NFI_Expiration=1,IF(#REF!&lt;VLOOKUP(S$5,NFI,5,0),1,0)*Table_NFI[[#This Row],[Plastic Bucket]],Table_NFI[Plastic Bucket])</f>
        <v>#REF!</v>
      </c>
      <c r="AK279" s="542" t="e">
        <f>IF(NFI_Expiration=1,IF(#REF!&lt;VLOOKUP(T$5,NFI,5,0),1,0)*Table_NFI[[#This Row],[Plastic Mat]],Table_NFI[Plastic Mat])*IF(Table_NFI[[#This Row],[Distribution Date]]&gt;"2014-04-01",1,2.5)</f>
        <v>#REF!</v>
      </c>
      <c r="AL279" s="542" t="e">
        <f>IF(NFI_Expiration=1,IF(#REF!&lt;VLOOKUP(U$5,NFI,5,0),1,0)*Table_NFI[[#This Row],[Winter Clothes Adult]],Table_NFI[Winter Clothes Adult])</f>
        <v>#REF!</v>
      </c>
      <c r="AM279" s="542"/>
      <c r="AN279" s="542"/>
      <c r="AO279" s="542"/>
      <c r="AP279" s="542">
        <f>IF(Table_NFI[[#This Row],[Winter Clothes Adult]]+Table_NFI[[#This Row],[Winter Clothes Children]]+Table_NFI[[#This Row],[Winter Items Other]]+Table_NFI[[#This Row],[Winter Blanket]]&gt;0,1,0)</f>
        <v>0</v>
      </c>
      <c r="AQ279" s="542"/>
      <c r="AR279" s="542"/>
      <c r="AS279" s="542"/>
      <c r="AT279" s="205" t="str">
        <f>IFERROR(VLOOKUP(Table_NFI[[#This Row],[Location]],CL,2,0),"")</f>
        <v>MMR001CMP228</v>
      </c>
      <c r="AU279" s="183"/>
    </row>
    <row r="280" spans="2:47" x14ac:dyDescent="0.25">
      <c r="B280" s="540">
        <v>43221</v>
      </c>
      <c r="C280" s="540" t="str">
        <f>MONTH(Table_NFI[[#This Row],[Distribution Date]]) &amp; "/" &amp; YEAR(Table_NFI[[#This Row],[Distribution Date]])</f>
        <v>5/2018</v>
      </c>
      <c r="D280" s="198" t="s">
        <v>778</v>
      </c>
      <c r="E280" s="198" t="s">
        <v>778</v>
      </c>
      <c r="F280" s="668" t="s">
        <v>378</v>
      </c>
      <c r="G280" s="197" t="s">
        <v>237</v>
      </c>
      <c r="H280" s="219" t="s">
        <v>1734</v>
      </c>
      <c r="I280" s="183"/>
      <c r="J280" s="541"/>
      <c r="K280" s="541"/>
      <c r="L280" s="541"/>
      <c r="M280" s="541"/>
      <c r="N280" s="541">
        <v>66</v>
      </c>
      <c r="O280" s="541"/>
      <c r="P280" s="541">
        <v>66</v>
      </c>
      <c r="Q280" s="541"/>
      <c r="R280" s="541"/>
      <c r="S280" s="541"/>
      <c r="T280" s="541">
        <v>66</v>
      </c>
      <c r="U280" s="541"/>
      <c r="V280" s="541"/>
      <c r="W280" s="541"/>
      <c r="X280" s="541"/>
      <c r="Y280" s="541"/>
      <c r="Z280" s="541"/>
      <c r="AA280" s="541"/>
      <c r="AB280" s="541"/>
      <c r="AC280" s="542" t="e">
        <f>IF(NFI_Expiration=1,IF(#REF!&lt;VLOOKUP(L$5,NFI,5,0),1,0)*Table_NFI[[#This Row],[NFI Core Kit]],Table_NFI[NFI Core Kit])</f>
        <v>#REF!</v>
      </c>
      <c r="AD280" s="542" t="e">
        <f>IF(NFI_Expiration=1,IF(#REF!&lt;VLOOKUP(M$5,NFI,5,0),1,0)*Table_NFI[[#This Row],[Sanitary Kit]],Table_NFI[Sanitary Kit])</f>
        <v>#REF!</v>
      </c>
      <c r="AE280" s="542" t="e">
        <f>IF(NFI_Expiration=1,IF(#REF!&lt;VLOOKUP(N$5,NFI,5,0),1,0)*Table_NFI[[#This Row],[Mosquito net]],Table_NFI[Mosquito net])</f>
        <v>#REF!</v>
      </c>
      <c r="AF280" s="542" t="e">
        <f>IF(NFI_Expiration=1,IF(#REF!&lt;VLOOKUP(O$5,NFI,5,0),1,0)*Table_NFI[[#This Row],[Tarpaulin]],Table_NFI[[#This Row],[Tarpaulin]])</f>
        <v>#REF!</v>
      </c>
      <c r="AG280" s="542" t="e">
        <f>IF(NFI_Expiration=1,IF(#REF!&lt;VLOOKUP(P$5,NFI,5,0),1,0)*Table_NFI[[#This Row],[Blanket]],Table_NFI[[#This Row],[Blanket]])</f>
        <v>#REF!</v>
      </c>
      <c r="AH280" s="542" t="e">
        <f>IF(NFI_Expiration=1,IF(#REF!&lt;VLOOKUP(Q$5,NFI,5,0),1,0)*Table_NFI[[#This Row],[Kitchen Set]],Table_NFI[Kitchen Set])</f>
        <v>#REF!</v>
      </c>
      <c r="AI280" s="542" t="e">
        <f>IF(NFI_Expiration=1,IF(#REF!&lt;VLOOKUP(R$5,NFI,5,0),1,0)*Table_NFI[[#This Row],[Clothes Kit]],Table_NFI[Clothes Kit])</f>
        <v>#REF!</v>
      </c>
      <c r="AJ280" s="542" t="e">
        <f>IF(NFI_Expiration=1,IF(#REF!&lt;VLOOKUP(S$5,NFI,5,0),1,0)*Table_NFI[[#This Row],[Plastic Bucket]],Table_NFI[Plastic Bucket])</f>
        <v>#REF!</v>
      </c>
      <c r="AK280" s="542" t="e">
        <f>IF(NFI_Expiration=1,IF(#REF!&lt;VLOOKUP(T$5,NFI,5,0),1,0)*Table_NFI[[#This Row],[Plastic Mat]],Table_NFI[Plastic Mat])*IF(Table_NFI[[#This Row],[Distribution Date]]&gt;"2014-04-01",1,2.5)</f>
        <v>#REF!</v>
      </c>
      <c r="AL280" s="542" t="e">
        <f>IF(NFI_Expiration=1,IF(#REF!&lt;VLOOKUP(U$5,NFI,5,0),1,0)*Table_NFI[[#This Row],[Winter Clothes Adult]],Table_NFI[Winter Clothes Adult])</f>
        <v>#REF!</v>
      </c>
      <c r="AM280" s="542"/>
      <c r="AN280" s="542"/>
      <c r="AO280" s="542"/>
      <c r="AP280" s="542">
        <f>IF(Table_NFI[[#This Row],[Winter Clothes Adult]]+Table_NFI[[#This Row],[Winter Clothes Children]]+Table_NFI[[#This Row],[Winter Items Other]]+Table_NFI[[#This Row],[Winter Blanket]]&gt;0,1,0)</f>
        <v>0</v>
      </c>
      <c r="AQ280" s="542"/>
      <c r="AR280" s="542"/>
      <c r="AS280" s="542"/>
      <c r="AT280" s="205" t="str">
        <f>IFERROR(VLOOKUP(Table_NFI[[#This Row],[Location]],CL,2,0),"")</f>
        <v>MMR001CMP263</v>
      </c>
      <c r="AU280" s="183"/>
    </row>
    <row r="281" spans="2:47" x14ac:dyDescent="0.25">
      <c r="B281" s="540">
        <v>43225</v>
      </c>
      <c r="C281" s="540" t="str">
        <f>MONTH(Table_NFI[[#This Row],[Distribution Date]]) &amp; "/" &amp; YEAR(Table_NFI[[#This Row],[Distribution Date]])</f>
        <v>5/2018</v>
      </c>
      <c r="D281" s="198" t="s">
        <v>778</v>
      </c>
      <c r="E281" s="198" t="s">
        <v>778</v>
      </c>
      <c r="F281" s="668" t="s">
        <v>378</v>
      </c>
      <c r="G281" s="197" t="s">
        <v>237</v>
      </c>
      <c r="H281" s="219" t="s">
        <v>1674</v>
      </c>
      <c r="I281" s="183"/>
      <c r="J281" s="541"/>
      <c r="K281" s="541"/>
      <c r="L281" s="541"/>
      <c r="M281" s="541"/>
      <c r="N281" s="541">
        <v>101</v>
      </c>
      <c r="O281" s="541"/>
      <c r="P281" s="541">
        <v>101</v>
      </c>
      <c r="Q281" s="541"/>
      <c r="R281" s="541"/>
      <c r="S281" s="541"/>
      <c r="T281" s="541">
        <v>101</v>
      </c>
      <c r="U281" s="541"/>
      <c r="V281" s="541"/>
      <c r="W281" s="541"/>
      <c r="X281" s="541"/>
      <c r="Y281" s="541"/>
      <c r="Z281" s="541"/>
      <c r="AA281" s="541"/>
      <c r="AB281" s="541"/>
      <c r="AC281" s="542" t="e">
        <f>IF(NFI_Expiration=1,IF(#REF!&lt;VLOOKUP(L$5,NFI,5,0),1,0)*Table_NFI[[#This Row],[NFI Core Kit]],Table_NFI[NFI Core Kit])</f>
        <v>#REF!</v>
      </c>
      <c r="AD281" s="542" t="e">
        <f>IF(NFI_Expiration=1,IF(#REF!&lt;VLOOKUP(M$5,NFI,5,0),1,0)*Table_NFI[[#This Row],[Sanitary Kit]],Table_NFI[Sanitary Kit])</f>
        <v>#REF!</v>
      </c>
      <c r="AE281" s="542" t="e">
        <f>IF(NFI_Expiration=1,IF(#REF!&lt;VLOOKUP(N$5,NFI,5,0),1,0)*Table_NFI[[#This Row],[Mosquito net]],Table_NFI[Mosquito net])</f>
        <v>#REF!</v>
      </c>
      <c r="AF281" s="542" t="e">
        <f>IF(NFI_Expiration=1,IF(#REF!&lt;VLOOKUP(O$5,NFI,5,0),1,0)*Table_NFI[[#This Row],[Tarpaulin]],Table_NFI[[#This Row],[Tarpaulin]])</f>
        <v>#REF!</v>
      </c>
      <c r="AG281" s="542" t="e">
        <f>IF(NFI_Expiration=1,IF(#REF!&lt;VLOOKUP(P$5,NFI,5,0),1,0)*Table_NFI[[#This Row],[Blanket]],Table_NFI[[#This Row],[Blanket]])</f>
        <v>#REF!</v>
      </c>
      <c r="AH281" s="542" t="e">
        <f>IF(NFI_Expiration=1,IF(#REF!&lt;VLOOKUP(Q$5,NFI,5,0),1,0)*Table_NFI[[#This Row],[Kitchen Set]],Table_NFI[Kitchen Set])</f>
        <v>#REF!</v>
      </c>
      <c r="AI281" s="542" t="e">
        <f>IF(NFI_Expiration=1,IF(#REF!&lt;VLOOKUP(R$5,NFI,5,0),1,0)*Table_NFI[[#This Row],[Clothes Kit]],Table_NFI[Clothes Kit])</f>
        <v>#REF!</v>
      </c>
      <c r="AJ281" s="542" t="e">
        <f>IF(NFI_Expiration=1,IF(#REF!&lt;VLOOKUP(S$5,NFI,5,0),1,0)*Table_NFI[[#This Row],[Plastic Bucket]],Table_NFI[Plastic Bucket])</f>
        <v>#REF!</v>
      </c>
      <c r="AK281" s="542" t="e">
        <f>IF(NFI_Expiration=1,IF(#REF!&lt;VLOOKUP(T$5,NFI,5,0),1,0)*Table_NFI[[#This Row],[Plastic Mat]],Table_NFI[Plastic Mat])*IF(Table_NFI[[#This Row],[Distribution Date]]&gt;"2014-04-01",1,2.5)</f>
        <v>#REF!</v>
      </c>
      <c r="AL281" s="542" t="e">
        <f>IF(NFI_Expiration=1,IF(#REF!&lt;VLOOKUP(U$5,NFI,5,0),1,0)*Table_NFI[[#This Row],[Winter Clothes Adult]],Table_NFI[Winter Clothes Adult])</f>
        <v>#REF!</v>
      </c>
      <c r="AM281" s="542"/>
      <c r="AN281" s="542"/>
      <c r="AO281" s="542"/>
      <c r="AP281" s="542">
        <f>IF(Table_NFI[[#This Row],[Winter Clothes Adult]]+Table_NFI[[#This Row],[Winter Clothes Children]]+Table_NFI[[#This Row],[Winter Items Other]]+Table_NFI[[#This Row],[Winter Blanket]]&gt;0,1,0)</f>
        <v>0</v>
      </c>
      <c r="AQ281" s="542"/>
      <c r="AR281" s="542"/>
      <c r="AS281" s="542"/>
      <c r="AT281" s="205" t="str">
        <f>IFERROR(VLOOKUP(Table_NFI[[#This Row],[Location]],CL,2,0),"")</f>
        <v>MMR001CMP264</v>
      </c>
      <c r="AU281" s="183"/>
    </row>
    <row r="282" spans="2:47" x14ac:dyDescent="0.3">
      <c r="B282" s="540">
        <v>43225</v>
      </c>
      <c r="C282" s="540" t="str">
        <f>MONTH(Table_NFI[[#This Row],[Distribution Date]]) &amp; "/" &amp; YEAR(Table_NFI[[#This Row],[Distribution Date]])</f>
        <v>5/2018</v>
      </c>
      <c r="D282" s="198" t="s">
        <v>778</v>
      </c>
      <c r="E282" s="198" t="s">
        <v>778</v>
      </c>
      <c r="F282" s="198" t="s">
        <v>378</v>
      </c>
      <c r="G282" s="197" t="s">
        <v>237</v>
      </c>
      <c r="H282" s="219" t="s">
        <v>1734</v>
      </c>
      <c r="I282" s="183"/>
      <c r="J282" s="541"/>
      <c r="K282" s="541"/>
      <c r="L282" s="541"/>
      <c r="M282" s="541"/>
      <c r="N282" s="541">
        <v>49</v>
      </c>
      <c r="O282" s="541"/>
      <c r="P282" s="541">
        <v>49</v>
      </c>
      <c r="Q282" s="541"/>
      <c r="R282" s="541"/>
      <c r="S282" s="541"/>
      <c r="T282" s="541">
        <v>49</v>
      </c>
      <c r="U282" s="541"/>
      <c r="V282" s="541"/>
      <c r="W282" s="541"/>
      <c r="X282" s="541"/>
      <c r="Y282" s="541"/>
      <c r="Z282" s="541"/>
      <c r="AA282" s="541"/>
      <c r="AB282" s="541"/>
      <c r="AC282" s="542" t="e">
        <f>IF(NFI_Expiration=1,IF(#REF!&lt;VLOOKUP(L$5,NFI,5,0),1,0)*Table_NFI[[#This Row],[NFI Core Kit]],Table_NFI[NFI Core Kit])</f>
        <v>#REF!</v>
      </c>
      <c r="AD282" s="542" t="e">
        <f>IF(NFI_Expiration=1,IF(#REF!&lt;VLOOKUP(M$5,NFI,5,0),1,0)*Table_NFI[[#This Row],[Sanitary Kit]],Table_NFI[Sanitary Kit])</f>
        <v>#REF!</v>
      </c>
      <c r="AE282" s="542" t="e">
        <f>IF(NFI_Expiration=1,IF(#REF!&lt;VLOOKUP(N$5,NFI,5,0),1,0)*Table_NFI[[#This Row],[Mosquito net]],Table_NFI[Mosquito net])</f>
        <v>#REF!</v>
      </c>
      <c r="AF282" s="542" t="e">
        <f>IF(NFI_Expiration=1,IF(#REF!&lt;VLOOKUP(O$5,NFI,5,0),1,0)*Table_NFI[[#This Row],[Tarpaulin]],Table_NFI[[#This Row],[Tarpaulin]])</f>
        <v>#REF!</v>
      </c>
      <c r="AG282" s="542" t="e">
        <f>IF(NFI_Expiration=1,IF(#REF!&lt;VLOOKUP(P$5,NFI,5,0),1,0)*Table_NFI[[#This Row],[Blanket]],Table_NFI[[#This Row],[Blanket]])</f>
        <v>#REF!</v>
      </c>
      <c r="AH282" s="542" t="e">
        <f>IF(NFI_Expiration=1,IF(#REF!&lt;VLOOKUP(Q$5,NFI,5,0),1,0)*Table_NFI[[#This Row],[Kitchen Set]],Table_NFI[Kitchen Set])</f>
        <v>#REF!</v>
      </c>
      <c r="AI282" s="542" t="e">
        <f>IF(NFI_Expiration=1,IF(#REF!&lt;VLOOKUP(R$5,NFI,5,0),1,0)*Table_NFI[[#This Row],[Clothes Kit]],Table_NFI[Clothes Kit])</f>
        <v>#REF!</v>
      </c>
      <c r="AJ282" s="542" t="e">
        <f>IF(NFI_Expiration=1,IF(#REF!&lt;VLOOKUP(S$5,NFI,5,0),1,0)*Table_NFI[[#This Row],[Plastic Bucket]],Table_NFI[Plastic Bucket])</f>
        <v>#REF!</v>
      </c>
      <c r="AK282" s="542" t="e">
        <f>IF(NFI_Expiration=1,IF(#REF!&lt;VLOOKUP(T$5,NFI,5,0),1,0)*Table_NFI[[#This Row],[Plastic Mat]],Table_NFI[Plastic Mat])*IF(Table_NFI[[#This Row],[Distribution Date]]&gt;"2014-04-01",1,2.5)</f>
        <v>#REF!</v>
      </c>
      <c r="AL282" s="542" t="e">
        <f>IF(NFI_Expiration=1,IF(#REF!&lt;VLOOKUP(U$5,NFI,5,0),1,0)*Table_NFI[[#This Row],[Winter Clothes Adult]],Table_NFI[Winter Clothes Adult])</f>
        <v>#REF!</v>
      </c>
      <c r="AM282" s="542"/>
      <c r="AN282" s="542"/>
      <c r="AO282" s="542"/>
      <c r="AP282" s="542">
        <f>IF(Table_NFI[[#This Row],[Winter Clothes Adult]]+Table_NFI[[#This Row],[Winter Clothes Children]]+Table_NFI[[#This Row],[Winter Items Other]]+Table_NFI[[#This Row],[Winter Blanket]]&gt;0,1,0)</f>
        <v>0</v>
      </c>
      <c r="AQ282" s="542"/>
      <c r="AR282" s="542"/>
      <c r="AS282" s="542"/>
      <c r="AT282" s="205" t="str">
        <f>IFERROR(VLOOKUP(Table_NFI[[#This Row],[Location]],CL,2,0),"")</f>
        <v>MMR001CMP263</v>
      </c>
      <c r="AU282" s="183"/>
    </row>
    <row r="283" spans="2:47" x14ac:dyDescent="0.3">
      <c r="B283" s="540">
        <v>43229</v>
      </c>
      <c r="C283" s="540" t="str">
        <f>MONTH(Table_NFI[[#This Row],[Distribution Date]]) &amp; "/" &amp; YEAR(Table_NFI[[#This Row],[Distribution Date]])</f>
        <v>5/2018</v>
      </c>
      <c r="D283" s="198" t="s">
        <v>778</v>
      </c>
      <c r="E283" s="198" t="s">
        <v>778</v>
      </c>
      <c r="F283" s="198" t="s">
        <v>378</v>
      </c>
      <c r="G283" s="197" t="s">
        <v>237</v>
      </c>
      <c r="H283" s="219" t="s">
        <v>1735</v>
      </c>
      <c r="I283" s="183"/>
      <c r="J283" s="541"/>
      <c r="K283" s="541"/>
      <c r="L283" s="541"/>
      <c r="M283" s="541"/>
      <c r="N283" s="541">
        <v>92</v>
      </c>
      <c r="O283" s="541"/>
      <c r="P283" s="541">
        <v>92</v>
      </c>
      <c r="Q283" s="541"/>
      <c r="R283" s="541"/>
      <c r="S283" s="541"/>
      <c r="T283" s="541">
        <v>92</v>
      </c>
      <c r="U283" s="541"/>
      <c r="V283" s="541"/>
      <c r="W283" s="541"/>
      <c r="X283" s="541"/>
      <c r="Y283" s="541"/>
      <c r="Z283" s="541"/>
      <c r="AA283" s="541"/>
      <c r="AB283" s="541"/>
      <c r="AC283" s="542" t="e">
        <f>IF(NFI_Expiration=1,IF(#REF!&lt;VLOOKUP(L$5,NFI,5,0),1,0)*Table_NFI[[#This Row],[NFI Core Kit]],Table_NFI[NFI Core Kit])</f>
        <v>#REF!</v>
      </c>
      <c r="AD283" s="542" t="e">
        <f>IF(NFI_Expiration=1,IF(#REF!&lt;VLOOKUP(M$5,NFI,5,0),1,0)*Table_NFI[[#This Row],[Sanitary Kit]],Table_NFI[Sanitary Kit])</f>
        <v>#REF!</v>
      </c>
      <c r="AE283" s="542" t="e">
        <f>IF(NFI_Expiration=1,IF(#REF!&lt;VLOOKUP(N$5,NFI,5,0),1,0)*Table_NFI[[#This Row],[Mosquito net]],Table_NFI[Mosquito net])</f>
        <v>#REF!</v>
      </c>
      <c r="AF283" s="542" t="e">
        <f>IF(NFI_Expiration=1,IF(#REF!&lt;VLOOKUP(O$5,NFI,5,0),1,0)*Table_NFI[[#This Row],[Tarpaulin]],Table_NFI[[#This Row],[Tarpaulin]])</f>
        <v>#REF!</v>
      </c>
      <c r="AG283" s="542" t="e">
        <f>IF(NFI_Expiration=1,IF(#REF!&lt;VLOOKUP(P$5,NFI,5,0),1,0)*Table_NFI[[#This Row],[Blanket]],Table_NFI[[#This Row],[Blanket]])</f>
        <v>#REF!</v>
      </c>
      <c r="AH283" s="542" t="e">
        <f>IF(NFI_Expiration=1,IF(#REF!&lt;VLOOKUP(Q$5,NFI,5,0),1,0)*Table_NFI[[#This Row],[Kitchen Set]],Table_NFI[Kitchen Set])</f>
        <v>#REF!</v>
      </c>
      <c r="AI283" s="542" t="e">
        <f>IF(NFI_Expiration=1,IF(#REF!&lt;VLOOKUP(R$5,NFI,5,0),1,0)*Table_NFI[[#This Row],[Clothes Kit]],Table_NFI[Clothes Kit])</f>
        <v>#REF!</v>
      </c>
      <c r="AJ283" s="542" t="e">
        <f>IF(NFI_Expiration=1,IF(#REF!&lt;VLOOKUP(S$5,NFI,5,0),1,0)*Table_NFI[[#This Row],[Plastic Bucket]],Table_NFI[Plastic Bucket])</f>
        <v>#REF!</v>
      </c>
      <c r="AK283" s="542" t="e">
        <f>IF(NFI_Expiration=1,IF(#REF!&lt;VLOOKUP(T$5,NFI,5,0),1,0)*Table_NFI[[#This Row],[Plastic Mat]],Table_NFI[Plastic Mat])*IF(Table_NFI[[#This Row],[Distribution Date]]&gt;"2014-04-01",1,2.5)</f>
        <v>#REF!</v>
      </c>
      <c r="AL283" s="542" t="e">
        <f>IF(NFI_Expiration=1,IF(#REF!&lt;VLOOKUP(U$5,NFI,5,0),1,0)*Table_NFI[[#This Row],[Winter Clothes Adult]],Table_NFI[Winter Clothes Adult])</f>
        <v>#REF!</v>
      </c>
      <c r="AM283" s="542"/>
      <c r="AN283" s="542"/>
      <c r="AO283" s="542"/>
      <c r="AP283" s="542">
        <f>IF(Table_NFI[[#This Row],[Winter Clothes Adult]]+Table_NFI[[#This Row],[Winter Clothes Children]]+Table_NFI[[#This Row],[Winter Items Other]]+Table_NFI[[#This Row],[Winter Blanket]]&gt;0,1,0)</f>
        <v>0</v>
      </c>
      <c r="AQ283" s="542"/>
      <c r="AR283" s="542"/>
      <c r="AS283" s="542"/>
      <c r="AT283" s="205" t="str">
        <f>IFERROR(VLOOKUP(Table_NFI[[#This Row],[Location]],CL,2,0),"")</f>
        <v/>
      </c>
      <c r="AU283" s="183"/>
    </row>
    <row r="284" spans="2:47" x14ac:dyDescent="0.3">
      <c r="B284" s="540">
        <v>43229</v>
      </c>
      <c r="C284" s="540" t="str">
        <f>MONTH(Table_NFI[[#This Row],[Distribution Date]]) &amp; "/" &amp; YEAR(Table_NFI[[#This Row],[Distribution Date]])</f>
        <v>5/2018</v>
      </c>
      <c r="D284" s="198" t="s">
        <v>778</v>
      </c>
      <c r="E284" s="198" t="s">
        <v>778</v>
      </c>
      <c r="F284" s="198" t="s">
        <v>378</v>
      </c>
      <c r="G284" s="197" t="s">
        <v>173</v>
      </c>
      <c r="H284" s="219" t="s">
        <v>1733</v>
      </c>
      <c r="I284" s="183"/>
      <c r="J284" s="541"/>
      <c r="K284" s="541"/>
      <c r="L284" s="541"/>
      <c r="M284" s="541"/>
      <c r="N284" s="541"/>
      <c r="O284" s="541"/>
      <c r="P284" s="541"/>
      <c r="Q284" s="541"/>
      <c r="R284" s="541"/>
      <c r="S284" s="541"/>
      <c r="T284" s="541"/>
      <c r="U284" s="541"/>
      <c r="V284" s="541"/>
      <c r="W284" s="541"/>
      <c r="X284" s="541"/>
      <c r="Y284" s="541"/>
      <c r="Z284" s="541"/>
      <c r="AA284" s="541">
        <v>80</v>
      </c>
      <c r="AB284" s="541"/>
      <c r="AC284" s="542" t="e">
        <f>IF(NFI_Expiration=1,IF(#REF!&lt;VLOOKUP(L$5,NFI,5,0),1,0)*Table_NFI[[#This Row],[NFI Core Kit]],Table_NFI[NFI Core Kit])</f>
        <v>#REF!</v>
      </c>
      <c r="AD284" s="542" t="e">
        <f>IF(NFI_Expiration=1,IF(#REF!&lt;VLOOKUP(M$5,NFI,5,0),1,0)*Table_NFI[[#This Row],[Sanitary Kit]],Table_NFI[Sanitary Kit])</f>
        <v>#REF!</v>
      </c>
      <c r="AE284" s="542" t="e">
        <f>IF(NFI_Expiration=1,IF(#REF!&lt;VLOOKUP(N$5,NFI,5,0),1,0)*Table_NFI[[#This Row],[Mosquito net]],Table_NFI[Mosquito net])</f>
        <v>#REF!</v>
      </c>
      <c r="AF284" s="542" t="e">
        <f>IF(NFI_Expiration=1,IF(#REF!&lt;VLOOKUP(O$5,NFI,5,0),1,0)*Table_NFI[[#This Row],[Tarpaulin]],Table_NFI[[#This Row],[Tarpaulin]])</f>
        <v>#REF!</v>
      </c>
      <c r="AG284" s="542" t="e">
        <f>IF(NFI_Expiration=1,IF(#REF!&lt;VLOOKUP(P$5,NFI,5,0),1,0)*Table_NFI[[#This Row],[Blanket]],Table_NFI[[#This Row],[Blanket]])</f>
        <v>#REF!</v>
      </c>
      <c r="AH284" s="542" t="e">
        <f>IF(NFI_Expiration=1,IF(#REF!&lt;VLOOKUP(Q$5,NFI,5,0),1,0)*Table_NFI[[#This Row],[Kitchen Set]],Table_NFI[Kitchen Set])</f>
        <v>#REF!</v>
      </c>
      <c r="AI284" s="542" t="e">
        <f>IF(NFI_Expiration=1,IF(#REF!&lt;VLOOKUP(R$5,NFI,5,0),1,0)*Table_NFI[[#This Row],[Clothes Kit]],Table_NFI[Clothes Kit])</f>
        <v>#REF!</v>
      </c>
      <c r="AJ284" s="542" t="e">
        <f>IF(NFI_Expiration=1,IF(#REF!&lt;VLOOKUP(S$5,NFI,5,0),1,0)*Table_NFI[[#This Row],[Plastic Bucket]],Table_NFI[Plastic Bucket])</f>
        <v>#REF!</v>
      </c>
      <c r="AK284" s="542" t="e">
        <f>IF(NFI_Expiration=1,IF(#REF!&lt;VLOOKUP(T$5,NFI,5,0),1,0)*Table_NFI[[#This Row],[Plastic Mat]],Table_NFI[Plastic Mat])*IF(Table_NFI[[#This Row],[Distribution Date]]&gt;"2014-04-01",1,2.5)</f>
        <v>#REF!</v>
      </c>
      <c r="AL284" s="542" t="e">
        <f>IF(NFI_Expiration=1,IF(#REF!&lt;VLOOKUP(U$5,NFI,5,0),1,0)*Table_NFI[[#This Row],[Winter Clothes Adult]],Table_NFI[Winter Clothes Adult])</f>
        <v>#REF!</v>
      </c>
      <c r="AM284" s="542"/>
      <c r="AN284" s="542"/>
      <c r="AO284" s="542"/>
      <c r="AP284" s="542">
        <f>IF(Table_NFI[[#This Row],[Winter Clothes Adult]]+Table_NFI[[#This Row],[Winter Clothes Children]]+Table_NFI[[#This Row],[Winter Items Other]]+Table_NFI[[#This Row],[Winter Blanket]]&gt;0,1,0)</f>
        <v>0</v>
      </c>
      <c r="AQ284" s="542"/>
      <c r="AR284" s="542"/>
      <c r="AS284" s="542"/>
      <c r="AT284" s="205" t="str">
        <f>IFERROR(VLOOKUP(Table_NFI[[#This Row],[Location]],CL,2,0),"")</f>
        <v>MMR001CMP261</v>
      </c>
      <c r="AU284" s="183"/>
    </row>
    <row r="285" spans="2:47" x14ac:dyDescent="0.3">
      <c r="B285" s="540">
        <v>43229</v>
      </c>
      <c r="C285" s="540" t="str">
        <f>MONTH(Table_NFI[[#This Row],[Distribution Date]]) &amp; "/" &amp; YEAR(Table_NFI[[#This Row],[Distribution Date]])</f>
        <v>5/2018</v>
      </c>
      <c r="D285" s="198" t="s">
        <v>778</v>
      </c>
      <c r="E285" s="198" t="s">
        <v>778</v>
      </c>
      <c r="F285" s="198" t="s">
        <v>378</v>
      </c>
      <c r="G285" s="197" t="s">
        <v>173</v>
      </c>
      <c r="H285" s="219" t="s">
        <v>1664</v>
      </c>
      <c r="I285" s="183"/>
      <c r="J285" s="541"/>
      <c r="K285" s="541"/>
      <c r="L285" s="541"/>
      <c r="M285" s="541"/>
      <c r="N285" s="541"/>
      <c r="O285" s="541"/>
      <c r="P285" s="541"/>
      <c r="Q285" s="541"/>
      <c r="R285" s="541"/>
      <c r="S285" s="541"/>
      <c r="T285" s="541"/>
      <c r="U285" s="541"/>
      <c r="V285" s="541"/>
      <c r="W285" s="541"/>
      <c r="X285" s="541"/>
      <c r="Y285" s="541"/>
      <c r="Z285" s="541"/>
      <c r="AA285" s="541">
        <v>52</v>
      </c>
      <c r="AB285" s="541"/>
      <c r="AC285" s="542" t="e">
        <f>IF(NFI_Expiration=1,IF(#REF!&lt;VLOOKUP(L$5,NFI,5,0),1,0)*Table_NFI[[#This Row],[NFI Core Kit]],Table_NFI[NFI Core Kit])</f>
        <v>#REF!</v>
      </c>
      <c r="AD285" s="542" t="e">
        <f>IF(NFI_Expiration=1,IF(#REF!&lt;VLOOKUP(M$5,NFI,5,0),1,0)*Table_NFI[[#This Row],[Sanitary Kit]],Table_NFI[Sanitary Kit])</f>
        <v>#REF!</v>
      </c>
      <c r="AE285" s="542" t="e">
        <f>IF(NFI_Expiration=1,IF(#REF!&lt;VLOOKUP(N$5,NFI,5,0),1,0)*Table_NFI[[#This Row],[Mosquito net]],Table_NFI[Mosquito net])</f>
        <v>#REF!</v>
      </c>
      <c r="AF285" s="542" t="e">
        <f>IF(NFI_Expiration=1,IF(#REF!&lt;VLOOKUP(O$5,NFI,5,0),1,0)*Table_NFI[[#This Row],[Tarpaulin]],Table_NFI[[#This Row],[Tarpaulin]])</f>
        <v>#REF!</v>
      </c>
      <c r="AG285" s="542" t="e">
        <f>IF(NFI_Expiration=1,IF(#REF!&lt;VLOOKUP(P$5,NFI,5,0),1,0)*Table_NFI[[#This Row],[Blanket]],Table_NFI[[#This Row],[Blanket]])</f>
        <v>#REF!</v>
      </c>
      <c r="AH285" s="542" t="e">
        <f>IF(NFI_Expiration=1,IF(#REF!&lt;VLOOKUP(Q$5,NFI,5,0),1,0)*Table_NFI[[#This Row],[Kitchen Set]],Table_NFI[Kitchen Set])</f>
        <v>#REF!</v>
      </c>
      <c r="AI285" s="542" t="e">
        <f>IF(NFI_Expiration=1,IF(#REF!&lt;VLOOKUP(R$5,NFI,5,0),1,0)*Table_NFI[[#This Row],[Clothes Kit]],Table_NFI[Clothes Kit])</f>
        <v>#REF!</v>
      </c>
      <c r="AJ285" s="542" t="e">
        <f>IF(NFI_Expiration=1,IF(#REF!&lt;VLOOKUP(S$5,NFI,5,0),1,0)*Table_NFI[[#This Row],[Plastic Bucket]],Table_NFI[Plastic Bucket])</f>
        <v>#REF!</v>
      </c>
      <c r="AK285" s="542" t="e">
        <f>IF(NFI_Expiration=1,IF(#REF!&lt;VLOOKUP(T$5,NFI,5,0),1,0)*Table_NFI[[#This Row],[Plastic Mat]],Table_NFI[Plastic Mat])*IF(Table_NFI[[#This Row],[Distribution Date]]&gt;"2014-04-01",1,2.5)</f>
        <v>#REF!</v>
      </c>
      <c r="AL285" s="542" t="e">
        <f>IF(NFI_Expiration=1,IF(#REF!&lt;VLOOKUP(U$5,NFI,5,0),1,0)*Table_NFI[[#This Row],[Winter Clothes Adult]],Table_NFI[Winter Clothes Adult])</f>
        <v>#REF!</v>
      </c>
      <c r="AM285" s="542"/>
      <c r="AN285" s="542"/>
      <c r="AO285" s="542"/>
      <c r="AP285" s="542">
        <f>IF(Table_NFI[[#This Row],[Winter Clothes Adult]]+Table_NFI[[#This Row],[Winter Clothes Children]]+Table_NFI[[#This Row],[Winter Items Other]]+Table_NFI[[#This Row],[Winter Blanket]]&gt;0,1,0)</f>
        <v>0</v>
      </c>
      <c r="AQ285" s="542"/>
      <c r="AR285" s="542"/>
      <c r="AS285" s="542"/>
      <c r="AT285" s="205" t="str">
        <f>IFERROR(VLOOKUP(Table_NFI[[#This Row],[Location]],CL,2,0),"")</f>
        <v>MMR001CMP259</v>
      </c>
      <c r="AU285" s="183"/>
    </row>
    <row r="286" spans="2:47" x14ac:dyDescent="0.3">
      <c r="B286" s="540">
        <v>43229</v>
      </c>
      <c r="C286" s="540" t="str">
        <f>MONTH(Table_NFI[[#This Row],[Distribution Date]]) &amp; "/" &amp; YEAR(Table_NFI[[#This Row],[Distribution Date]])</f>
        <v>5/2018</v>
      </c>
      <c r="D286" s="198" t="s">
        <v>778</v>
      </c>
      <c r="E286" s="198" t="s">
        <v>778</v>
      </c>
      <c r="F286" s="198" t="s">
        <v>378</v>
      </c>
      <c r="G286" s="197" t="s">
        <v>173</v>
      </c>
      <c r="H286" s="219" t="s">
        <v>1665</v>
      </c>
      <c r="I286" s="183"/>
      <c r="J286" s="541"/>
      <c r="K286" s="541"/>
      <c r="L286" s="541"/>
      <c r="M286" s="541"/>
      <c r="N286" s="541"/>
      <c r="O286" s="541"/>
      <c r="P286" s="541"/>
      <c r="Q286" s="541"/>
      <c r="R286" s="541"/>
      <c r="S286" s="541"/>
      <c r="T286" s="541"/>
      <c r="U286" s="541"/>
      <c r="V286" s="541"/>
      <c r="W286" s="541"/>
      <c r="X286" s="541"/>
      <c r="Y286" s="541"/>
      <c r="Z286" s="541"/>
      <c r="AA286" s="541">
        <v>22</v>
      </c>
      <c r="AB286" s="541"/>
      <c r="AC286" s="542" t="e">
        <f>IF(NFI_Expiration=1,IF(#REF!&lt;VLOOKUP(L$5,NFI,5,0),1,0)*Table_NFI[[#This Row],[NFI Core Kit]],Table_NFI[NFI Core Kit])</f>
        <v>#REF!</v>
      </c>
      <c r="AD286" s="542" t="e">
        <f>IF(NFI_Expiration=1,IF(#REF!&lt;VLOOKUP(M$5,NFI,5,0),1,0)*Table_NFI[[#This Row],[Sanitary Kit]],Table_NFI[Sanitary Kit])</f>
        <v>#REF!</v>
      </c>
      <c r="AE286" s="542" t="e">
        <f>IF(NFI_Expiration=1,IF(#REF!&lt;VLOOKUP(N$5,NFI,5,0),1,0)*Table_NFI[[#This Row],[Mosquito net]],Table_NFI[Mosquito net])</f>
        <v>#REF!</v>
      </c>
      <c r="AF286" s="542" t="e">
        <f>IF(NFI_Expiration=1,IF(#REF!&lt;VLOOKUP(O$5,NFI,5,0),1,0)*Table_NFI[[#This Row],[Tarpaulin]],Table_NFI[[#This Row],[Tarpaulin]])</f>
        <v>#REF!</v>
      </c>
      <c r="AG286" s="542" t="e">
        <f>IF(NFI_Expiration=1,IF(#REF!&lt;VLOOKUP(P$5,NFI,5,0),1,0)*Table_NFI[[#This Row],[Blanket]],Table_NFI[[#This Row],[Blanket]])</f>
        <v>#REF!</v>
      </c>
      <c r="AH286" s="542" t="e">
        <f>IF(NFI_Expiration=1,IF(#REF!&lt;VLOOKUP(Q$5,NFI,5,0),1,0)*Table_NFI[[#This Row],[Kitchen Set]],Table_NFI[Kitchen Set])</f>
        <v>#REF!</v>
      </c>
      <c r="AI286" s="542" t="e">
        <f>IF(NFI_Expiration=1,IF(#REF!&lt;VLOOKUP(R$5,NFI,5,0),1,0)*Table_NFI[[#This Row],[Clothes Kit]],Table_NFI[Clothes Kit])</f>
        <v>#REF!</v>
      </c>
      <c r="AJ286" s="542" t="e">
        <f>IF(NFI_Expiration=1,IF(#REF!&lt;VLOOKUP(S$5,NFI,5,0),1,0)*Table_NFI[[#This Row],[Plastic Bucket]],Table_NFI[Plastic Bucket])</f>
        <v>#REF!</v>
      </c>
      <c r="AK286" s="542" t="e">
        <f>IF(NFI_Expiration=1,IF(#REF!&lt;VLOOKUP(T$5,NFI,5,0),1,0)*Table_NFI[[#This Row],[Plastic Mat]],Table_NFI[Plastic Mat])*IF(Table_NFI[[#This Row],[Distribution Date]]&gt;"2014-04-01",1,2.5)</f>
        <v>#REF!</v>
      </c>
      <c r="AL286" s="542" t="e">
        <f>IF(NFI_Expiration=1,IF(#REF!&lt;VLOOKUP(U$5,NFI,5,0),1,0)*Table_NFI[[#This Row],[Winter Clothes Adult]],Table_NFI[Winter Clothes Adult])</f>
        <v>#REF!</v>
      </c>
      <c r="AM286" s="542"/>
      <c r="AN286" s="542"/>
      <c r="AO286" s="542"/>
      <c r="AP286" s="542">
        <f>IF(Table_NFI[[#This Row],[Winter Clothes Adult]]+Table_NFI[[#This Row],[Winter Clothes Children]]+Table_NFI[[#This Row],[Winter Items Other]]+Table_NFI[[#This Row],[Winter Blanket]]&gt;0,1,0)</f>
        <v>0</v>
      </c>
      <c r="AQ286" s="542"/>
      <c r="AR286" s="542"/>
      <c r="AS286" s="542"/>
      <c r="AT286" s="205" t="str">
        <f>IFERROR(VLOOKUP(Table_NFI[[#This Row],[Location]],CL,2,0),"")</f>
        <v>MMR001CMP260</v>
      </c>
      <c r="AU286" s="183"/>
    </row>
    <row r="287" spans="2:47" x14ac:dyDescent="0.3">
      <c r="B287" s="540">
        <v>43229</v>
      </c>
      <c r="C287" s="540" t="str">
        <f>MONTH(Table_NFI[[#This Row],[Distribution Date]]) &amp; "/" &amp; YEAR(Table_NFI[[#This Row],[Distribution Date]])</f>
        <v>5/2018</v>
      </c>
      <c r="D287" s="198" t="s">
        <v>778</v>
      </c>
      <c r="E287" s="198" t="s">
        <v>778</v>
      </c>
      <c r="F287" s="198" t="s">
        <v>378</v>
      </c>
      <c r="G287" s="197" t="s">
        <v>173</v>
      </c>
      <c r="H287" s="219" t="s">
        <v>1665</v>
      </c>
      <c r="I287" s="183"/>
      <c r="J287" s="541"/>
      <c r="K287" s="541"/>
      <c r="L287" s="541"/>
      <c r="M287" s="541"/>
      <c r="N287" s="541"/>
      <c r="O287" s="541"/>
      <c r="P287" s="541">
        <v>47</v>
      </c>
      <c r="Q287" s="541"/>
      <c r="R287" s="541"/>
      <c r="S287" s="541"/>
      <c r="T287" s="541">
        <v>59</v>
      </c>
      <c r="U287" s="541"/>
      <c r="V287" s="541"/>
      <c r="W287" s="541"/>
      <c r="X287" s="541"/>
      <c r="Y287" s="541"/>
      <c r="Z287" s="541"/>
      <c r="AA287" s="541"/>
      <c r="AB287" s="541"/>
      <c r="AC287" s="542" t="e">
        <f>IF(NFI_Expiration=1,IF(#REF!&lt;VLOOKUP(L$5,NFI,5,0),1,0)*Table_NFI[[#This Row],[NFI Core Kit]],Table_NFI[NFI Core Kit])</f>
        <v>#REF!</v>
      </c>
      <c r="AD287" s="542" t="e">
        <f>IF(NFI_Expiration=1,IF(#REF!&lt;VLOOKUP(M$5,NFI,5,0),1,0)*Table_NFI[[#This Row],[Sanitary Kit]],Table_NFI[Sanitary Kit])</f>
        <v>#REF!</v>
      </c>
      <c r="AE287" s="542" t="e">
        <f>IF(NFI_Expiration=1,IF(#REF!&lt;VLOOKUP(N$5,NFI,5,0),1,0)*Table_NFI[[#This Row],[Mosquito net]],Table_NFI[Mosquito net])</f>
        <v>#REF!</v>
      </c>
      <c r="AF287" s="542" t="e">
        <f>IF(NFI_Expiration=1,IF(#REF!&lt;VLOOKUP(O$5,NFI,5,0),1,0)*Table_NFI[[#This Row],[Tarpaulin]],Table_NFI[[#This Row],[Tarpaulin]])</f>
        <v>#REF!</v>
      </c>
      <c r="AG287" s="542" t="e">
        <f>IF(NFI_Expiration=1,IF(#REF!&lt;VLOOKUP(P$5,NFI,5,0),1,0)*Table_NFI[[#This Row],[Blanket]],Table_NFI[[#This Row],[Blanket]])</f>
        <v>#REF!</v>
      </c>
      <c r="AH287" s="542" t="e">
        <f>IF(NFI_Expiration=1,IF(#REF!&lt;VLOOKUP(Q$5,NFI,5,0),1,0)*Table_NFI[[#This Row],[Kitchen Set]],Table_NFI[Kitchen Set])</f>
        <v>#REF!</v>
      </c>
      <c r="AI287" s="542" t="e">
        <f>IF(NFI_Expiration=1,IF(#REF!&lt;VLOOKUP(R$5,NFI,5,0),1,0)*Table_NFI[[#This Row],[Clothes Kit]],Table_NFI[Clothes Kit])</f>
        <v>#REF!</v>
      </c>
      <c r="AJ287" s="542" t="e">
        <f>IF(NFI_Expiration=1,IF(#REF!&lt;VLOOKUP(S$5,NFI,5,0),1,0)*Table_NFI[[#This Row],[Plastic Bucket]],Table_NFI[Plastic Bucket])</f>
        <v>#REF!</v>
      </c>
      <c r="AK287" s="542" t="e">
        <f>IF(NFI_Expiration=1,IF(#REF!&lt;VLOOKUP(T$5,NFI,5,0),1,0)*Table_NFI[[#This Row],[Plastic Mat]],Table_NFI[Plastic Mat])*IF(Table_NFI[[#This Row],[Distribution Date]]&gt;"2014-04-01",1,2.5)</f>
        <v>#REF!</v>
      </c>
      <c r="AL287" s="542" t="e">
        <f>IF(NFI_Expiration=1,IF(#REF!&lt;VLOOKUP(U$5,NFI,5,0),1,0)*Table_NFI[[#This Row],[Winter Clothes Adult]],Table_NFI[Winter Clothes Adult])</f>
        <v>#REF!</v>
      </c>
      <c r="AM287" s="542"/>
      <c r="AN287" s="542"/>
      <c r="AO287" s="542"/>
      <c r="AP287" s="542">
        <f>IF(Table_NFI[[#This Row],[Winter Clothes Adult]]+Table_NFI[[#This Row],[Winter Clothes Children]]+Table_NFI[[#This Row],[Winter Items Other]]+Table_NFI[[#This Row],[Winter Blanket]]&gt;0,1,0)</f>
        <v>0</v>
      </c>
      <c r="AQ287" s="542"/>
      <c r="AR287" s="542"/>
      <c r="AS287" s="542"/>
      <c r="AT287" s="205" t="str">
        <f>IFERROR(VLOOKUP(Table_NFI[[#This Row],[Location]],CL,2,0),"")</f>
        <v>MMR001CMP260</v>
      </c>
      <c r="AU287" s="183"/>
    </row>
    <row r="288" spans="2:47" x14ac:dyDescent="0.3">
      <c r="B288" s="540">
        <v>43235</v>
      </c>
      <c r="C288" s="540" t="str">
        <f>MONTH(Table_NFI[[#This Row],[Distribution Date]]) &amp; "/" &amp; YEAR(Table_NFI[[#This Row],[Distribution Date]])</f>
        <v>5/2018</v>
      </c>
      <c r="D288" s="198" t="s">
        <v>1638</v>
      </c>
      <c r="E288" s="198" t="s">
        <v>424</v>
      </c>
      <c r="F288" s="198" t="s">
        <v>378</v>
      </c>
      <c r="G288" s="197" t="s">
        <v>237</v>
      </c>
      <c r="H288" s="219" t="s">
        <v>1735</v>
      </c>
      <c r="I288" s="183"/>
      <c r="J288" s="541"/>
      <c r="K288" s="541"/>
      <c r="L288" s="541">
        <v>21</v>
      </c>
      <c r="M288" s="541"/>
      <c r="N288" s="541">
        <v>42</v>
      </c>
      <c r="O288" s="541">
        <v>42</v>
      </c>
      <c r="P288" s="541">
        <v>42</v>
      </c>
      <c r="Q288" s="541">
        <v>21</v>
      </c>
      <c r="R288" s="541"/>
      <c r="S288" s="541">
        <v>21</v>
      </c>
      <c r="T288" s="541"/>
      <c r="U288" s="541"/>
      <c r="V288" s="541"/>
      <c r="W288" s="541"/>
      <c r="X288" s="541"/>
      <c r="Y288" s="541"/>
      <c r="Z288" s="541"/>
      <c r="AA288" s="541"/>
      <c r="AB288" s="541"/>
      <c r="AC288" s="542" t="e">
        <f>IF(NFI_Expiration=1,IF(#REF!&lt;VLOOKUP(L$5,NFI,5,0),1,0)*Table_NFI[[#This Row],[NFI Core Kit]],Table_NFI[NFI Core Kit])</f>
        <v>#REF!</v>
      </c>
      <c r="AD288" s="542" t="e">
        <f>IF(NFI_Expiration=1,IF(#REF!&lt;VLOOKUP(M$5,NFI,5,0),1,0)*Table_NFI[[#This Row],[Sanitary Kit]],Table_NFI[Sanitary Kit])</f>
        <v>#REF!</v>
      </c>
      <c r="AE288" s="542" t="e">
        <f>IF(NFI_Expiration=1,IF(#REF!&lt;VLOOKUP(N$5,NFI,5,0),1,0)*Table_NFI[[#This Row],[Mosquito net]],Table_NFI[Mosquito net])</f>
        <v>#REF!</v>
      </c>
      <c r="AF288" s="542" t="e">
        <f>IF(NFI_Expiration=1,IF(#REF!&lt;VLOOKUP(O$5,NFI,5,0),1,0)*Table_NFI[[#This Row],[Tarpaulin]],Table_NFI[[#This Row],[Tarpaulin]])</f>
        <v>#REF!</v>
      </c>
      <c r="AG288" s="542" t="e">
        <f>IF(NFI_Expiration=1,IF(#REF!&lt;VLOOKUP(P$5,NFI,5,0),1,0)*Table_NFI[[#This Row],[Blanket]],Table_NFI[[#This Row],[Blanket]])</f>
        <v>#REF!</v>
      </c>
      <c r="AH288" s="542" t="e">
        <f>IF(NFI_Expiration=1,IF(#REF!&lt;VLOOKUP(Q$5,NFI,5,0),1,0)*Table_NFI[[#This Row],[Kitchen Set]],Table_NFI[Kitchen Set])</f>
        <v>#REF!</v>
      </c>
      <c r="AI288" s="542" t="e">
        <f>IF(NFI_Expiration=1,IF(#REF!&lt;VLOOKUP(R$5,NFI,5,0),1,0)*Table_NFI[[#This Row],[Clothes Kit]],Table_NFI[Clothes Kit])</f>
        <v>#REF!</v>
      </c>
      <c r="AJ288" s="542" t="e">
        <f>IF(NFI_Expiration=1,IF(#REF!&lt;VLOOKUP(S$5,NFI,5,0),1,0)*Table_NFI[[#This Row],[Plastic Bucket]],Table_NFI[Plastic Bucket])</f>
        <v>#REF!</v>
      </c>
      <c r="AK288" s="542" t="e">
        <f>IF(NFI_Expiration=1,IF(#REF!&lt;VLOOKUP(T$5,NFI,5,0),1,0)*Table_NFI[[#This Row],[Plastic Mat]],Table_NFI[Plastic Mat])*IF(Table_NFI[[#This Row],[Distribution Date]]&gt;"2014-04-01",1,2.5)</f>
        <v>#REF!</v>
      </c>
      <c r="AL288" s="542" t="e">
        <f>IF(NFI_Expiration=1,IF(#REF!&lt;VLOOKUP(U$5,NFI,5,0),1,0)*Table_NFI[[#This Row],[Winter Clothes Adult]],Table_NFI[Winter Clothes Adult])</f>
        <v>#REF!</v>
      </c>
      <c r="AM288" s="542"/>
      <c r="AN288" s="542"/>
      <c r="AO288" s="542"/>
      <c r="AP288" s="542">
        <f>IF(Table_NFI[[#This Row],[Winter Clothes Adult]]+Table_NFI[[#This Row],[Winter Clothes Children]]+Table_NFI[[#This Row],[Winter Items Other]]+Table_NFI[[#This Row],[Winter Blanket]]&gt;0,1,0)</f>
        <v>0</v>
      </c>
      <c r="AQ288" s="542"/>
      <c r="AR288" s="542"/>
      <c r="AS288" s="542"/>
      <c r="AT288" s="205" t="str">
        <f>IFERROR(VLOOKUP(Table_NFI[[#This Row],[Location]],CL,2,0),"")</f>
        <v/>
      </c>
      <c r="AU288" s="183"/>
    </row>
    <row r="289" spans="2:47" x14ac:dyDescent="0.3">
      <c r="B289" s="540">
        <v>43239</v>
      </c>
      <c r="C289" s="540" t="str">
        <f>MONTH(Table_NFI[[#This Row],[Distribution Date]]) &amp; "/" &amp; YEAR(Table_NFI[[#This Row],[Distribution Date]])</f>
        <v>5/2018</v>
      </c>
      <c r="D289" s="198" t="s">
        <v>1638</v>
      </c>
      <c r="E289" s="198" t="s">
        <v>424</v>
      </c>
      <c r="F289" s="198" t="s">
        <v>378</v>
      </c>
      <c r="G289" s="197" t="s">
        <v>309</v>
      </c>
      <c r="H289" s="219" t="s">
        <v>1750</v>
      </c>
      <c r="I289" s="183"/>
      <c r="J289" s="541"/>
      <c r="K289" s="541"/>
      <c r="L289" s="541">
        <v>57</v>
      </c>
      <c r="M289" s="541"/>
      <c r="N289" s="541"/>
      <c r="O289" s="541"/>
      <c r="P289" s="541"/>
      <c r="Q289" s="541"/>
      <c r="R289" s="541"/>
      <c r="S289" s="541"/>
      <c r="T289" s="541"/>
      <c r="U289" s="541"/>
      <c r="V289" s="541"/>
      <c r="W289" s="541"/>
      <c r="X289" s="541"/>
      <c r="Y289" s="541"/>
      <c r="Z289" s="541"/>
      <c r="AA289" s="541"/>
      <c r="AB289" s="541"/>
      <c r="AC289" s="542" t="e">
        <f>IF(NFI_Expiration=1,IF(#REF!&lt;VLOOKUP(L$5,NFI,5,0),1,0)*Table_NFI[[#This Row],[NFI Core Kit]],Table_NFI[NFI Core Kit])</f>
        <v>#REF!</v>
      </c>
      <c r="AD289" s="542" t="e">
        <f>IF(NFI_Expiration=1,IF(#REF!&lt;VLOOKUP(M$5,NFI,5,0),1,0)*Table_NFI[[#This Row],[Sanitary Kit]],Table_NFI[Sanitary Kit])</f>
        <v>#REF!</v>
      </c>
      <c r="AE289" s="542" t="e">
        <f>IF(NFI_Expiration=1,IF(#REF!&lt;VLOOKUP(N$5,NFI,5,0),1,0)*Table_NFI[[#This Row],[Mosquito net]],Table_NFI[Mosquito net])</f>
        <v>#REF!</v>
      </c>
      <c r="AF289" s="542" t="e">
        <f>IF(NFI_Expiration=1,IF(#REF!&lt;VLOOKUP(O$5,NFI,5,0),1,0)*Table_NFI[[#This Row],[Tarpaulin]],Table_NFI[[#This Row],[Tarpaulin]])</f>
        <v>#REF!</v>
      </c>
      <c r="AG289" s="542" t="e">
        <f>IF(NFI_Expiration=1,IF(#REF!&lt;VLOOKUP(P$5,NFI,5,0),1,0)*Table_NFI[[#This Row],[Blanket]],Table_NFI[[#This Row],[Blanket]])</f>
        <v>#REF!</v>
      </c>
      <c r="AH289" s="542" t="e">
        <f>IF(NFI_Expiration=1,IF(#REF!&lt;VLOOKUP(Q$5,NFI,5,0),1,0)*Table_NFI[[#This Row],[Kitchen Set]],Table_NFI[Kitchen Set])</f>
        <v>#REF!</v>
      </c>
      <c r="AI289" s="542" t="e">
        <f>IF(NFI_Expiration=1,IF(#REF!&lt;VLOOKUP(R$5,NFI,5,0),1,0)*Table_NFI[[#This Row],[Clothes Kit]],Table_NFI[Clothes Kit])</f>
        <v>#REF!</v>
      </c>
      <c r="AJ289" s="542" t="e">
        <f>IF(NFI_Expiration=1,IF(#REF!&lt;VLOOKUP(S$5,NFI,5,0),1,0)*Table_NFI[[#This Row],[Plastic Bucket]],Table_NFI[Plastic Bucket])</f>
        <v>#REF!</v>
      </c>
      <c r="AK289" s="542" t="e">
        <f>IF(NFI_Expiration=1,IF(#REF!&lt;VLOOKUP(T$5,NFI,5,0),1,0)*Table_NFI[[#This Row],[Plastic Mat]],Table_NFI[Plastic Mat])*IF(Table_NFI[[#This Row],[Distribution Date]]&gt;"2014-04-01",1,2.5)</f>
        <v>#REF!</v>
      </c>
      <c r="AL289" s="542" t="e">
        <f>IF(NFI_Expiration=1,IF(#REF!&lt;VLOOKUP(U$5,NFI,5,0),1,0)*Table_NFI[[#This Row],[Winter Clothes Adult]],Table_NFI[Winter Clothes Adult])</f>
        <v>#REF!</v>
      </c>
      <c r="AM289" s="542"/>
      <c r="AN289" s="542"/>
      <c r="AO289" s="542"/>
      <c r="AP289" s="542">
        <f>IF(Table_NFI[[#This Row],[Winter Clothes Adult]]+Table_NFI[[#This Row],[Winter Clothes Children]]+Table_NFI[[#This Row],[Winter Items Other]]+Table_NFI[[#This Row],[Winter Blanket]]&gt;0,1,0)</f>
        <v>0</v>
      </c>
      <c r="AQ289" s="542"/>
      <c r="AR289" s="542"/>
      <c r="AS289" s="542"/>
      <c r="AT289" s="205" t="str">
        <f>IFERROR(VLOOKUP(Table_NFI[[#This Row],[Location]],CL,2,0),"")</f>
        <v>MMR001CMP269</v>
      </c>
      <c r="AU289" s="183"/>
    </row>
    <row r="290" spans="2:47" x14ac:dyDescent="0.3">
      <c r="B290" s="540">
        <v>43231</v>
      </c>
      <c r="C290" s="540" t="str">
        <f>MONTH(Table_NFI[[#This Row],[Distribution Date]]) &amp; "/" &amp; YEAR(Table_NFI[[#This Row],[Distribution Date]])</f>
        <v>5/2018</v>
      </c>
      <c r="D290" s="198" t="s">
        <v>1638</v>
      </c>
      <c r="E290" s="198" t="s">
        <v>424</v>
      </c>
      <c r="F290" s="198" t="s">
        <v>378</v>
      </c>
      <c r="G290" s="197" t="s">
        <v>361</v>
      </c>
      <c r="H290" s="219" t="s">
        <v>1701</v>
      </c>
      <c r="I290" s="183"/>
      <c r="J290" s="541"/>
      <c r="K290" s="541"/>
      <c r="L290" s="541">
        <v>25</v>
      </c>
      <c r="M290" s="541"/>
      <c r="N290" s="541"/>
      <c r="O290" s="541"/>
      <c r="P290" s="541"/>
      <c r="Q290" s="541"/>
      <c r="R290" s="541"/>
      <c r="S290" s="541"/>
      <c r="T290" s="541"/>
      <c r="U290" s="541"/>
      <c r="V290" s="541"/>
      <c r="W290" s="541"/>
      <c r="X290" s="541"/>
      <c r="Y290" s="541"/>
      <c r="Z290" s="541"/>
      <c r="AA290" s="541"/>
      <c r="AB290" s="541"/>
      <c r="AC290" s="542" t="e">
        <f>IF(NFI_Expiration=1,IF(#REF!&lt;VLOOKUP(L$5,NFI,5,0),1,0)*Table_NFI[[#This Row],[NFI Core Kit]],Table_NFI[NFI Core Kit])</f>
        <v>#REF!</v>
      </c>
      <c r="AD290" s="542" t="e">
        <f>IF(NFI_Expiration=1,IF(#REF!&lt;VLOOKUP(M$5,NFI,5,0),1,0)*Table_NFI[[#This Row],[Sanitary Kit]],Table_NFI[Sanitary Kit])</f>
        <v>#REF!</v>
      </c>
      <c r="AE290" s="542" t="e">
        <f>IF(NFI_Expiration=1,IF(#REF!&lt;VLOOKUP(N$5,NFI,5,0),1,0)*Table_NFI[[#This Row],[Mosquito net]],Table_NFI[Mosquito net])</f>
        <v>#REF!</v>
      </c>
      <c r="AF290" s="542" t="e">
        <f>IF(NFI_Expiration=1,IF(#REF!&lt;VLOOKUP(O$5,NFI,5,0),1,0)*Table_NFI[[#This Row],[Tarpaulin]],Table_NFI[[#This Row],[Tarpaulin]])</f>
        <v>#REF!</v>
      </c>
      <c r="AG290" s="542" t="e">
        <f>IF(NFI_Expiration=1,IF(#REF!&lt;VLOOKUP(P$5,NFI,5,0),1,0)*Table_NFI[[#This Row],[Blanket]],Table_NFI[[#This Row],[Blanket]])</f>
        <v>#REF!</v>
      </c>
      <c r="AH290" s="542" t="e">
        <f>IF(NFI_Expiration=1,IF(#REF!&lt;VLOOKUP(Q$5,NFI,5,0),1,0)*Table_NFI[[#This Row],[Kitchen Set]],Table_NFI[Kitchen Set])</f>
        <v>#REF!</v>
      </c>
      <c r="AI290" s="542" t="e">
        <f>IF(NFI_Expiration=1,IF(#REF!&lt;VLOOKUP(R$5,NFI,5,0),1,0)*Table_NFI[[#This Row],[Clothes Kit]],Table_NFI[Clothes Kit])</f>
        <v>#REF!</v>
      </c>
      <c r="AJ290" s="542" t="e">
        <f>IF(NFI_Expiration=1,IF(#REF!&lt;VLOOKUP(S$5,NFI,5,0),1,0)*Table_NFI[[#This Row],[Plastic Bucket]],Table_NFI[Plastic Bucket])</f>
        <v>#REF!</v>
      </c>
      <c r="AK290" s="542" t="e">
        <f>IF(NFI_Expiration=1,IF(#REF!&lt;VLOOKUP(T$5,NFI,5,0),1,0)*Table_NFI[[#This Row],[Plastic Mat]],Table_NFI[Plastic Mat])*IF(Table_NFI[[#This Row],[Distribution Date]]&gt;"2014-04-01",1,2.5)</f>
        <v>#REF!</v>
      </c>
      <c r="AL290" s="542" t="e">
        <f>IF(NFI_Expiration=1,IF(#REF!&lt;VLOOKUP(U$5,NFI,5,0),1,0)*Table_NFI[[#This Row],[Winter Clothes Adult]],Table_NFI[Winter Clothes Adult])</f>
        <v>#REF!</v>
      </c>
      <c r="AM290" s="542"/>
      <c r="AN290" s="542"/>
      <c r="AO290" s="542"/>
      <c r="AP290" s="542">
        <f>IF(Table_NFI[[#This Row],[Winter Clothes Adult]]+Table_NFI[[#This Row],[Winter Clothes Children]]+Table_NFI[[#This Row],[Winter Items Other]]+Table_NFI[[#This Row],[Winter Blanket]]&gt;0,1,0)</f>
        <v>0</v>
      </c>
      <c r="AQ290" s="542"/>
      <c r="AR290" s="542"/>
      <c r="AS290" s="542"/>
      <c r="AT290" s="205" t="str">
        <f>IFERROR(VLOOKUP(Table_NFI[[#This Row],[Location]],CL,2,0),"")</f>
        <v>MMR001CMP267</v>
      </c>
      <c r="AU290" s="183"/>
    </row>
    <row r="291" spans="2:47" x14ac:dyDescent="0.3">
      <c r="B291" s="540">
        <v>43232</v>
      </c>
      <c r="C291" s="540" t="str">
        <f>MONTH(Table_NFI[[#This Row],[Distribution Date]]) &amp; "/" &amp; YEAR(Table_NFI[[#This Row],[Distribution Date]])</f>
        <v>5/2018</v>
      </c>
      <c r="D291" s="198" t="s">
        <v>1638</v>
      </c>
      <c r="E291" s="198" t="s">
        <v>424</v>
      </c>
      <c r="F291" s="198" t="s">
        <v>378</v>
      </c>
      <c r="G291" s="197" t="s">
        <v>480</v>
      </c>
      <c r="H291" s="219" t="s">
        <v>88</v>
      </c>
      <c r="I291" s="183"/>
      <c r="J291" s="541"/>
      <c r="K291" s="541"/>
      <c r="L291" s="541">
        <v>31</v>
      </c>
      <c r="M291" s="541"/>
      <c r="N291" s="541"/>
      <c r="O291" s="541"/>
      <c r="P291" s="541"/>
      <c r="Q291" s="541"/>
      <c r="R291" s="541"/>
      <c r="S291" s="541"/>
      <c r="T291" s="541"/>
      <c r="U291" s="541"/>
      <c r="V291" s="541"/>
      <c r="W291" s="541"/>
      <c r="X291" s="541"/>
      <c r="Y291" s="541"/>
      <c r="Z291" s="541"/>
      <c r="AA291" s="541"/>
      <c r="AB291" s="541"/>
      <c r="AC291" s="542" t="e">
        <f>IF(NFI_Expiration=1,IF(#REF!&lt;VLOOKUP(L$5,NFI,5,0),1,0)*Table_NFI[[#This Row],[NFI Core Kit]],Table_NFI[NFI Core Kit])</f>
        <v>#REF!</v>
      </c>
      <c r="AD291" s="542" t="e">
        <f>IF(NFI_Expiration=1,IF(#REF!&lt;VLOOKUP(M$5,NFI,5,0),1,0)*Table_NFI[[#This Row],[Sanitary Kit]],Table_NFI[Sanitary Kit])</f>
        <v>#REF!</v>
      </c>
      <c r="AE291" s="542" t="e">
        <f>IF(NFI_Expiration=1,IF(#REF!&lt;VLOOKUP(N$5,NFI,5,0),1,0)*Table_NFI[[#This Row],[Mosquito net]],Table_NFI[Mosquito net])</f>
        <v>#REF!</v>
      </c>
      <c r="AF291" s="542" t="e">
        <f>IF(NFI_Expiration=1,IF(#REF!&lt;VLOOKUP(O$5,NFI,5,0),1,0)*Table_NFI[[#This Row],[Tarpaulin]],Table_NFI[[#This Row],[Tarpaulin]])</f>
        <v>#REF!</v>
      </c>
      <c r="AG291" s="542" t="e">
        <f>IF(NFI_Expiration=1,IF(#REF!&lt;VLOOKUP(P$5,NFI,5,0),1,0)*Table_NFI[[#This Row],[Blanket]],Table_NFI[[#This Row],[Blanket]])</f>
        <v>#REF!</v>
      </c>
      <c r="AH291" s="542" t="e">
        <f>IF(NFI_Expiration=1,IF(#REF!&lt;VLOOKUP(Q$5,NFI,5,0),1,0)*Table_NFI[[#This Row],[Kitchen Set]],Table_NFI[Kitchen Set])</f>
        <v>#REF!</v>
      </c>
      <c r="AI291" s="542" t="e">
        <f>IF(NFI_Expiration=1,IF(#REF!&lt;VLOOKUP(R$5,NFI,5,0),1,0)*Table_NFI[[#This Row],[Clothes Kit]],Table_NFI[Clothes Kit])</f>
        <v>#REF!</v>
      </c>
      <c r="AJ291" s="542" t="e">
        <f>IF(NFI_Expiration=1,IF(#REF!&lt;VLOOKUP(S$5,NFI,5,0),1,0)*Table_NFI[[#This Row],[Plastic Bucket]],Table_NFI[Plastic Bucket])</f>
        <v>#REF!</v>
      </c>
      <c r="AK291" s="542" t="e">
        <f>IF(NFI_Expiration=1,IF(#REF!&lt;VLOOKUP(T$5,NFI,5,0),1,0)*Table_NFI[[#This Row],[Plastic Mat]],Table_NFI[Plastic Mat])*IF(Table_NFI[[#This Row],[Distribution Date]]&gt;"2014-04-01",1,2.5)</f>
        <v>#REF!</v>
      </c>
      <c r="AL291" s="542" t="e">
        <f>IF(NFI_Expiration=1,IF(#REF!&lt;VLOOKUP(U$5,NFI,5,0),1,0)*Table_NFI[[#This Row],[Winter Clothes Adult]],Table_NFI[Winter Clothes Adult])</f>
        <v>#REF!</v>
      </c>
      <c r="AM291" s="542"/>
      <c r="AN291" s="542"/>
      <c r="AO291" s="542"/>
      <c r="AP291" s="542">
        <f>IF(Table_NFI[[#This Row],[Winter Clothes Adult]]+Table_NFI[[#This Row],[Winter Clothes Children]]+Table_NFI[[#This Row],[Winter Items Other]]+Table_NFI[[#This Row],[Winter Blanket]]&gt;0,1,0)</f>
        <v>0</v>
      </c>
      <c r="AQ291" s="542"/>
      <c r="AR291" s="542"/>
      <c r="AS291" s="542"/>
      <c r="AT291" s="205" t="str">
        <f>IFERROR(VLOOKUP(Table_NFI[[#This Row],[Location]],CL,2,0),"")</f>
        <v>MMR001CMP148</v>
      </c>
      <c r="AU291" s="183"/>
    </row>
    <row r="292" spans="2:47" x14ac:dyDescent="0.3">
      <c r="B292" s="540">
        <v>43243</v>
      </c>
      <c r="C292" s="540" t="str">
        <f>MONTH(Table_NFI[[#This Row],[Distribution Date]]) &amp; "/" &amp; YEAR(Table_NFI[[#This Row],[Distribution Date]])</f>
        <v>5/2018</v>
      </c>
      <c r="D292" s="198" t="s">
        <v>1638</v>
      </c>
      <c r="E292" s="198" t="s">
        <v>424</v>
      </c>
      <c r="F292" s="198" t="s">
        <v>378</v>
      </c>
      <c r="G292" s="197" t="s">
        <v>237</v>
      </c>
      <c r="H292" s="219" t="s">
        <v>240</v>
      </c>
      <c r="I292" s="183"/>
      <c r="J292" s="541"/>
      <c r="K292" s="541"/>
      <c r="L292" s="541">
        <v>3</v>
      </c>
      <c r="M292" s="541"/>
      <c r="N292" s="541"/>
      <c r="O292" s="541"/>
      <c r="P292" s="541"/>
      <c r="Q292" s="541"/>
      <c r="R292" s="541"/>
      <c r="S292" s="541"/>
      <c r="T292" s="541"/>
      <c r="U292" s="541"/>
      <c r="V292" s="541"/>
      <c r="W292" s="541"/>
      <c r="X292" s="541"/>
      <c r="Y292" s="541"/>
      <c r="Z292" s="541"/>
      <c r="AA292" s="541"/>
      <c r="AB292" s="541"/>
      <c r="AC292" s="542" t="e">
        <f>IF(NFI_Expiration=1,IF(#REF!&lt;VLOOKUP(L$5,NFI,5,0),1,0)*Table_NFI[[#This Row],[NFI Core Kit]],Table_NFI[NFI Core Kit])</f>
        <v>#REF!</v>
      </c>
      <c r="AD292" s="542" t="e">
        <f>IF(NFI_Expiration=1,IF(#REF!&lt;VLOOKUP(M$5,NFI,5,0),1,0)*Table_NFI[[#This Row],[Sanitary Kit]],Table_NFI[Sanitary Kit])</f>
        <v>#REF!</v>
      </c>
      <c r="AE292" s="542" t="e">
        <f>IF(NFI_Expiration=1,IF(#REF!&lt;VLOOKUP(N$5,NFI,5,0),1,0)*Table_NFI[[#This Row],[Mosquito net]],Table_NFI[Mosquito net])</f>
        <v>#REF!</v>
      </c>
      <c r="AF292" s="542" t="e">
        <f>IF(NFI_Expiration=1,IF(#REF!&lt;VLOOKUP(O$5,NFI,5,0),1,0)*Table_NFI[[#This Row],[Tarpaulin]],Table_NFI[[#This Row],[Tarpaulin]])</f>
        <v>#REF!</v>
      </c>
      <c r="AG292" s="542" t="e">
        <f>IF(NFI_Expiration=1,IF(#REF!&lt;VLOOKUP(P$5,NFI,5,0),1,0)*Table_NFI[[#This Row],[Blanket]],Table_NFI[[#This Row],[Blanket]])</f>
        <v>#REF!</v>
      </c>
      <c r="AH292" s="542" t="e">
        <f>IF(NFI_Expiration=1,IF(#REF!&lt;VLOOKUP(Q$5,NFI,5,0),1,0)*Table_NFI[[#This Row],[Kitchen Set]],Table_NFI[Kitchen Set])</f>
        <v>#REF!</v>
      </c>
      <c r="AI292" s="542" t="e">
        <f>IF(NFI_Expiration=1,IF(#REF!&lt;VLOOKUP(R$5,NFI,5,0),1,0)*Table_NFI[[#This Row],[Clothes Kit]],Table_NFI[Clothes Kit])</f>
        <v>#REF!</v>
      </c>
      <c r="AJ292" s="542" t="e">
        <f>IF(NFI_Expiration=1,IF(#REF!&lt;VLOOKUP(S$5,NFI,5,0),1,0)*Table_NFI[[#This Row],[Plastic Bucket]],Table_NFI[Plastic Bucket])</f>
        <v>#REF!</v>
      </c>
      <c r="AK292" s="542" t="e">
        <f>IF(NFI_Expiration=1,IF(#REF!&lt;VLOOKUP(T$5,NFI,5,0),1,0)*Table_NFI[[#This Row],[Plastic Mat]],Table_NFI[Plastic Mat])*IF(Table_NFI[[#This Row],[Distribution Date]]&gt;"2014-04-01",1,2.5)</f>
        <v>#REF!</v>
      </c>
      <c r="AL292" s="542" t="e">
        <f>IF(NFI_Expiration=1,IF(#REF!&lt;VLOOKUP(U$5,NFI,5,0),1,0)*Table_NFI[[#This Row],[Winter Clothes Adult]],Table_NFI[Winter Clothes Adult])</f>
        <v>#REF!</v>
      </c>
      <c r="AM292" s="542"/>
      <c r="AN292" s="542"/>
      <c r="AO292" s="542"/>
      <c r="AP292" s="542">
        <f>IF(Table_NFI[[#This Row],[Winter Clothes Adult]]+Table_NFI[[#This Row],[Winter Clothes Children]]+Table_NFI[[#This Row],[Winter Items Other]]+Table_NFI[[#This Row],[Winter Blanket]]&gt;0,1,0)</f>
        <v>0</v>
      </c>
      <c r="AQ292" s="542"/>
      <c r="AR292" s="542"/>
      <c r="AS292" s="542"/>
      <c r="AT292" s="205" t="str">
        <f>IFERROR(VLOOKUP(Table_NFI[[#This Row],[Location]],CL,2,0),"")</f>
        <v>MMR001CMP015</v>
      </c>
      <c r="AU292" s="183"/>
    </row>
    <row r="293" spans="2:47" x14ac:dyDescent="0.3">
      <c r="B293" s="540">
        <v>43244</v>
      </c>
      <c r="C293" s="540" t="str">
        <f>MONTH(Table_NFI[[#This Row],[Distribution Date]]) &amp; "/" &amp; YEAR(Table_NFI[[#This Row],[Distribution Date]])</f>
        <v>5/2018</v>
      </c>
      <c r="D293" s="198" t="s">
        <v>1638</v>
      </c>
      <c r="E293" s="198" t="s">
        <v>424</v>
      </c>
      <c r="F293" s="198" t="s">
        <v>378</v>
      </c>
      <c r="G293" s="197" t="s">
        <v>237</v>
      </c>
      <c r="H293" s="219" t="s">
        <v>256</v>
      </c>
      <c r="I293" s="183"/>
      <c r="J293" s="541"/>
      <c r="K293" s="541"/>
      <c r="L293" s="541">
        <v>1</v>
      </c>
      <c r="M293" s="541"/>
      <c r="N293" s="541"/>
      <c r="O293" s="541"/>
      <c r="P293" s="541"/>
      <c r="Q293" s="541"/>
      <c r="R293" s="541"/>
      <c r="S293" s="541"/>
      <c r="T293" s="541"/>
      <c r="U293" s="541"/>
      <c r="V293" s="541"/>
      <c r="W293" s="541"/>
      <c r="X293" s="541"/>
      <c r="Y293" s="541"/>
      <c r="Z293" s="541"/>
      <c r="AA293" s="541"/>
      <c r="AB293" s="541"/>
      <c r="AC293" s="542" t="e">
        <f>IF(NFI_Expiration=1,IF(#REF!&lt;VLOOKUP(L$5,NFI,5,0),1,0)*Table_NFI[[#This Row],[NFI Core Kit]],Table_NFI[NFI Core Kit])</f>
        <v>#REF!</v>
      </c>
      <c r="AD293" s="542" t="e">
        <f>IF(NFI_Expiration=1,IF(#REF!&lt;VLOOKUP(M$5,NFI,5,0),1,0)*Table_NFI[[#This Row],[Sanitary Kit]],Table_NFI[Sanitary Kit])</f>
        <v>#REF!</v>
      </c>
      <c r="AE293" s="542" t="e">
        <f>IF(NFI_Expiration=1,IF(#REF!&lt;VLOOKUP(N$5,NFI,5,0),1,0)*Table_NFI[[#This Row],[Mosquito net]],Table_NFI[Mosquito net])</f>
        <v>#REF!</v>
      </c>
      <c r="AF293" s="542" t="e">
        <f>IF(NFI_Expiration=1,IF(#REF!&lt;VLOOKUP(O$5,NFI,5,0),1,0)*Table_NFI[[#This Row],[Tarpaulin]],Table_NFI[[#This Row],[Tarpaulin]])</f>
        <v>#REF!</v>
      </c>
      <c r="AG293" s="542" t="e">
        <f>IF(NFI_Expiration=1,IF(#REF!&lt;VLOOKUP(P$5,NFI,5,0),1,0)*Table_NFI[[#This Row],[Blanket]],Table_NFI[[#This Row],[Blanket]])</f>
        <v>#REF!</v>
      </c>
      <c r="AH293" s="542" t="e">
        <f>IF(NFI_Expiration=1,IF(#REF!&lt;VLOOKUP(Q$5,NFI,5,0),1,0)*Table_NFI[[#This Row],[Kitchen Set]],Table_NFI[Kitchen Set])</f>
        <v>#REF!</v>
      </c>
      <c r="AI293" s="542" t="e">
        <f>IF(NFI_Expiration=1,IF(#REF!&lt;VLOOKUP(R$5,NFI,5,0),1,0)*Table_NFI[[#This Row],[Clothes Kit]],Table_NFI[Clothes Kit])</f>
        <v>#REF!</v>
      </c>
      <c r="AJ293" s="542" t="e">
        <f>IF(NFI_Expiration=1,IF(#REF!&lt;VLOOKUP(S$5,NFI,5,0),1,0)*Table_NFI[[#This Row],[Plastic Bucket]],Table_NFI[Plastic Bucket])</f>
        <v>#REF!</v>
      </c>
      <c r="AK293" s="542" t="e">
        <f>IF(NFI_Expiration=1,IF(#REF!&lt;VLOOKUP(T$5,NFI,5,0),1,0)*Table_NFI[[#This Row],[Plastic Mat]],Table_NFI[Plastic Mat])*IF(Table_NFI[[#This Row],[Distribution Date]]&gt;"2014-04-01",1,2.5)</f>
        <v>#REF!</v>
      </c>
      <c r="AL293" s="542" t="e">
        <f>IF(NFI_Expiration=1,IF(#REF!&lt;VLOOKUP(U$5,NFI,5,0),1,0)*Table_NFI[[#This Row],[Winter Clothes Adult]],Table_NFI[Winter Clothes Adult])</f>
        <v>#REF!</v>
      </c>
      <c r="AM293" s="542"/>
      <c r="AN293" s="542"/>
      <c r="AO293" s="542"/>
      <c r="AP293" s="542">
        <f>IF(Table_NFI[[#This Row],[Winter Clothes Adult]]+Table_NFI[[#This Row],[Winter Clothes Children]]+Table_NFI[[#This Row],[Winter Items Other]]+Table_NFI[[#This Row],[Winter Blanket]]&gt;0,1,0)</f>
        <v>0</v>
      </c>
      <c r="AQ293" s="542"/>
      <c r="AR293" s="542"/>
      <c r="AS293" s="542"/>
      <c r="AT293" s="205" t="str">
        <f>IFERROR(VLOOKUP(Table_NFI[[#This Row],[Location]],CL,2,0),"")</f>
        <v>MMR001CMP013</v>
      </c>
      <c r="AU293" s="183"/>
    </row>
    <row r="294" spans="2:47" x14ac:dyDescent="0.3">
      <c r="B294" s="540">
        <v>43245</v>
      </c>
      <c r="C294" s="540" t="str">
        <f>MONTH(Table_NFI[[#This Row],[Distribution Date]]) &amp; "/" &amp; YEAR(Table_NFI[[#This Row],[Distribution Date]])</f>
        <v>5/2018</v>
      </c>
      <c r="D294" s="198" t="s">
        <v>1638</v>
      </c>
      <c r="E294" s="198" t="s">
        <v>424</v>
      </c>
      <c r="F294" s="198" t="s">
        <v>378</v>
      </c>
      <c r="G294" s="197" t="s">
        <v>309</v>
      </c>
      <c r="H294" s="219" t="s">
        <v>325</v>
      </c>
      <c r="I294" s="183"/>
      <c r="J294" s="541"/>
      <c r="K294" s="541"/>
      <c r="L294" s="541">
        <v>2</v>
      </c>
      <c r="M294" s="541"/>
      <c r="N294" s="541"/>
      <c r="O294" s="541"/>
      <c r="P294" s="541"/>
      <c r="Q294" s="541"/>
      <c r="R294" s="541"/>
      <c r="S294" s="541"/>
      <c r="T294" s="541"/>
      <c r="U294" s="541"/>
      <c r="V294" s="541"/>
      <c r="W294" s="541"/>
      <c r="X294" s="541"/>
      <c r="Y294" s="541"/>
      <c r="Z294" s="541"/>
      <c r="AA294" s="541"/>
      <c r="AB294" s="541"/>
      <c r="AC294" s="542" t="e">
        <f>IF(NFI_Expiration=1,IF(#REF!&lt;VLOOKUP(L$5,NFI,5,0),1,0)*Table_NFI[[#This Row],[NFI Core Kit]],Table_NFI[NFI Core Kit])</f>
        <v>#REF!</v>
      </c>
      <c r="AD294" s="542" t="e">
        <f>IF(NFI_Expiration=1,IF(#REF!&lt;VLOOKUP(M$5,NFI,5,0),1,0)*Table_NFI[[#This Row],[Sanitary Kit]],Table_NFI[Sanitary Kit])</f>
        <v>#REF!</v>
      </c>
      <c r="AE294" s="542" t="e">
        <f>IF(NFI_Expiration=1,IF(#REF!&lt;VLOOKUP(N$5,NFI,5,0),1,0)*Table_NFI[[#This Row],[Mosquito net]],Table_NFI[Mosquito net])</f>
        <v>#REF!</v>
      </c>
      <c r="AF294" s="542" t="e">
        <f>IF(NFI_Expiration=1,IF(#REF!&lt;VLOOKUP(O$5,NFI,5,0),1,0)*Table_NFI[[#This Row],[Tarpaulin]],Table_NFI[[#This Row],[Tarpaulin]])</f>
        <v>#REF!</v>
      </c>
      <c r="AG294" s="542" t="e">
        <f>IF(NFI_Expiration=1,IF(#REF!&lt;VLOOKUP(P$5,NFI,5,0),1,0)*Table_NFI[[#This Row],[Blanket]],Table_NFI[[#This Row],[Blanket]])</f>
        <v>#REF!</v>
      </c>
      <c r="AH294" s="542" t="e">
        <f>IF(NFI_Expiration=1,IF(#REF!&lt;VLOOKUP(Q$5,NFI,5,0),1,0)*Table_NFI[[#This Row],[Kitchen Set]],Table_NFI[Kitchen Set])</f>
        <v>#REF!</v>
      </c>
      <c r="AI294" s="542" t="e">
        <f>IF(NFI_Expiration=1,IF(#REF!&lt;VLOOKUP(R$5,NFI,5,0),1,0)*Table_NFI[[#This Row],[Clothes Kit]],Table_NFI[Clothes Kit])</f>
        <v>#REF!</v>
      </c>
      <c r="AJ294" s="542" t="e">
        <f>IF(NFI_Expiration=1,IF(#REF!&lt;VLOOKUP(S$5,NFI,5,0),1,0)*Table_NFI[[#This Row],[Plastic Bucket]],Table_NFI[Plastic Bucket])</f>
        <v>#REF!</v>
      </c>
      <c r="AK294" s="542" t="e">
        <f>IF(NFI_Expiration=1,IF(#REF!&lt;VLOOKUP(T$5,NFI,5,0),1,0)*Table_NFI[[#This Row],[Plastic Mat]],Table_NFI[Plastic Mat])*IF(Table_NFI[[#This Row],[Distribution Date]]&gt;"2014-04-01",1,2.5)</f>
        <v>#REF!</v>
      </c>
      <c r="AL294" s="542" t="e">
        <f>IF(NFI_Expiration=1,IF(#REF!&lt;VLOOKUP(U$5,NFI,5,0),1,0)*Table_NFI[[#This Row],[Winter Clothes Adult]],Table_NFI[Winter Clothes Adult])</f>
        <v>#REF!</v>
      </c>
      <c r="AM294" s="542"/>
      <c r="AN294" s="542"/>
      <c r="AO294" s="542"/>
      <c r="AP294" s="542">
        <f>IF(Table_NFI[[#This Row],[Winter Clothes Adult]]+Table_NFI[[#This Row],[Winter Clothes Children]]+Table_NFI[[#This Row],[Winter Items Other]]+Table_NFI[[#This Row],[Winter Blanket]]&gt;0,1,0)</f>
        <v>0</v>
      </c>
      <c r="AQ294" s="542"/>
      <c r="AR294" s="542"/>
      <c r="AS294" s="542"/>
      <c r="AT294" s="205" t="str">
        <f>IFERROR(VLOOKUP(Table_NFI[[#This Row],[Location]],CL,2,0),"")</f>
        <v>MMR001CMP039</v>
      </c>
      <c r="AU294" s="183"/>
    </row>
    <row r="295" spans="2:47" x14ac:dyDescent="0.3">
      <c r="B295" s="540">
        <v>43246</v>
      </c>
      <c r="C295" s="540" t="str">
        <f>MONTH(Table_NFI[[#This Row],[Distribution Date]]) &amp; "/" &amp; YEAR(Table_NFI[[#This Row],[Distribution Date]])</f>
        <v>5/2018</v>
      </c>
      <c r="D295" s="198" t="s">
        <v>1638</v>
      </c>
      <c r="E295" s="198" t="s">
        <v>424</v>
      </c>
      <c r="F295" s="198" t="s">
        <v>378</v>
      </c>
      <c r="G295" s="197" t="s">
        <v>309</v>
      </c>
      <c r="H295" s="219" t="s">
        <v>340</v>
      </c>
      <c r="I295" s="183"/>
      <c r="J295" s="541"/>
      <c r="K295" s="541"/>
      <c r="L295" s="541">
        <v>3</v>
      </c>
      <c r="M295" s="541"/>
      <c r="N295" s="541"/>
      <c r="O295" s="541"/>
      <c r="P295" s="541"/>
      <c r="Q295" s="541"/>
      <c r="R295" s="541"/>
      <c r="S295" s="541"/>
      <c r="T295" s="541"/>
      <c r="U295" s="541"/>
      <c r="V295" s="541"/>
      <c r="W295" s="541"/>
      <c r="X295" s="541"/>
      <c r="Y295" s="541"/>
      <c r="Z295" s="541"/>
      <c r="AA295" s="541"/>
      <c r="AB295" s="541"/>
      <c r="AC295" s="542" t="e">
        <f>IF(NFI_Expiration=1,IF(#REF!&lt;VLOOKUP(L$5,NFI,5,0),1,0)*Table_NFI[[#This Row],[NFI Core Kit]],Table_NFI[NFI Core Kit])</f>
        <v>#REF!</v>
      </c>
      <c r="AD295" s="542" t="e">
        <f>IF(NFI_Expiration=1,IF(#REF!&lt;VLOOKUP(M$5,NFI,5,0),1,0)*Table_NFI[[#This Row],[Sanitary Kit]],Table_NFI[Sanitary Kit])</f>
        <v>#REF!</v>
      </c>
      <c r="AE295" s="542" t="e">
        <f>IF(NFI_Expiration=1,IF(#REF!&lt;VLOOKUP(N$5,NFI,5,0),1,0)*Table_NFI[[#This Row],[Mosquito net]],Table_NFI[Mosquito net])</f>
        <v>#REF!</v>
      </c>
      <c r="AF295" s="542" t="e">
        <f>IF(NFI_Expiration=1,IF(#REF!&lt;VLOOKUP(O$5,NFI,5,0),1,0)*Table_NFI[[#This Row],[Tarpaulin]],Table_NFI[[#This Row],[Tarpaulin]])</f>
        <v>#REF!</v>
      </c>
      <c r="AG295" s="542" t="e">
        <f>IF(NFI_Expiration=1,IF(#REF!&lt;VLOOKUP(P$5,NFI,5,0),1,0)*Table_NFI[[#This Row],[Blanket]],Table_NFI[[#This Row],[Blanket]])</f>
        <v>#REF!</v>
      </c>
      <c r="AH295" s="542" t="e">
        <f>IF(NFI_Expiration=1,IF(#REF!&lt;VLOOKUP(Q$5,NFI,5,0),1,0)*Table_NFI[[#This Row],[Kitchen Set]],Table_NFI[Kitchen Set])</f>
        <v>#REF!</v>
      </c>
      <c r="AI295" s="542" t="e">
        <f>IF(NFI_Expiration=1,IF(#REF!&lt;VLOOKUP(R$5,NFI,5,0),1,0)*Table_NFI[[#This Row],[Clothes Kit]],Table_NFI[Clothes Kit])</f>
        <v>#REF!</v>
      </c>
      <c r="AJ295" s="542" t="e">
        <f>IF(NFI_Expiration=1,IF(#REF!&lt;VLOOKUP(S$5,NFI,5,0),1,0)*Table_NFI[[#This Row],[Plastic Bucket]],Table_NFI[Plastic Bucket])</f>
        <v>#REF!</v>
      </c>
      <c r="AK295" s="542" t="e">
        <f>IF(NFI_Expiration=1,IF(#REF!&lt;VLOOKUP(T$5,NFI,5,0),1,0)*Table_NFI[[#This Row],[Plastic Mat]],Table_NFI[Plastic Mat])*IF(Table_NFI[[#This Row],[Distribution Date]]&gt;"2014-04-01",1,2.5)</f>
        <v>#REF!</v>
      </c>
      <c r="AL295" s="542" t="e">
        <f>IF(NFI_Expiration=1,IF(#REF!&lt;VLOOKUP(U$5,NFI,5,0),1,0)*Table_NFI[[#This Row],[Winter Clothes Adult]],Table_NFI[Winter Clothes Adult])</f>
        <v>#REF!</v>
      </c>
      <c r="AM295" s="542"/>
      <c r="AN295" s="542"/>
      <c r="AO295" s="542"/>
      <c r="AP295" s="542">
        <f>IF(Table_NFI[[#This Row],[Winter Clothes Adult]]+Table_NFI[[#This Row],[Winter Clothes Children]]+Table_NFI[[#This Row],[Winter Items Other]]+Table_NFI[[#This Row],[Winter Blanket]]&gt;0,1,0)</f>
        <v>0</v>
      </c>
      <c r="AQ295" s="542"/>
      <c r="AR295" s="542"/>
      <c r="AS295" s="542"/>
      <c r="AT295" s="205" t="str">
        <f>IFERROR(VLOOKUP(Table_NFI[[#This Row],[Location]],CL,2,0),"")</f>
        <v>MMR001CMP025</v>
      </c>
      <c r="AU295" s="183"/>
    </row>
    <row r="296" spans="2:47" x14ac:dyDescent="0.3">
      <c r="B296" s="540">
        <v>43247</v>
      </c>
      <c r="C296" s="540" t="str">
        <f>MONTH(Table_NFI[[#This Row],[Distribution Date]]) &amp; "/" &amp; YEAR(Table_NFI[[#This Row],[Distribution Date]])</f>
        <v>5/2018</v>
      </c>
      <c r="D296" s="198" t="s">
        <v>1638</v>
      </c>
      <c r="E296" s="198" t="s">
        <v>424</v>
      </c>
      <c r="F296" s="198" t="s">
        <v>378</v>
      </c>
      <c r="G296" s="197" t="s">
        <v>237</v>
      </c>
      <c r="H296" s="219" t="s">
        <v>276</v>
      </c>
      <c r="I296" s="183"/>
      <c r="J296" s="541"/>
      <c r="K296" s="541"/>
      <c r="L296" s="541">
        <v>2</v>
      </c>
      <c r="M296" s="541"/>
      <c r="N296" s="541"/>
      <c r="O296" s="541"/>
      <c r="P296" s="541"/>
      <c r="Q296" s="541"/>
      <c r="R296" s="541"/>
      <c r="S296" s="541"/>
      <c r="T296" s="541"/>
      <c r="U296" s="541"/>
      <c r="V296" s="541"/>
      <c r="W296" s="541"/>
      <c r="X296" s="541"/>
      <c r="Y296" s="541"/>
      <c r="Z296" s="541"/>
      <c r="AA296" s="541"/>
      <c r="AB296" s="541"/>
      <c r="AC296" s="542" t="e">
        <f>IF(NFI_Expiration=1,IF(#REF!&lt;VLOOKUP(L$5,NFI,5,0),1,0)*Table_NFI[[#This Row],[NFI Core Kit]],Table_NFI[NFI Core Kit])</f>
        <v>#REF!</v>
      </c>
      <c r="AD296" s="542" t="e">
        <f>IF(NFI_Expiration=1,IF(#REF!&lt;VLOOKUP(M$5,NFI,5,0),1,0)*Table_NFI[[#This Row],[Sanitary Kit]],Table_NFI[Sanitary Kit])</f>
        <v>#REF!</v>
      </c>
      <c r="AE296" s="542" t="e">
        <f>IF(NFI_Expiration=1,IF(#REF!&lt;VLOOKUP(N$5,NFI,5,0),1,0)*Table_NFI[[#This Row],[Mosquito net]],Table_NFI[Mosquito net])</f>
        <v>#REF!</v>
      </c>
      <c r="AF296" s="542" t="e">
        <f>IF(NFI_Expiration=1,IF(#REF!&lt;VLOOKUP(O$5,NFI,5,0),1,0)*Table_NFI[[#This Row],[Tarpaulin]],Table_NFI[[#This Row],[Tarpaulin]])</f>
        <v>#REF!</v>
      </c>
      <c r="AG296" s="542" t="e">
        <f>IF(NFI_Expiration=1,IF(#REF!&lt;VLOOKUP(P$5,NFI,5,0),1,0)*Table_NFI[[#This Row],[Blanket]],Table_NFI[[#This Row],[Blanket]])</f>
        <v>#REF!</v>
      </c>
      <c r="AH296" s="542" t="e">
        <f>IF(NFI_Expiration=1,IF(#REF!&lt;VLOOKUP(Q$5,NFI,5,0),1,0)*Table_NFI[[#This Row],[Kitchen Set]],Table_NFI[Kitchen Set])</f>
        <v>#REF!</v>
      </c>
      <c r="AI296" s="542" t="e">
        <f>IF(NFI_Expiration=1,IF(#REF!&lt;VLOOKUP(R$5,NFI,5,0),1,0)*Table_NFI[[#This Row],[Clothes Kit]],Table_NFI[Clothes Kit])</f>
        <v>#REF!</v>
      </c>
      <c r="AJ296" s="542" t="e">
        <f>IF(NFI_Expiration=1,IF(#REF!&lt;VLOOKUP(S$5,NFI,5,0),1,0)*Table_NFI[[#This Row],[Plastic Bucket]],Table_NFI[Plastic Bucket])</f>
        <v>#REF!</v>
      </c>
      <c r="AK296" s="542" t="e">
        <f>IF(NFI_Expiration=1,IF(#REF!&lt;VLOOKUP(T$5,NFI,5,0),1,0)*Table_NFI[[#This Row],[Plastic Mat]],Table_NFI[Plastic Mat])*IF(Table_NFI[[#This Row],[Distribution Date]]&gt;"2014-04-01",1,2.5)</f>
        <v>#REF!</v>
      </c>
      <c r="AL296" s="542" t="e">
        <f>IF(NFI_Expiration=1,IF(#REF!&lt;VLOOKUP(U$5,NFI,5,0),1,0)*Table_NFI[[#This Row],[Winter Clothes Adult]],Table_NFI[Winter Clothes Adult])</f>
        <v>#REF!</v>
      </c>
      <c r="AM296" s="542"/>
      <c r="AN296" s="542"/>
      <c r="AO296" s="542"/>
      <c r="AP296" s="542">
        <f>IF(Table_NFI[[#This Row],[Winter Clothes Adult]]+Table_NFI[[#This Row],[Winter Clothes Children]]+Table_NFI[[#This Row],[Winter Items Other]]+Table_NFI[[#This Row],[Winter Blanket]]&gt;0,1,0)</f>
        <v>0</v>
      </c>
      <c r="AQ296" s="542"/>
      <c r="AR296" s="542"/>
      <c r="AS296" s="542"/>
      <c r="AT296" s="205" t="str">
        <f>IFERROR(VLOOKUP(Table_NFI[[#This Row],[Location]],CL,2,0),"")</f>
        <v>MMR001CMP006</v>
      </c>
      <c r="AU296" s="183"/>
    </row>
    <row r="297" spans="2:47" x14ac:dyDescent="0.3">
      <c r="B297" s="540">
        <v>43248</v>
      </c>
      <c r="C297" s="540" t="str">
        <f>MONTH(Table_NFI[[#This Row],[Distribution Date]]) &amp; "/" &amp; YEAR(Table_NFI[[#This Row],[Distribution Date]])</f>
        <v>5/2018</v>
      </c>
      <c r="D297" s="198" t="s">
        <v>1638</v>
      </c>
      <c r="E297" s="198" t="s">
        <v>424</v>
      </c>
      <c r="F297" s="198" t="s">
        <v>378</v>
      </c>
      <c r="G297" s="197" t="s">
        <v>237</v>
      </c>
      <c r="H297" s="219" t="s">
        <v>268</v>
      </c>
      <c r="I297" s="183"/>
      <c r="J297" s="541"/>
      <c r="K297" s="541"/>
      <c r="L297" s="541">
        <v>1</v>
      </c>
      <c r="M297" s="541"/>
      <c r="N297" s="541"/>
      <c r="O297" s="541"/>
      <c r="P297" s="541"/>
      <c r="Q297" s="541"/>
      <c r="R297" s="541"/>
      <c r="S297" s="541"/>
      <c r="T297" s="541"/>
      <c r="U297" s="541"/>
      <c r="V297" s="541"/>
      <c r="W297" s="541"/>
      <c r="X297" s="541"/>
      <c r="Y297" s="541"/>
      <c r="Z297" s="541"/>
      <c r="AA297" s="541"/>
      <c r="AB297" s="541"/>
      <c r="AC297" s="542" t="e">
        <f>IF(NFI_Expiration=1,IF(#REF!&lt;VLOOKUP(L$5,NFI,5,0),1,0)*Table_NFI[[#This Row],[NFI Core Kit]],Table_NFI[NFI Core Kit])</f>
        <v>#REF!</v>
      </c>
      <c r="AD297" s="542" t="e">
        <f>IF(NFI_Expiration=1,IF(#REF!&lt;VLOOKUP(M$5,NFI,5,0),1,0)*Table_NFI[[#This Row],[Sanitary Kit]],Table_NFI[Sanitary Kit])</f>
        <v>#REF!</v>
      </c>
      <c r="AE297" s="542" t="e">
        <f>IF(NFI_Expiration=1,IF(#REF!&lt;VLOOKUP(N$5,NFI,5,0),1,0)*Table_NFI[[#This Row],[Mosquito net]],Table_NFI[Mosquito net])</f>
        <v>#REF!</v>
      </c>
      <c r="AF297" s="542" t="e">
        <f>IF(NFI_Expiration=1,IF(#REF!&lt;VLOOKUP(O$5,NFI,5,0),1,0)*Table_NFI[[#This Row],[Tarpaulin]],Table_NFI[[#This Row],[Tarpaulin]])</f>
        <v>#REF!</v>
      </c>
      <c r="AG297" s="542" t="e">
        <f>IF(NFI_Expiration=1,IF(#REF!&lt;VLOOKUP(P$5,NFI,5,0),1,0)*Table_NFI[[#This Row],[Blanket]],Table_NFI[[#This Row],[Blanket]])</f>
        <v>#REF!</v>
      </c>
      <c r="AH297" s="542" t="e">
        <f>IF(NFI_Expiration=1,IF(#REF!&lt;VLOOKUP(Q$5,NFI,5,0),1,0)*Table_NFI[[#This Row],[Kitchen Set]],Table_NFI[Kitchen Set])</f>
        <v>#REF!</v>
      </c>
      <c r="AI297" s="542" t="e">
        <f>IF(NFI_Expiration=1,IF(#REF!&lt;VLOOKUP(R$5,NFI,5,0),1,0)*Table_NFI[[#This Row],[Clothes Kit]],Table_NFI[Clothes Kit])</f>
        <v>#REF!</v>
      </c>
      <c r="AJ297" s="542" t="e">
        <f>IF(NFI_Expiration=1,IF(#REF!&lt;VLOOKUP(S$5,NFI,5,0),1,0)*Table_NFI[[#This Row],[Plastic Bucket]],Table_NFI[Plastic Bucket])</f>
        <v>#REF!</v>
      </c>
      <c r="AK297" s="542" t="e">
        <f>IF(NFI_Expiration=1,IF(#REF!&lt;VLOOKUP(T$5,NFI,5,0),1,0)*Table_NFI[[#This Row],[Plastic Mat]],Table_NFI[Plastic Mat])*IF(Table_NFI[[#This Row],[Distribution Date]]&gt;"2014-04-01",1,2.5)</f>
        <v>#REF!</v>
      </c>
      <c r="AL297" s="542" t="e">
        <f>IF(NFI_Expiration=1,IF(#REF!&lt;VLOOKUP(U$5,NFI,5,0),1,0)*Table_NFI[[#This Row],[Winter Clothes Adult]],Table_NFI[Winter Clothes Adult])</f>
        <v>#REF!</v>
      </c>
      <c r="AM297" s="542"/>
      <c r="AN297" s="542"/>
      <c r="AO297" s="542"/>
      <c r="AP297" s="542">
        <f>IF(Table_NFI[[#This Row],[Winter Clothes Adult]]+Table_NFI[[#This Row],[Winter Clothes Children]]+Table_NFI[[#This Row],[Winter Items Other]]+Table_NFI[[#This Row],[Winter Blanket]]&gt;0,1,0)</f>
        <v>0</v>
      </c>
      <c r="AQ297" s="542"/>
      <c r="AR297" s="542"/>
      <c r="AS297" s="542"/>
      <c r="AT297" s="205" t="str">
        <f>IFERROR(VLOOKUP(Table_NFI[[#This Row],[Location]],CL,2,0),"")</f>
        <v>MMR001CMP002</v>
      </c>
      <c r="AU297" s="183"/>
    </row>
    <row r="298" spans="2:47" x14ac:dyDescent="0.3">
      <c r="B298" s="540">
        <v>43249</v>
      </c>
      <c r="C298" s="540" t="str">
        <f>MONTH(Table_NFI[[#This Row],[Distribution Date]]) &amp; "/" &amp; YEAR(Table_NFI[[#This Row],[Distribution Date]])</f>
        <v>5/2018</v>
      </c>
      <c r="D298" s="198" t="s">
        <v>1638</v>
      </c>
      <c r="E298" s="198" t="s">
        <v>424</v>
      </c>
      <c r="F298" s="198" t="s">
        <v>378</v>
      </c>
      <c r="G298" s="197" t="s">
        <v>480</v>
      </c>
      <c r="H298" s="219" t="s">
        <v>1158</v>
      </c>
      <c r="I298" s="183"/>
      <c r="J298" s="541"/>
      <c r="K298" s="541"/>
      <c r="L298" s="541">
        <v>2</v>
      </c>
      <c r="M298" s="541"/>
      <c r="N298" s="541"/>
      <c r="O298" s="541"/>
      <c r="P298" s="541"/>
      <c r="Q298" s="541"/>
      <c r="R298" s="541"/>
      <c r="S298" s="541"/>
      <c r="T298" s="541"/>
      <c r="U298" s="541"/>
      <c r="V298" s="541"/>
      <c r="W298" s="541"/>
      <c r="X298" s="541"/>
      <c r="Y298" s="541"/>
      <c r="Z298" s="541"/>
      <c r="AA298" s="541"/>
      <c r="AB298" s="541"/>
      <c r="AC298" s="542" t="e">
        <f>IF(NFI_Expiration=1,IF(#REF!&lt;VLOOKUP(L$5,NFI,5,0),1,0)*Table_NFI[[#This Row],[NFI Core Kit]],Table_NFI[NFI Core Kit])</f>
        <v>#REF!</v>
      </c>
      <c r="AD298" s="542" t="e">
        <f>IF(NFI_Expiration=1,IF(#REF!&lt;VLOOKUP(M$5,NFI,5,0),1,0)*Table_NFI[[#This Row],[Sanitary Kit]],Table_NFI[Sanitary Kit])</f>
        <v>#REF!</v>
      </c>
      <c r="AE298" s="542" t="e">
        <f>IF(NFI_Expiration=1,IF(#REF!&lt;VLOOKUP(N$5,NFI,5,0),1,0)*Table_NFI[[#This Row],[Mosquito net]],Table_NFI[Mosquito net])</f>
        <v>#REF!</v>
      </c>
      <c r="AF298" s="542" t="e">
        <f>IF(NFI_Expiration=1,IF(#REF!&lt;VLOOKUP(O$5,NFI,5,0),1,0)*Table_NFI[[#This Row],[Tarpaulin]],Table_NFI[[#This Row],[Tarpaulin]])</f>
        <v>#REF!</v>
      </c>
      <c r="AG298" s="542" t="e">
        <f>IF(NFI_Expiration=1,IF(#REF!&lt;VLOOKUP(P$5,NFI,5,0),1,0)*Table_NFI[[#This Row],[Blanket]],Table_NFI[[#This Row],[Blanket]])</f>
        <v>#REF!</v>
      </c>
      <c r="AH298" s="542" t="e">
        <f>IF(NFI_Expiration=1,IF(#REF!&lt;VLOOKUP(Q$5,NFI,5,0),1,0)*Table_NFI[[#This Row],[Kitchen Set]],Table_NFI[Kitchen Set])</f>
        <v>#REF!</v>
      </c>
      <c r="AI298" s="542" t="e">
        <f>IF(NFI_Expiration=1,IF(#REF!&lt;VLOOKUP(R$5,NFI,5,0),1,0)*Table_NFI[[#This Row],[Clothes Kit]],Table_NFI[Clothes Kit])</f>
        <v>#REF!</v>
      </c>
      <c r="AJ298" s="542" t="e">
        <f>IF(NFI_Expiration=1,IF(#REF!&lt;VLOOKUP(S$5,NFI,5,0),1,0)*Table_NFI[[#This Row],[Plastic Bucket]],Table_NFI[Plastic Bucket])</f>
        <v>#REF!</v>
      </c>
      <c r="AK298" s="542" t="e">
        <f>IF(NFI_Expiration=1,IF(#REF!&lt;VLOOKUP(T$5,NFI,5,0),1,0)*Table_NFI[[#This Row],[Plastic Mat]],Table_NFI[Plastic Mat])*IF(Table_NFI[[#This Row],[Distribution Date]]&gt;"2014-04-01",1,2.5)</f>
        <v>#REF!</v>
      </c>
      <c r="AL298" s="542" t="e">
        <f>IF(NFI_Expiration=1,IF(#REF!&lt;VLOOKUP(U$5,NFI,5,0),1,0)*Table_NFI[[#This Row],[Winter Clothes Adult]],Table_NFI[Winter Clothes Adult])</f>
        <v>#REF!</v>
      </c>
      <c r="AM298" s="542"/>
      <c r="AN298" s="542"/>
      <c r="AO298" s="542"/>
      <c r="AP298" s="542">
        <f>IF(Table_NFI[[#This Row],[Winter Clothes Adult]]+Table_NFI[[#This Row],[Winter Clothes Children]]+Table_NFI[[#This Row],[Winter Items Other]]+Table_NFI[[#This Row],[Winter Blanket]]&gt;0,1,0)</f>
        <v>0</v>
      </c>
      <c r="AQ298" s="542"/>
      <c r="AR298" s="542"/>
      <c r="AS298" s="542"/>
      <c r="AT298" s="205" t="str">
        <f>IFERROR(VLOOKUP(Table_NFI[[#This Row],[Location]],CL,2,0),"")</f>
        <v>MMR001CMP244</v>
      </c>
      <c r="AU298" s="183"/>
    </row>
    <row r="299" spans="2:47" x14ac:dyDescent="0.3">
      <c r="B299" s="540">
        <v>43256</v>
      </c>
      <c r="C299" s="540" t="str">
        <f>MONTH(Table_NFI[[#This Row],[Distribution Date]]) &amp; "/" &amp; YEAR(Table_NFI[[#This Row],[Distribution Date]])</f>
        <v>6/2018</v>
      </c>
      <c r="D299" s="198" t="s">
        <v>420</v>
      </c>
      <c r="E299" s="198" t="s">
        <v>462</v>
      </c>
      <c r="F299" s="198" t="s">
        <v>378</v>
      </c>
      <c r="G299" s="197" t="s">
        <v>237</v>
      </c>
      <c r="H299" s="219" t="s">
        <v>264</v>
      </c>
      <c r="I299" s="183"/>
      <c r="J299" s="541"/>
      <c r="K299" s="541"/>
      <c r="L299" s="541">
        <v>5</v>
      </c>
      <c r="M299" s="541"/>
      <c r="N299" s="541">
        <v>15</v>
      </c>
      <c r="O299" s="541">
        <v>5</v>
      </c>
      <c r="P299" s="541">
        <v>15</v>
      </c>
      <c r="Q299" s="541">
        <v>5</v>
      </c>
      <c r="R299" s="541"/>
      <c r="S299" s="541">
        <v>4</v>
      </c>
      <c r="T299" s="541">
        <v>27</v>
      </c>
      <c r="U299" s="541"/>
      <c r="V299" s="541"/>
      <c r="W299" s="541"/>
      <c r="X299" s="541"/>
      <c r="Y299" s="541"/>
      <c r="Z299" s="541"/>
      <c r="AA299" s="541"/>
      <c r="AB299" s="541"/>
      <c r="AC299" s="542" t="e">
        <f>IF(NFI_Expiration=1,IF(#REF!&lt;VLOOKUP(L$5,NFI,5,0),1,0)*Table_NFI[[#This Row],[NFI Core Kit]],Table_NFI[NFI Core Kit])</f>
        <v>#REF!</v>
      </c>
      <c r="AD299" s="542" t="e">
        <f>IF(NFI_Expiration=1,IF(#REF!&lt;VLOOKUP(M$5,NFI,5,0),1,0)*Table_NFI[[#This Row],[Sanitary Kit]],Table_NFI[Sanitary Kit])</f>
        <v>#REF!</v>
      </c>
      <c r="AE299" s="542" t="e">
        <f>IF(NFI_Expiration=1,IF(#REF!&lt;VLOOKUP(N$5,NFI,5,0),1,0)*Table_NFI[[#This Row],[Mosquito net]],Table_NFI[Mosquito net])</f>
        <v>#REF!</v>
      </c>
      <c r="AF299" s="542" t="e">
        <f>IF(NFI_Expiration=1,IF(#REF!&lt;VLOOKUP(O$5,NFI,5,0),1,0)*Table_NFI[[#This Row],[Tarpaulin]],Table_NFI[[#This Row],[Tarpaulin]])</f>
        <v>#REF!</v>
      </c>
      <c r="AG299" s="542" t="e">
        <f>IF(NFI_Expiration=1,IF(#REF!&lt;VLOOKUP(P$5,NFI,5,0),1,0)*Table_NFI[[#This Row],[Blanket]],Table_NFI[[#This Row],[Blanket]])</f>
        <v>#REF!</v>
      </c>
      <c r="AH299" s="542" t="e">
        <f>IF(NFI_Expiration=1,IF(#REF!&lt;VLOOKUP(Q$5,NFI,5,0),1,0)*Table_NFI[[#This Row],[Kitchen Set]],Table_NFI[Kitchen Set])</f>
        <v>#REF!</v>
      </c>
      <c r="AI299" s="542" t="e">
        <f>IF(NFI_Expiration=1,IF(#REF!&lt;VLOOKUP(R$5,NFI,5,0),1,0)*Table_NFI[[#This Row],[Clothes Kit]],Table_NFI[Clothes Kit])</f>
        <v>#REF!</v>
      </c>
      <c r="AJ299" s="542" t="e">
        <f>IF(NFI_Expiration=1,IF(#REF!&lt;VLOOKUP(S$5,NFI,5,0),1,0)*Table_NFI[[#This Row],[Plastic Bucket]],Table_NFI[Plastic Bucket])</f>
        <v>#REF!</v>
      </c>
      <c r="AK299" s="542" t="e">
        <f>IF(NFI_Expiration=1,IF(#REF!&lt;VLOOKUP(T$5,NFI,5,0),1,0)*Table_NFI[[#This Row],[Plastic Mat]],Table_NFI[Plastic Mat])*IF(Table_NFI[[#This Row],[Distribution Date]]&gt;"2014-04-01",1,2.5)</f>
        <v>#REF!</v>
      </c>
      <c r="AL299" s="542" t="e">
        <f>IF(NFI_Expiration=1,IF(#REF!&lt;VLOOKUP(U$5,NFI,5,0),1,0)*Table_NFI[[#This Row],[Winter Clothes Adult]],Table_NFI[Winter Clothes Adult])</f>
        <v>#REF!</v>
      </c>
      <c r="AM299" s="542"/>
      <c r="AN299" s="542"/>
      <c r="AO299" s="542"/>
      <c r="AP299" s="542">
        <f>IF(Table_NFI[[#This Row],[Winter Clothes Adult]]+Table_NFI[[#This Row],[Winter Clothes Children]]+Table_NFI[[#This Row],[Winter Items Other]]+Table_NFI[[#This Row],[Winter Blanket]]&gt;0,1,0)</f>
        <v>0</v>
      </c>
      <c r="AQ299" s="542"/>
      <c r="AR299" s="542"/>
      <c r="AS299" s="542"/>
      <c r="AT299" s="205" t="str">
        <f>IFERROR(VLOOKUP(Table_NFI[[#This Row],[Location]],CL,2,0),"")</f>
        <v>MMR001CMP021</v>
      </c>
      <c r="AU299" s="183"/>
    </row>
    <row r="300" spans="2:47" x14ac:dyDescent="0.3">
      <c r="B300" s="540">
        <v>43256</v>
      </c>
      <c r="C300" s="540" t="str">
        <f>MONTH(Table_NFI[[#This Row],[Distribution Date]]) &amp; "/" &amp; YEAR(Table_NFI[[#This Row],[Distribution Date]])</f>
        <v>6/2018</v>
      </c>
      <c r="D300" s="198" t="s">
        <v>420</v>
      </c>
      <c r="E300" s="198" t="s">
        <v>462</v>
      </c>
      <c r="F300" s="198" t="s">
        <v>378</v>
      </c>
      <c r="G300" s="197" t="s">
        <v>309</v>
      </c>
      <c r="H300" s="219" t="s">
        <v>317</v>
      </c>
      <c r="I300" s="183"/>
      <c r="J300" s="541"/>
      <c r="K300" s="541"/>
      <c r="L300" s="541">
        <v>4</v>
      </c>
      <c r="M300" s="541"/>
      <c r="N300" s="541">
        <v>13</v>
      </c>
      <c r="O300" s="541">
        <v>4</v>
      </c>
      <c r="P300" s="541">
        <v>13</v>
      </c>
      <c r="Q300" s="541">
        <v>4</v>
      </c>
      <c r="R300" s="541"/>
      <c r="S300" s="541">
        <v>6</v>
      </c>
      <c r="T300" s="541">
        <v>21</v>
      </c>
      <c r="U300" s="541"/>
      <c r="V300" s="541"/>
      <c r="W300" s="541"/>
      <c r="X300" s="541"/>
      <c r="Y300" s="541"/>
      <c r="Z300" s="541"/>
      <c r="AA300" s="541"/>
      <c r="AB300" s="541"/>
      <c r="AC300" s="542" t="e">
        <f>IF(NFI_Expiration=1,IF(#REF!&lt;VLOOKUP(L$5,NFI,5,0),1,0)*Table_NFI[[#This Row],[NFI Core Kit]],Table_NFI[NFI Core Kit])</f>
        <v>#REF!</v>
      </c>
      <c r="AD300" s="542" t="e">
        <f>IF(NFI_Expiration=1,IF(#REF!&lt;VLOOKUP(M$5,NFI,5,0),1,0)*Table_NFI[[#This Row],[Sanitary Kit]],Table_NFI[Sanitary Kit])</f>
        <v>#REF!</v>
      </c>
      <c r="AE300" s="542" t="e">
        <f>IF(NFI_Expiration=1,IF(#REF!&lt;VLOOKUP(N$5,NFI,5,0),1,0)*Table_NFI[[#This Row],[Mosquito net]],Table_NFI[Mosquito net])</f>
        <v>#REF!</v>
      </c>
      <c r="AF300" s="542" t="e">
        <f>IF(NFI_Expiration=1,IF(#REF!&lt;VLOOKUP(O$5,NFI,5,0),1,0)*Table_NFI[[#This Row],[Tarpaulin]],Table_NFI[[#This Row],[Tarpaulin]])</f>
        <v>#REF!</v>
      </c>
      <c r="AG300" s="542" t="e">
        <f>IF(NFI_Expiration=1,IF(#REF!&lt;VLOOKUP(P$5,NFI,5,0),1,0)*Table_NFI[[#This Row],[Blanket]],Table_NFI[[#This Row],[Blanket]])</f>
        <v>#REF!</v>
      </c>
      <c r="AH300" s="542" t="e">
        <f>IF(NFI_Expiration=1,IF(#REF!&lt;VLOOKUP(Q$5,NFI,5,0),1,0)*Table_NFI[[#This Row],[Kitchen Set]],Table_NFI[Kitchen Set])</f>
        <v>#REF!</v>
      </c>
      <c r="AI300" s="542" t="e">
        <f>IF(NFI_Expiration=1,IF(#REF!&lt;VLOOKUP(R$5,NFI,5,0),1,0)*Table_NFI[[#This Row],[Clothes Kit]],Table_NFI[Clothes Kit])</f>
        <v>#REF!</v>
      </c>
      <c r="AJ300" s="542" t="e">
        <f>IF(NFI_Expiration=1,IF(#REF!&lt;VLOOKUP(S$5,NFI,5,0),1,0)*Table_NFI[[#This Row],[Plastic Bucket]],Table_NFI[Plastic Bucket])</f>
        <v>#REF!</v>
      </c>
      <c r="AK300" s="542" t="e">
        <f>IF(NFI_Expiration=1,IF(#REF!&lt;VLOOKUP(T$5,NFI,5,0),1,0)*Table_NFI[[#This Row],[Plastic Mat]],Table_NFI[Plastic Mat])*IF(Table_NFI[[#This Row],[Distribution Date]]&gt;"2014-04-01",1,2.5)</f>
        <v>#REF!</v>
      </c>
      <c r="AL300" s="542" t="e">
        <f>IF(NFI_Expiration=1,IF(#REF!&lt;VLOOKUP(U$5,NFI,5,0),1,0)*Table_NFI[[#This Row],[Winter Clothes Adult]],Table_NFI[Winter Clothes Adult])</f>
        <v>#REF!</v>
      </c>
      <c r="AM300" s="542"/>
      <c r="AN300" s="542"/>
      <c r="AO300" s="542"/>
      <c r="AP300" s="542">
        <f>IF(Table_NFI[[#This Row],[Winter Clothes Adult]]+Table_NFI[[#This Row],[Winter Clothes Children]]+Table_NFI[[#This Row],[Winter Items Other]]+Table_NFI[[#This Row],[Winter Blanket]]&gt;0,1,0)</f>
        <v>0</v>
      </c>
      <c r="AQ300" s="542"/>
      <c r="AR300" s="542"/>
      <c r="AS300" s="542"/>
      <c r="AT300" s="205" t="str">
        <f>IFERROR(VLOOKUP(Table_NFI[[#This Row],[Location]],CL,2,0),"")</f>
        <v>MMR001CMP032</v>
      </c>
      <c r="AU300" s="183"/>
    </row>
    <row r="301" spans="2:47" x14ac:dyDescent="0.3">
      <c r="B301" s="540">
        <v>43256</v>
      </c>
      <c r="C301" s="540" t="str">
        <f>MONTH(Table_NFI[[#This Row],[Distribution Date]]) &amp; "/" &amp; YEAR(Table_NFI[[#This Row],[Distribution Date]])</f>
        <v>6/2018</v>
      </c>
      <c r="D301" s="198" t="s">
        <v>420</v>
      </c>
      <c r="E301" s="198" t="s">
        <v>462</v>
      </c>
      <c r="F301" s="198" t="s">
        <v>378</v>
      </c>
      <c r="G301" s="197" t="s">
        <v>309</v>
      </c>
      <c r="H301" s="219" t="s">
        <v>327</v>
      </c>
      <c r="I301" s="183"/>
      <c r="J301" s="541"/>
      <c r="K301" s="541"/>
      <c r="L301" s="541">
        <v>5</v>
      </c>
      <c r="M301" s="541"/>
      <c r="N301" s="541">
        <v>15</v>
      </c>
      <c r="O301" s="541">
        <v>5</v>
      </c>
      <c r="P301" s="541">
        <v>15</v>
      </c>
      <c r="Q301" s="541">
        <v>5</v>
      </c>
      <c r="R301" s="541"/>
      <c r="S301" s="541">
        <v>5</v>
      </c>
      <c r="T301" s="541">
        <v>28</v>
      </c>
      <c r="U301" s="541"/>
      <c r="V301" s="541"/>
      <c r="W301" s="541"/>
      <c r="X301" s="541"/>
      <c r="Y301" s="541"/>
      <c r="Z301" s="541"/>
      <c r="AA301" s="541"/>
      <c r="AB301" s="541"/>
      <c r="AC301" s="542" t="e">
        <f>IF(NFI_Expiration=1,IF(#REF!&lt;VLOOKUP(L$5,NFI,5,0),1,0)*Table_NFI[[#This Row],[NFI Core Kit]],Table_NFI[NFI Core Kit])</f>
        <v>#REF!</v>
      </c>
      <c r="AD301" s="542" t="e">
        <f>IF(NFI_Expiration=1,IF(#REF!&lt;VLOOKUP(M$5,NFI,5,0),1,0)*Table_NFI[[#This Row],[Sanitary Kit]],Table_NFI[Sanitary Kit])</f>
        <v>#REF!</v>
      </c>
      <c r="AE301" s="542" t="e">
        <f>IF(NFI_Expiration=1,IF(#REF!&lt;VLOOKUP(N$5,NFI,5,0),1,0)*Table_NFI[[#This Row],[Mosquito net]],Table_NFI[Mosquito net])</f>
        <v>#REF!</v>
      </c>
      <c r="AF301" s="542" t="e">
        <f>IF(NFI_Expiration=1,IF(#REF!&lt;VLOOKUP(O$5,NFI,5,0),1,0)*Table_NFI[[#This Row],[Tarpaulin]],Table_NFI[[#This Row],[Tarpaulin]])</f>
        <v>#REF!</v>
      </c>
      <c r="AG301" s="542" t="e">
        <f>IF(NFI_Expiration=1,IF(#REF!&lt;VLOOKUP(P$5,NFI,5,0),1,0)*Table_NFI[[#This Row],[Blanket]],Table_NFI[[#This Row],[Blanket]])</f>
        <v>#REF!</v>
      </c>
      <c r="AH301" s="542" t="e">
        <f>IF(NFI_Expiration=1,IF(#REF!&lt;VLOOKUP(Q$5,NFI,5,0),1,0)*Table_NFI[[#This Row],[Kitchen Set]],Table_NFI[Kitchen Set])</f>
        <v>#REF!</v>
      </c>
      <c r="AI301" s="542" t="e">
        <f>IF(NFI_Expiration=1,IF(#REF!&lt;VLOOKUP(R$5,NFI,5,0),1,0)*Table_NFI[[#This Row],[Clothes Kit]],Table_NFI[Clothes Kit])</f>
        <v>#REF!</v>
      </c>
      <c r="AJ301" s="542" t="e">
        <f>IF(NFI_Expiration=1,IF(#REF!&lt;VLOOKUP(S$5,NFI,5,0),1,0)*Table_NFI[[#This Row],[Plastic Bucket]],Table_NFI[Plastic Bucket])</f>
        <v>#REF!</v>
      </c>
      <c r="AK301" s="542" t="e">
        <f>IF(NFI_Expiration=1,IF(#REF!&lt;VLOOKUP(T$5,NFI,5,0),1,0)*Table_NFI[[#This Row],[Plastic Mat]],Table_NFI[Plastic Mat])*IF(Table_NFI[[#This Row],[Distribution Date]]&gt;"2014-04-01",1,2.5)</f>
        <v>#REF!</v>
      </c>
      <c r="AL301" s="542" t="e">
        <f>IF(NFI_Expiration=1,IF(#REF!&lt;VLOOKUP(U$5,NFI,5,0),1,0)*Table_NFI[[#This Row],[Winter Clothes Adult]],Table_NFI[Winter Clothes Adult])</f>
        <v>#REF!</v>
      </c>
      <c r="AM301" s="542"/>
      <c r="AN301" s="542"/>
      <c r="AO301" s="542"/>
      <c r="AP301" s="542">
        <f>IF(Table_NFI[[#This Row],[Winter Clothes Adult]]+Table_NFI[[#This Row],[Winter Clothes Children]]+Table_NFI[[#This Row],[Winter Items Other]]+Table_NFI[[#This Row],[Winter Blanket]]&gt;0,1,0)</f>
        <v>0</v>
      </c>
      <c r="AQ301" s="542"/>
      <c r="AR301" s="542"/>
      <c r="AS301" s="542"/>
      <c r="AT301" s="205" t="str">
        <f>IFERROR(VLOOKUP(Table_NFI[[#This Row],[Location]],CL,2,0),"")</f>
        <v>MMR001CMP031</v>
      </c>
      <c r="AU301" s="183"/>
    </row>
    <row r="302" spans="2:47" x14ac:dyDescent="0.3">
      <c r="B302" s="540">
        <v>43256</v>
      </c>
      <c r="C302" s="540" t="str">
        <f>MONTH(Table_NFI[[#This Row],[Distribution Date]]) &amp; "/" &amp; YEAR(Table_NFI[[#This Row],[Distribution Date]])</f>
        <v>6/2018</v>
      </c>
      <c r="D302" s="198" t="s">
        <v>420</v>
      </c>
      <c r="E302" s="198" t="s">
        <v>462</v>
      </c>
      <c r="F302" s="198" t="s">
        <v>378</v>
      </c>
      <c r="G302" s="197" t="s">
        <v>309</v>
      </c>
      <c r="H302" s="219" t="s">
        <v>315</v>
      </c>
      <c r="I302" s="183"/>
      <c r="J302" s="541"/>
      <c r="K302" s="541"/>
      <c r="L302" s="541">
        <v>1</v>
      </c>
      <c r="M302" s="541"/>
      <c r="N302" s="541">
        <v>4</v>
      </c>
      <c r="O302" s="541">
        <v>1</v>
      </c>
      <c r="P302" s="541">
        <v>4</v>
      </c>
      <c r="Q302" s="541">
        <v>1</v>
      </c>
      <c r="R302" s="541"/>
      <c r="S302" s="541">
        <v>1</v>
      </c>
      <c r="T302" s="541">
        <v>8</v>
      </c>
      <c r="U302" s="541"/>
      <c r="V302" s="541"/>
      <c r="W302" s="541"/>
      <c r="X302" s="541"/>
      <c r="Y302" s="541"/>
      <c r="Z302" s="541"/>
      <c r="AA302" s="541"/>
      <c r="AB302" s="541"/>
      <c r="AC302" s="542" t="e">
        <f>IF(NFI_Expiration=1,IF(#REF!&lt;VLOOKUP(L$5,NFI,5,0),1,0)*Table_NFI[[#This Row],[NFI Core Kit]],Table_NFI[NFI Core Kit])</f>
        <v>#REF!</v>
      </c>
      <c r="AD302" s="542" t="e">
        <f>IF(NFI_Expiration=1,IF(#REF!&lt;VLOOKUP(M$5,NFI,5,0),1,0)*Table_NFI[[#This Row],[Sanitary Kit]],Table_NFI[Sanitary Kit])</f>
        <v>#REF!</v>
      </c>
      <c r="AE302" s="542" t="e">
        <f>IF(NFI_Expiration=1,IF(#REF!&lt;VLOOKUP(N$5,NFI,5,0),1,0)*Table_NFI[[#This Row],[Mosquito net]],Table_NFI[Mosquito net])</f>
        <v>#REF!</v>
      </c>
      <c r="AF302" s="542" t="e">
        <f>IF(NFI_Expiration=1,IF(#REF!&lt;VLOOKUP(O$5,NFI,5,0),1,0)*Table_NFI[[#This Row],[Tarpaulin]],Table_NFI[[#This Row],[Tarpaulin]])</f>
        <v>#REF!</v>
      </c>
      <c r="AG302" s="542" t="e">
        <f>IF(NFI_Expiration=1,IF(#REF!&lt;VLOOKUP(P$5,NFI,5,0),1,0)*Table_NFI[[#This Row],[Blanket]],Table_NFI[[#This Row],[Blanket]])</f>
        <v>#REF!</v>
      </c>
      <c r="AH302" s="542" t="e">
        <f>IF(NFI_Expiration=1,IF(#REF!&lt;VLOOKUP(Q$5,NFI,5,0),1,0)*Table_NFI[[#This Row],[Kitchen Set]],Table_NFI[Kitchen Set])</f>
        <v>#REF!</v>
      </c>
      <c r="AI302" s="542" t="e">
        <f>IF(NFI_Expiration=1,IF(#REF!&lt;VLOOKUP(R$5,NFI,5,0),1,0)*Table_NFI[[#This Row],[Clothes Kit]],Table_NFI[Clothes Kit])</f>
        <v>#REF!</v>
      </c>
      <c r="AJ302" s="542" t="e">
        <f>IF(NFI_Expiration=1,IF(#REF!&lt;VLOOKUP(S$5,NFI,5,0),1,0)*Table_NFI[[#This Row],[Plastic Bucket]],Table_NFI[Plastic Bucket])</f>
        <v>#REF!</v>
      </c>
      <c r="AK302" s="542" t="e">
        <f>IF(NFI_Expiration=1,IF(#REF!&lt;VLOOKUP(T$5,NFI,5,0),1,0)*Table_NFI[[#This Row],[Plastic Mat]],Table_NFI[Plastic Mat])*IF(Table_NFI[[#This Row],[Distribution Date]]&gt;"2014-04-01",1,2.5)</f>
        <v>#REF!</v>
      </c>
      <c r="AL302" s="542" t="e">
        <f>IF(NFI_Expiration=1,IF(#REF!&lt;VLOOKUP(U$5,NFI,5,0),1,0)*Table_NFI[[#This Row],[Winter Clothes Adult]],Table_NFI[Winter Clothes Adult])</f>
        <v>#REF!</v>
      </c>
      <c r="AM302" s="542"/>
      <c r="AN302" s="542"/>
      <c r="AO302" s="542"/>
      <c r="AP302" s="542">
        <f>IF(Table_NFI[[#This Row],[Winter Clothes Adult]]+Table_NFI[[#This Row],[Winter Clothes Children]]+Table_NFI[[#This Row],[Winter Items Other]]+Table_NFI[[#This Row],[Winter Blanket]]&gt;0,1,0)</f>
        <v>0</v>
      </c>
      <c r="AQ302" s="542"/>
      <c r="AR302" s="542"/>
      <c r="AS302" s="542"/>
      <c r="AT302" s="205" t="str">
        <f>IFERROR(VLOOKUP(Table_NFI[[#This Row],[Location]],CL,2,0),"")</f>
        <v>MMR001CMP038</v>
      </c>
      <c r="AU302" s="183"/>
    </row>
    <row r="303" spans="2:47" x14ac:dyDescent="0.3">
      <c r="B303" s="540">
        <v>43270</v>
      </c>
      <c r="C303" s="540" t="str">
        <f>MONTH(Table_NFI[[#This Row],[Distribution Date]]) &amp; "/" &amp; YEAR(Table_NFI[[#This Row],[Distribution Date]])</f>
        <v>6/2018</v>
      </c>
      <c r="D303" s="198" t="s">
        <v>420</v>
      </c>
      <c r="E303" s="198" t="s">
        <v>462</v>
      </c>
      <c r="F303" s="198" t="s">
        <v>378</v>
      </c>
      <c r="G303" s="197" t="s">
        <v>480</v>
      </c>
      <c r="H303" s="219" t="s">
        <v>41</v>
      </c>
      <c r="I303" s="183"/>
      <c r="J303" s="541"/>
      <c r="K303" s="541"/>
      <c r="L303" s="541"/>
      <c r="M303" s="541"/>
      <c r="N303" s="541"/>
      <c r="O303" s="541"/>
      <c r="P303" s="541"/>
      <c r="Q303" s="541"/>
      <c r="R303" s="541"/>
      <c r="S303" s="541"/>
      <c r="T303" s="541"/>
      <c r="U303" s="541"/>
      <c r="V303" s="541"/>
      <c r="W303" s="541"/>
      <c r="X303" s="541"/>
      <c r="Y303" s="541"/>
      <c r="Z303" s="541">
        <v>19</v>
      </c>
      <c r="AA303" s="541"/>
      <c r="AB303" s="541"/>
      <c r="AC303" s="542" t="e">
        <f>IF(NFI_Expiration=1,IF(#REF!&lt;VLOOKUP(L$5,NFI,5,0),1,0)*Table_NFI[[#This Row],[NFI Core Kit]],Table_NFI[NFI Core Kit])</f>
        <v>#REF!</v>
      </c>
      <c r="AD303" s="542" t="e">
        <f>IF(NFI_Expiration=1,IF(#REF!&lt;VLOOKUP(M$5,NFI,5,0),1,0)*Table_NFI[[#This Row],[Sanitary Kit]],Table_NFI[Sanitary Kit])</f>
        <v>#REF!</v>
      </c>
      <c r="AE303" s="542" t="e">
        <f>IF(NFI_Expiration=1,IF(#REF!&lt;VLOOKUP(N$5,NFI,5,0),1,0)*Table_NFI[[#This Row],[Mosquito net]],Table_NFI[Mosquito net])</f>
        <v>#REF!</v>
      </c>
      <c r="AF303" s="542" t="e">
        <f>IF(NFI_Expiration=1,IF(#REF!&lt;VLOOKUP(O$5,NFI,5,0),1,0)*Table_NFI[[#This Row],[Tarpaulin]],Table_NFI[[#This Row],[Tarpaulin]])</f>
        <v>#REF!</v>
      </c>
      <c r="AG303" s="542" t="e">
        <f>IF(NFI_Expiration=1,IF(#REF!&lt;VLOOKUP(P$5,NFI,5,0),1,0)*Table_NFI[[#This Row],[Blanket]],Table_NFI[[#This Row],[Blanket]])</f>
        <v>#REF!</v>
      </c>
      <c r="AH303" s="542" t="e">
        <f>IF(NFI_Expiration=1,IF(#REF!&lt;VLOOKUP(Q$5,NFI,5,0),1,0)*Table_NFI[[#This Row],[Kitchen Set]],Table_NFI[Kitchen Set])</f>
        <v>#REF!</v>
      </c>
      <c r="AI303" s="542" t="e">
        <f>IF(NFI_Expiration=1,IF(#REF!&lt;VLOOKUP(R$5,NFI,5,0),1,0)*Table_NFI[[#This Row],[Clothes Kit]],Table_NFI[Clothes Kit])</f>
        <v>#REF!</v>
      </c>
      <c r="AJ303" s="542" t="e">
        <f>IF(NFI_Expiration=1,IF(#REF!&lt;VLOOKUP(S$5,NFI,5,0),1,0)*Table_NFI[[#This Row],[Plastic Bucket]],Table_NFI[Plastic Bucket])</f>
        <v>#REF!</v>
      </c>
      <c r="AK303" s="542" t="e">
        <f>IF(NFI_Expiration=1,IF(#REF!&lt;VLOOKUP(T$5,NFI,5,0),1,0)*Table_NFI[[#This Row],[Plastic Mat]],Table_NFI[Plastic Mat])*IF(Table_NFI[[#This Row],[Distribution Date]]&gt;"2014-04-01",1,2.5)</f>
        <v>#REF!</v>
      </c>
      <c r="AL303" s="542" t="e">
        <f>IF(NFI_Expiration=1,IF(#REF!&lt;VLOOKUP(U$5,NFI,5,0),1,0)*Table_NFI[[#This Row],[Winter Clothes Adult]],Table_NFI[Winter Clothes Adult])</f>
        <v>#REF!</v>
      </c>
      <c r="AM303" s="542"/>
      <c r="AN303" s="542"/>
      <c r="AO303" s="542"/>
      <c r="AP303" s="542">
        <f>IF(Table_NFI[[#This Row],[Winter Clothes Adult]]+Table_NFI[[#This Row],[Winter Clothes Children]]+Table_NFI[[#This Row],[Winter Items Other]]+Table_NFI[[#This Row],[Winter Blanket]]&gt;0,1,0)</f>
        <v>0</v>
      </c>
      <c r="AQ303" s="542"/>
      <c r="AR303" s="542"/>
      <c r="AS303" s="542"/>
      <c r="AT303" s="205" t="str">
        <f>IFERROR(VLOOKUP(Table_NFI[[#This Row],[Location]],CL,2,0),"")</f>
        <v>MMR001CMP176</v>
      </c>
      <c r="AU303" s="183"/>
    </row>
    <row r="304" spans="2:47" x14ac:dyDescent="0.3">
      <c r="B304" s="540">
        <v>43270</v>
      </c>
      <c r="C304" s="540" t="str">
        <f>MONTH(Table_NFI[[#This Row],[Distribution Date]]) &amp; "/" &amp; YEAR(Table_NFI[[#This Row],[Distribution Date]])</f>
        <v>6/2018</v>
      </c>
      <c r="D304" s="198" t="s">
        <v>420</v>
      </c>
      <c r="E304" s="198" t="s">
        <v>462</v>
      </c>
      <c r="F304" s="198" t="s">
        <v>378</v>
      </c>
      <c r="G304" s="197" t="s">
        <v>480</v>
      </c>
      <c r="H304" s="219" t="s">
        <v>92</v>
      </c>
      <c r="I304" s="183"/>
      <c r="J304" s="541"/>
      <c r="K304" s="541"/>
      <c r="L304" s="541"/>
      <c r="M304" s="541"/>
      <c r="N304" s="541"/>
      <c r="O304" s="541"/>
      <c r="P304" s="541"/>
      <c r="Q304" s="541"/>
      <c r="R304" s="541"/>
      <c r="S304" s="541"/>
      <c r="T304" s="541"/>
      <c r="U304" s="541"/>
      <c r="V304" s="541"/>
      <c r="W304" s="541"/>
      <c r="X304" s="541"/>
      <c r="Y304" s="541"/>
      <c r="Z304" s="541">
        <v>12</v>
      </c>
      <c r="AA304" s="541"/>
      <c r="AB304" s="541"/>
      <c r="AC304" s="542" t="e">
        <f>IF(NFI_Expiration=1,IF(#REF!&lt;VLOOKUP(L$5,NFI,5,0),1,0)*Table_NFI[[#This Row],[NFI Core Kit]],Table_NFI[NFI Core Kit])</f>
        <v>#REF!</v>
      </c>
      <c r="AD304" s="542" t="e">
        <f>IF(NFI_Expiration=1,IF(#REF!&lt;VLOOKUP(M$5,NFI,5,0),1,0)*Table_NFI[[#This Row],[Sanitary Kit]],Table_NFI[Sanitary Kit])</f>
        <v>#REF!</v>
      </c>
      <c r="AE304" s="542" t="e">
        <f>IF(NFI_Expiration=1,IF(#REF!&lt;VLOOKUP(N$5,NFI,5,0),1,0)*Table_NFI[[#This Row],[Mosquito net]],Table_NFI[Mosquito net])</f>
        <v>#REF!</v>
      </c>
      <c r="AF304" s="542" t="e">
        <f>IF(NFI_Expiration=1,IF(#REF!&lt;VLOOKUP(O$5,NFI,5,0),1,0)*Table_NFI[[#This Row],[Tarpaulin]],Table_NFI[[#This Row],[Tarpaulin]])</f>
        <v>#REF!</v>
      </c>
      <c r="AG304" s="542" t="e">
        <f>IF(NFI_Expiration=1,IF(#REF!&lt;VLOOKUP(P$5,NFI,5,0),1,0)*Table_NFI[[#This Row],[Blanket]],Table_NFI[[#This Row],[Blanket]])</f>
        <v>#REF!</v>
      </c>
      <c r="AH304" s="542" t="e">
        <f>IF(NFI_Expiration=1,IF(#REF!&lt;VLOOKUP(Q$5,NFI,5,0),1,0)*Table_NFI[[#This Row],[Kitchen Set]],Table_NFI[Kitchen Set])</f>
        <v>#REF!</v>
      </c>
      <c r="AI304" s="542" t="e">
        <f>IF(NFI_Expiration=1,IF(#REF!&lt;VLOOKUP(R$5,NFI,5,0),1,0)*Table_NFI[[#This Row],[Clothes Kit]],Table_NFI[Clothes Kit])</f>
        <v>#REF!</v>
      </c>
      <c r="AJ304" s="542" t="e">
        <f>IF(NFI_Expiration=1,IF(#REF!&lt;VLOOKUP(S$5,NFI,5,0),1,0)*Table_NFI[[#This Row],[Plastic Bucket]],Table_NFI[Plastic Bucket])</f>
        <v>#REF!</v>
      </c>
      <c r="AK304" s="542" t="e">
        <f>IF(NFI_Expiration=1,IF(#REF!&lt;VLOOKUP(T$5,NFI,5,0),1,0)*Table_NFI[[#This Row],[Plastic Mat]],Table_NFI[Plastic Mat])*IF(Table_NFI[[#This Row],[Distribution Date]]&gt;"2014-04-01",1,2.5)</f>
        <v>#REF!</v>
      </c>
      <c r="AL304" s="542" t="e">
        <f>IF(NFI_Expiration=1,IF(#REF!&lt;VLOOKUP(U$5,NFI,5,0),1,0)*Table_NFI[[#This Row],[Winter Clothes Adult]],Table_NFI[Winter Clothes Adult])</f>
        <v>#REF!</v>
      </c>
      <c r="AM304" s="542"/>
      <c r="AN304" s="542"/>
      <c r="AO304" s="542"/>
      <c r="AP304" s="542">
        <f>IF(Table_NFI[[#This Row],[Winter Clothes Adult]]+Table_NFI[[#This Row],[Winter Clothes Children]]+Table_NFI[[#This Row],[Winter Items Other]]+Table_NFI[[#This Row],[Winter Blanket]]&gt;0,1,0)</f>
        <v>0</v>
      </c>
      <c r="AQ304" s="542"/>
      <c r="AR304" s="542"/>
      <c r="AS304" s="542"/>
      <c r="AT304" s="205" t="str">
        <f>IFERROR(VLOOKUP(Table_NFI[[#This Row],[Location]],CL,2,0),"")</f>
        <v>MMR001CMP167</v>
      </c>
      <c r="AU304" s="183"/>
    </row>
    <row r="305" spans="2:47" x14ac:dyDescent="0.3">
      <c r="B305" s="540">
        <v>43270</v>
      </c>
      <c r="C305" s="540" t="str">
        <f>MONTH(Table_NFI[[#This Row],[Distribution Date]]) &amp; "/" &amp; YEAR(Table_NFI[[#This Row],[Distribution Date]])</f>
        <v>6/2018</v>
      </c>
      <c r="D305" s="198" t="s">
        <v>420</v>
      </c>
      <c r="E305" s="198" t="s">
        <v>462</v>
      </c>
      <c r="F305" s="198" t="s">
        <v>378</v>
      </c>
      <c r="G305" s="197" t="s">
        <v>480</v>
      </c>
      <c r="H305" s="219" t="s">
        <v>551</v>
      </c>
      <c r="I305" s="183"/>
      <c r="J305" s="541"/>
      <c r="K305" s="541"/>
      <c r="L305" s="541"/>
      <c r="M305" s="541"/>
      <c r="N305" s="541"/>
      <c r="O305" s="541"/>
      <c r="P305" s="541"/>
      <c r="Q305" s="541"/>
      <c r="R305" s="541"/>
      <c r="S305" s="541"/>
      <c r="T305" s="541"/>
      <c r="U305" s="541"/>
      <c r="V305" s="541"/>
      <c r="W305" s="541"/>
      <c r="X305" s="541"/>
      <c r="Y305" s="541"/>
      <c r="Z305" s="541">
        <v>9</v>
      </c>
      <c r="AA305" s="541"/>
      <c r="AB305" s="541"/>
      <c r="AC305" s="542" t="e">
        <f>IF(NFI_Expiration=1,IF(#REF!&lt;VLOOKUP(L$5,NFI,5,0),1,0)*Table_NFI[[#This Row],[NFI Core Kit]],Table_NFI[NFI Core Kit])</f>
        <v>#REF!</v>
      </c>
      <c r="AD305" s="542" t="e">
        <f>IF(NFI_Expiration=1,IF(#REF!&lt;VLOOKUP(M$5,NFI,5,0),1,0)*Table_NFI[[#This Row],[Sanitary Kit]],Table_NFI[Sanitary Kit])</f>
        <v>#REF!</v>
      </c>
      <c r="AE305" s="542" t="e">
        <f>IF(NFI_Expiration=1,IF(#REF!&lt;VLOOKUP(N$5,NFI,5,0),1,0)*Table_NFI[[#This Row],[Mosquito net]],Table_NFI[Mosquito net])</f>
        <v>#REF!</v>
      </c>
      <c r="AF305" s="542" t="e">
        <f>IF(NFI_Expiration=1,IF(#REF!&lt;VLOOKUP(O$5,NFI,5,0),1,0)*Table_NFI[[#This Row],[Tarpaulin]],Table_NFI[[#This Row],[Tarpaulin]])</f>
        <v>#REF!</v>
      </c>
      <c r="AG305" s="542" t="e">
        <f>IF(NFI_Expiration=1,IF(#REF!&lt;VLOOKUP(P$5,NFI,5,0),1,0)*Table_NFI[[#This Row],[Blanket]],Table_NFI[[#This Row],[Blanket]])</f>
        <v>#REF!</v>
      </c>
      <c r="AH305" s="542" t="e">
        <f>IF(NFI_Expiration=1,IF(#REF!&lt;VLOOKUP(Q$5,NFI,5,0),1,0)*Table_NFI[[#This Row],[Kitchen Set]],Table_NFI[Kitchen Set])</f>
        <v>#REF!</v>
      </c>
      <c r="AI305" s="542" t="e">
        <f>IF(NFI_Expiration=1,IF(#REF!&lt;VLOOKUP(R$5,NFI,5,0),1,0)*Table_NFI[[#This Row],[Clothes Kit]],Table_NFI[Clothes Kit])</f>
        <v>#REF!</v>
      </c>
      <c r="AJ305" s="542" t="e">
        <f>IF(NFI_Expiration=1,IF(#REF!&lt;VLOOKUP(S$5,NFI,5,0),1,0)*Table_NFI[[#This Row],[Plastic Bucket]],Table_NFI[Plastic Bucket])</f>
        <v>#REF!</v>
      </c>
      <c r="AK305" s="542" t="e">
        <f>IF(NFI_Expiration=1,IF(#REF!&lt;VLOOKUP(T$5,NFI,5,0),1,0)*Table_NFI[[#This Row],[Plastic Mat]],Table_NFI[Plastic Mat])*IF(Table_NFI[[#This Row],[Distribution Date]]&gt;"2014-04-01",1,2.5)</f>
        <v>#REF!</v>
      </c>
      <c r="AL305" s="542" t="e">
        <f>IF(NFI_Expiration=1,IF(#REF!&lt;VLOOKUP(U$5,NFI,5,0),1,0)*Table_NFI[[#This Row],[Winter Clothes Adult]],Table_NFI[Winter Clothes Adult])</f>
        <v>#REF!</v>
      </c>
      <c r="AM305" s="542"/>
      <c r="AN305" s="542"/>
      <c r="AO305" s="542"/>
      <c r="AP305" s="542">
        <f>IF(Table_NFI[[#This Row],[Winter Clothes Adult]]+Table_NFI[[#This Row],[Winter Clothes Children]]+Table_NFI[[#This Row],[Winter Items Other]]+Table_NFI[[#This Row],[Winter Blanket]]&gt;0,1,0)</f>
        <v>0</v>
      </c>
      <c r="AQ305" s="542"/>
      <c r="AR305" s="542"/>
      <c r="AS305" s="542"/>
      <c r="AT305" s="205" t="str">
        <f>IFERROR(VLOOKUP(Table_NFI[[#This Row],[Location]],CL,2,0),"")</f>
        <v>MMR001CMP192</v>
      </c>
      <c r="AU305" s="183"/>
    </row>
    <row r="306" spans="2:47" x14ac:dyDescent="0.3">
      <c r="B306" s="540">
        <v>43270</v>
      </c>
      <c r="C306" s="540" t="str">
        <f>MONTH(Table_NFI[[#This Row],[Distribution Date]]) &amp; "/" &amp; YEAR(Table_NFI[[#This Row],[Distribution Date]])</f>
        <v>6/2018</v>
      </c>
      <c r="D306" s="198" t="s">
        <v>420</v>
      </c>
      <c r="E306" s="198" t="s">
        <v>462</v>
      </c>
      <c r="F306" s="198" t="s">
        <v>378</v>
      </c>
      <c r="G306" s="197" t="s">
        <v>480</v>
      </c>
      <c r="H306" s="219" t="s">
        <v>43</v>
      </c>
      <c r="I306" s="183"/>
      <c r="J306" s="541"/>
      <c r="K306" s="541"/>
      <c r="L306" s="541"/>
      <c r="M306" s="541"/>
      <c r="N306" s="541"/>
      <c r="O306" s="541"/>
      <c r="P306" s="541"/>
      <c r="Q306" s="541"/>
      <c r="R306" s="541"/>
      <c r="S306" s="541"/>
      <c r="T306" s="541"/>
      <c r="U306" s="541"/>
      <c r="V306" s="541"/>
      <c r="W306" s="541"/>
      <c r="X306" s="541"/>
      <c r="Y306" s="541"/>
      <c r="Z306" s="541">
        <v>12</v>
      </c>
      <c r="AA306" s="541"/>
      <c r="AB306" s="541"/>
      <c r="AC306" s="542" t="e">
        <f>IF(NFI_Expiration=1,IF(#REF!&lt;VLOOKUP(L$5,NFI,5,0),1,0)*Table_NFI[[#This Row],[NFI Core Kit]],Table_NFI[NFI Core Kit])</f>
        <v>#REF!</v>
      </c>
      <c r="AD306" s="542" t="e">
        <f>IF(NFI_Expiration=1,IF(#REF!&lt;VLOOKUP(M$5,NFI,5,0),1,0)*Table_NFI[[#This Row],[Sanitary Kit]],Table_NFI[Sanitary Kit])</f>
        <v>#REF!</v>
      </c>
      <c r="AE306" s="542" t="e">
        <f>IF(NFI_Expiration=1,IF(#REF!&lt;VLOOKUP(N$5,NFI,5,0),1,0)*Table_NFI[[#This Row],[Mosquito net]],Table_NFI[Mosquito net])</f>
        <v>#REF!</v>
      </c>
      <c r="AF306" s="542" t="e">
        <f>IF(NFI_Expiration=1,IF(#REF!&lt;VLOOKUP(O$5,NFI,5,0),1,0)*Table_NFI[[#This Row],[Tarpaulin]],Table_NFI[[#This Row],[Tarpaulin]])</f>
        <v>#REF!</v>
      </c>
      <c r="AG306" s="542" t="e">
        <f>IF(NFI_Expiration=1,IF(#REF!&lt;VLOOKUP(P$5,NFI,5,0),1,0)*Table_NFI[[#This Row],[Blanket]],Table_NFI[[#This Row],[Blanket]])</f>
        <v>#REF!</v>
      </c>
      <c r="AH306" s="542" t="e">
        <f>IF(NFI_Expiration=1,IF(#REF!&lt;VLOOKUP(Q$5,NFI,5,0),1,0)*Table_NFI[[#This Row],[Kitchen Set]],Table_NFI[Kitchen Set])</f>
        <v>#REF!</v>
      </c>
      <c r="AI306" s="542" t="e">
        <f>IF(NFI_Expiration=1,IF(#REF!&lt;VLOOKUP(R$5,NFI,5,0),1,0)*Table_NFI[[#This Row],[Clothes Kit]],Table_NFI[Clothes Kit])</f>
        <v>#REF!</v>
      </c>
      <c r="AJ306" s="542" t="e">
        <f>IF(NFI_Expiration=1,IF(#REF!&lt;VLOOKUP(S$5,NFI,5,0),1,0)*Table_NFI[[#This Row],[Plastic Bucket]],Table_NFI[Plastic Bucket])</f>
        <v>#REF!</v>
      </c>
      <c r="AK306" s="542" t="e">
        <f>IF(NFI_Expiration=1,IF(#REF!&lt;VLOOKUP(T$5,NFI,5,0),1,0)*Table_NFI[[#This Row],[Plastic Mat]],Table_NFI[Plastic Mat])*IF(Table_NFI[[#This Row],[Distribution Date]]&gt;"2014-04-01",1,2.5)</f>
        <v>#REF!</v>
      </c>
      <c r="AL306" s="542" t="e">
        <f>IF(NFI_Expiration=1,IF(#REF!&lt;VLOOKUP(U$5,NFI,5,0),1,0)*Table_NFI[[#This Row],[Winter Clothes Adult]],Table_NFI[Winter Clothes Adult])</f>
        <v>#REF!</v>
      </c>
      <c r="AM306" s="542"/>
      <c r="AN306" s="542"/>
      <c r="AO306" s="542"/>
      <c r="AP306" s="542">
        <f>IF(Table_NFI[[#This Row],[Winter Clothes Adult]]+Table_NFI[[#This Row],[Winter Clothes Children]]+Table_NFI[[#This Row],[Winter Items Other]]+Table_NFI[[#This Row],[Winter Blanket]]&gt;0,1,0)</f>
        <v>0</v>
      </c>
      <c r="AQ306" s="542"/>
      <c r="AR306" s="542"/>
      <c r="AS306" s="542"/>
      <c r="AT306" s="205" t="str">
        <f>IFERROR(VLOOKUP(Table_NFI[[#This Row],[Location]],CL,2,0),"")</f>
        <v>MMR001CMP190</v>
      </c>
      <c r="AU306" s="183"/>
    </row>
    <row r="307" spans="2:47" x14ac:dyDescent="0.3">
      <c r="B307" s="540">
        <v>43270</v>
      </c>
      <c r="C307" s="540" t="str">
        <f>MONTH(Table_NFI[[#This Row],[Distribution Date]]) &amp; "/" &amp; YEAR(Table_NFI[[#This Row],[Distribution Date]])</f>
        <v>6/2018</v>
      </c>
      <c r="D307" s="198" t="s">
        <v>420</v>
      </c>
      <c r="E307" s="198" t="s">
        <v>462</v>
      </c>
      <c r="F307" s="198" t="s">
        <v>378</v>
      </c>
      <c r="G307" s="197" t="s">
        <v>309</v>
      </c>
      <c r="H307" s="219" t="s">
        <v>317</v>
      </c>
      <c r="I307" s="183"/>
      <c r="J307" s="541"/>
      <c r="K307" s="541"/>
      <c r="L307" s="541"/>
      <c r="M307" s="541"/>
      <c r="N307" s="541"/>
      <c r="O307" s="541"/>
      <c r="P307" s="541"/>
      <c r="Q307" s="541"/>
      <c r="R307" s="541"/>
      <c r="S307" s="541"/>
      <c r="T307" s="541"/>
      <c r="U307" s="541"/>
      <c r="V307" s="541"/>
      <c r="W307" s="541"/>
      <c r="X307" s="541"/>
      <c r="Y307" s="541"/>
      <c r="Z307" s="541">
        <v>20</v>
      </c>
      <c r="AA307" s="541"/>
      <c r="AB307" s="541"/>
      <c r="AC307" s="542" t="e">
        <f>IF(NFI_Expiration=1,IF(#REF!&lt;VLOOKUP(L$5,NFI,5,0),1,0)*Table_NFI[[#This Row],[NFI Core Kit]],Table_NFI[NFI Core Kit])</f>
        <v>#REF!</v>
      </c>
      <c r="AD307" s="542" t="e">
        <f>IF(NFI_Expiration=1,IF(#REF!&lt;VLOOKUP(M$5,NFI,5,0),1,0)*Table_NFI[[#This Row],[Sanitary Kit]],Table_NFI[Sanitary Kit])</f>
        <v>#REF!</v>
      </c>
      <c r="AE307" s="542" t="e">
        <f>IF(NFI_Expiration=1,IF(#REF!&lt;VLOOKUP(N$5,NFI,5,0),1,0)*Table_NFI[[#This Row],[Mosquito net]],Table_NFI[Mosquito net])</f>
        <v>#REF!</v>
      </c>
      <c r="AF307" s="542" t="e">
        <f>IF(NFI_Expiration=1,IF(#REF!&lt;VLOOKUP(O$5,NFI,5,0),1,0)*Table_NFI[[#This Row],[Tarpaulin]],Table_NFI[[#This Row],[Tarpaulin]])</f>
        <v>#REF!</v>
      </c>
      <c r="AG307" s="542" t="e">
        <f>IF(NFI_Expiration=1,IF(#REF!&lt;VLOOKUP(P$5,NFI,5,0),1,0)*Table_NFI[[#This Row],[Blanket]],Table_NFI[[#This Row],[Blanket]])</f>
        <v>#REF!</v>
      </c>
      <c r="AH307" s="542" t="e">
        <f>IF(NFI_Expiration=1,IF(#REF!&lt;VLOOKUP(Q$5,NFI,5,0),1,0)*Table_NFI[[#This Row],[Kitchen Set]],Table_NFI[Kitchen Set])</f>
        <v>#REF!</v>
      </c>
      <c r="AI307" s="542" t="e">
        <f>IF(NFI_Expiration=1,IF(#REF!&lt;VLOOKUP(R$5,NFI,5,0),1,0)*Table_NFI[[#This Row],[Clothes Kit]],Table_NFI[Clothes Kit])</f>
        <v>#REF!</v>
      </c>
      <c r="AJ307" s="542" t="e">
        <f>IF(NFI_Expiration=1,IF(#REF!&lt;VLOOKUP(S$5,NFI,5,0),1,0)*Table_NFI[[#This Row],[Plastic Bucket]],Table_NFI[Plastic Bucket])</f>
        <v>#REF!</v>
      </c>
      <c r="AK307" s="542" t="e">
        <f>IF(NFI_Expiration=1,IF(#REF!&lt;VLOOKUP(T$5,NFI,5,0),1,0)*Table_NFI[[#This Row],[Plastic Mat]],Table_NFI[Plastic Mat])*IF(Table_NFI[[#This Row],[Distribution Date]]&gt;"2014-04-01",1,2.5)</f>
        <v>#REF!</v>
      </c>
      <c r="AL307" s="542" t="e">
        <f>IF(NFI_Expiration=1,IF(#REF!&lt;VLOOKUP(U$5,NFI,5,0),1,0)*Table_NFI[[#This Row],[Winter Clothes Adult]],Table_NFI[Winter Clothes Adult])</f>
        <v>#REF!</v>
      </c>
      <c r="AM307" s="542"/>
      <c r="AN307" s="542"/>
      <c r="AO307" s="542"/>
      <c r="AP307" s="542">
        <f>IF(Table_NFI[[#This Row],[Winter Clothes Adult]]+Table_NFI[[#This Row],[Winter Clothes Children]]+Table_NFI[[#This Row],[Winter Items Other]]+Table_NFI[[#This Row],[Winter Blanket]]&gt;0,1,0)</f>
        <v>0</v>
      </c>
      <c r="AQ307" s="542"/>
      <c r="AR307" s="542"/>
      <c r="AS307" s="542"/>
      <c r="AT307" s="205" t="str">
        <f>IFERROR(VLOOKUP(Table_NFI[[#This Row],[Location]],CL,2,0),"")</f>
        <v>MMR001CMP032</v>
      </c>
      <c r="AU307" s="183"/>
    </row>
    <row r="308" spans="2:47" ht="28.8" x14ac:dyDescent="0.3">
      <c r="B308" s="540">
        <v>43270</v>
      </c>
      <c r="C308" s="540" t="str">
        <f>MONTH(Table_NFI[[#This Row],[Distribution Date]]) &amp; "/" &amp; YEAR(Table_NFI[[#This Row],[Distribution Date]])</f>
        <v>6/2018</v>
      </c>
      <c r="D308" s="198" t="s">
        <v>420</v>
      </c>
      <c r="E308" s="198" t="s">
        <v>462</v>
      </c>
      <c r="F308" s="198" t="s">
        <v>378</v>
      </c>
      <c r="G308" s="197" t="s">
        <v>480</v>
      </c>
      <c r="H308" s="219" t="s">
        <v>76</v>
      </c>
      <c r="I308" s="183"/>
      <c r="J308" s="541"/>
      <c r="K308" s="541"/>
      <c r="L308" s="541"/>
      <c r="M308" s="541"/>
      <c r="N308" s="541"/>
      <c r="O308" s="541"/>
      <c r="P308" s="541"/>
      <c r="Q308" s="541"/>
      <c r="R308" s="541"/>
      <c r="S308" s="541"/>
      <c r="T308" s="541"/>
      <c r="U308" s="541"/>
      <c r="V308" s="541"/>
      <c r="W308" s="541"/>
      <c r="X308" s="541"/>
      <c r="Y308" s="541"/>
      <c r="Z308" s="541">
        <v>43</v>
      </c>
      <c r="AA308" s="541"/>
      <c r="AB308" s="541"/>
      <c r="AC308" s="542" t="e">
        <f>IF(NFI_Expiration=1,IF(#REF!&lt;VLOOKUP(L$5,NFI,5,0),1,0)*Table_NFI[[#This Row],[NFI Core Kit]],Table_NFI[NFI Core Kit])</f>
        <v>#REF!</v>
      </c>
      <c r="AD308" s="542" t="e">
        <f>IF(NFI_Expiration=1,IF(#REF!&lt;VLOOKUP(M$5,NFI,5,0),1,0)*Table_NFI[[#This Row],[Sanitary Kit]],Table_NFI[Sanitary Kit])</f>
        <v>#REF!</v>
      </c>
      <c r="AE308" s="542" t="e">
        <f>IF(NFI_Expiration=1,IF(#REF!&lt;VLOOKUP(N$5,NFI,5,0),1,0)*Table_NFI[[#This Row],[Mosquito net]],Table_NFI[Mosquito net])</f>
        <v>#REF!</v>
      </c>
      <c r="AF308" s="542" t="e">
        <f>IF(NFI_Expiration=1,IF(#REF!&lt;VLOOKUP(O$5,NFI,5,0),1,0)*Table_NFI[[#This Row],[Tarpaulin]],Table_NFI[[#This Row],[Tarpaulin]])</f>
        <v>#REF!</v>
      </c>
      <c r="AG308" s="542" t="e">
        <f>IF(NFI_Expiration=1,IF(#REF!&lt;VLOOKUP(P$5,NFI,5,0),1,0)*Table_NFI[[#This Row],[Blanket]],Table_NFI[[#This Row],[Blanket]])</f>
        <v>#REF!</v>
      </c>
      <c r="AH308" s="542" t="e">
        <f>IF(NFI_Expiration=1,IF(#REF!&lt;VLOOKUP(Q$5,NFI,5,0),1,0)*Table_NFI[[#This Row],[Kitchen Set]],Table_NFI[Kitchen Set])</f>
        <v>#REF!</v>
      </c>
      <c r="AI308" s="542" t="e">
        <f>IF(NFI_Expiration=1,IF(#REF!&lt;VLOOKUP(R$5,NFI,5,0),1,0)*Table_NFI[[#This Row],[Clothes Kit]],Table_NFI[Clothes Kit])</f>
        <v>#REF!</v>
      </c>
      <c r="AJ308" s="542" t="e">
        <f>IF(NFI_Expiration=1,IF(#REF!&lt;VLOOKUP(S$5,NFI,5,0),1,0)*Table_NFI[[#This Row],[Plastic Bucket]],Table_NFI[Plastic Bucket])</f>
        <v>#REF!</v>
      </c>
      <c r="AK308" s="542" t="e">
        <f>IF(NFI_Expiration=1,IF(#REF!&lt;VLOOKUP(T$5,NFI,5,0),1,0)*Table_NFI[[#This Row],[Plastic Mat]],Table_NFI[Plastic Mat])*IF(Table_NFI[[#This Row],[Distribution Date]]&gt;"2014-04-01",1,2.5)</f>
        <v>#REF!</v>
      </c>
      <c r="AL308" s="542" t="e">
        <f>IF(NFI_Expiration=1,IF(#REF!&lt;VLOOKUP(U$5,NFI,5,0),1,0)*Table_NFI[[#This Row],[Winter Clothes Adult]],Table_NFI[Winter Clothes Adult])</f>
        <v>#REF!</v>
      </c>
      <c r="AM308" s="542"/>
      <c r="AN308" s="542"/>
      <c r="AO308" s="542"/>
      <c r="AP308" s="542">
        <f>IF(Table_NFI[[#This Row],[Winter Clothes Adult]]+Table_NFI[[#This Row],[Winter Clothes Children]]+Table_NFI[[#This Row],[Winter Items Other]]+Table_NFI[[#This Row],[Winter Blanket]]&gt;0,1,0)</f>
        <v>0</v>
      </c>
      <c r="AQ308" s="542"/>
      <c r="AR308" s="542"/>
      <c r="AS308" s="542"/>
      <c r="AT308" s="205" t="str">
        <f>IFERROR(VLOOKUP(Table_NFI[[#This Row],[Location]],CL,2,0),"")</f>
        <v>MMR001CMP174</v>
      </c>
      <c r="AU308" s="183"/>
    </row>
    <row r="309" spans="2:47" x14ac:dyDescent="0.3">
      <c r="B309" s="540">
        <v>43270</v>
      </c>
      <c r="C309" s="540" t="str">
        <f>MONTH(Table_NFI[[#This Row],[Distribution Date]]) &amp; "/" &amp; YEAR(Table_NFI[[#This Row],[Distribution Date]])</f>
        <v>6/2018</v>
      </c>
      <c r="D309" s="198" t="s">
        <v>420</v>
      </c>
      <c r="E309" s="198" t="s">
        <v>462</v>
      </c>
      <c r="F309" s="198" t="s">
        <v>378</v>
      </c>
      <c r="G309" s="197" t="s">
        <v>5</v>
      </c>
      <c r="H309" s="219" t="s">
        <v>26</v>
      </c>
      <c r="I309" s="183"/>
      <c r="J309" s="541"/>
      <c r="K309" s="541"/>
      <c r="L309" s="541"/>
      <c r="M309" s="541"/>
      <c r="N309" s="541"/>
      <c r="O309" s="541"/>
      <c r="P309" s="541"/>
      <c r="Q309" s="541"/>
      <c r="R309" s="541"/>
      <c r="S309" s="541"/>
      <c r="T309" s="541"/>
      <c r="U309" s="541"/>
      <c r="V309" s="541"/>
      <c r="W309" s="541"/>
      <c r="X309" s="541"/>
      <c r="Y309" s="541"/>
      <c r="Z309" s="541">
        <v>13</v>
      </c>
      <c r="AA309" s="541"/>
      <c r="AB309" s="541"/>
      <c r="AC309" s="542" t="e">
        <f>IF(NFI_Expiration=1,IF(#REF!&lt;VLOOKUP(L$5,NFI,5,0),1,0)*Table_NFI[[#This Row],[NFI Core Kit]],Table_NFI[NFI Core Kit])</f>
        <v>#REF!</v>
      </c>
      <c r="AD309" s="542" t="e">
        <f>IF(NFI_Expiration=1,IF(#REF!&lt;VLOOKUP(M$5,NFI,5,0),1,0)*Table_NFI[[#This Row],[Sanitary Kit]],Table_NFI[Sanitary Kit])</f>
        <v>#REF!</v>
      </c>
      <c r="AE309" s="542" t="e">
        <f>IF(NFI_Expiration=1,IF(#REF!&lt;VLOOKUP(N$5,NFI,5,0),1,0)*Table_NFI[[#This Row],[Mosquito net]],Table_NFI[Mosquito net])</f>
        <v>#REF!</v>
      </c>
      <c r="AF309" s="542" t="e">
        <f>IF(NFI_Expiration=1,IF(#REF!&lt;VLOOKUP(O$5,NFI,5,0),1,0)*Table_NFI[[#This Row],[Tarpaulin]],Table_NFI[[#This Row],[Tarpaulin]])</f>
        <v>#REF!</v>
      </c>
      <c r="AG309" s="542" t="e">
        <f>IF(NFI_Expiration=1,IF(#REF!&lt;VLOOKUP(P$5,NFI,5,0),1,0)*Table_NFI[[#This Row],[Blanket]],Table_NFI[[#This Row],[Blanket]])</f>
        <v>#REF!</v>
      </c>
      <c r="AH309" s="542" t="e">
        <f>IF(NFI_Expiration=1,IF(#REF!&lt;VLOOKUP(Q$5,NFI,5,0),1,0)*Table_NFI[[#This Row],[Kitchen Set]],Table_NFI[Kitchen Set])</f>
        <v>#REF!</v>
      </c>
      <c r="AI309" s="542" t="e">
        <f>IF(NFI_Expiration=1,IF(#REF!&lt;VLOOKUP(R$5,NFI,5,0),1,0)*Table_NFI[[#This Row],[Clothes Kit]],Table_NFI[Clothes Kit])</f>
        <v>#REF!</v>
      </c>
      <c r="AJ309" s="542" t="e">
        <f>IF(NFI_Expiration=1,IF(#REF!&lt;VLOOKUP(S$5,NFI,5,0),1,0)*Table_NFI[[#This Row],[Plastic Bucket]],Table_NFI[Plastic Bucket])</f>
        <v>#REF!</v>
      </c>
      <c r="AK309" s="542" t="e">
        <f>IF(NFI_Expiration=1,IF(#REF!&lt;VLOOKUP(T$5,NFI,5,0),1,0)*Table_NFI[[#This Row],[Plastic Mat]],Table_NFI[Plastic Mat])*IF(Table_NFI[[#This Row],[Distribution Date]]&gt;"2014-04-01",1,2.5)</f>
        <v>#REF!</v>
      </c>
      <c r="AL309" s="542" t="e">
        <f>IF(NFI_Expiration=1,IF(#REF!&lt;VLOOKUP(U$5,NFI,5,0),1,0)*Table_NFI[[#This Row],[Winter Clothes Adult]],Table_NFI[Winter Clothes Adult])</f>
        <v>#REF!</v>
      </c>
      <c r="AM309" s="542"/>
      <c r="AN309" s="542"/>
      <c r="AO309" s="542"/>
      <c r="AP309" s="542">
        <f>IF(Table_NFI[[#This Row],[Winter Clothes Adult]]+Table_NFI[[#This Row],[Winter Clothes Children]]+Table_NFI[[#This Row],[Winter Items Other]]+Table_NFI[[#This Row],[Winter Blanket]]&gt;0,1,0)</f>
        <v>0</v>
      </c>
      <c r="AQ309" s="542"/>
      <c r="AR309" s="542"/>
      <c r="AS309" s="542"/>
      <c r="AT309" s="205" t="str">
        <f>IFERROR(VLOOKUP(Table_NFI[[#This Row],[Location]],CL,2,0),"")</f>
        <v>MMR001CMP053</v>
      </c>
      <c r="AU309" s="183"/>
    </row>
    <row r="310" spans="2:47" x14ac:dyDescent="0.3">
      <c r="B310" s="540">
        <v>43252</v>
      </c>
      <c r="C310" s="540" t="str">
        <f>MONTH(Table_NFI[[#This Row],[Distribution Date]]) &amp; "/" &amp; YEAR(Table_NFI[[#This Row],[Distribution Date]])</f>
        <v>6/2018</v>
      </c>
      <c r="D310" s="198" t="s">
        <v>420</v>
      </c>
      <c r="E310" s="198" t="s">
        <v>462</v>
      </c>
      <c r="F310" s="198" t="s">
        <v>378</v>
      </c>
      <c r="G310" s="197" t="s">
        <v>5</v>
      </c>
      <c r="H310" s="219" t="s">
        <v>26</v>
      </c>
      <c r="I310" s="183"/>
      <c r="J310" s="541"/>
      <c r="K310" s="541"/>
      <c r="L310" s="541"/>
      <c r="M310" s="541"/>
      <c r="N310" s="541"/>
      <c r="O310" s="541">
        <v>9</v>
      </c>
      <c r="P310" s="541"/>
      <c r="Q310" s="541"/>
      <c r="R310" s="541"/>
      <c r="S310" s="541"/>
      <c r="T310" s="541"/>
      <c r="U310" s="541"/>
      <c r="V310" s="541"/>
      <c r="W310" s="541"/>
      <c r="X310" s="541"/>
      <c r="Y310" s="541"/>
      <c r="Z310" s="541"/>
      <c r="AA310" s="541"/>
      <c r="AB310" s="541"/>
      <c r="AC310" s="542" t="e">
        <f>IF(NFI_Expiration=1,IF(#REF!&lt;VLOOKUP(L$5,NFI,5,0),1,0)*Table_NFI[[#This Row],[NFI Core Kit]],Table_NFI[NFI Core Kit])</f>
        <v>#REF!</v>
      </c>
      <c r="AD310" s="542" t="e">
        <f>IF(NFI_Expiration=1,IF(#REF!&lt;VLOOKUP(M$5,NFI,5,0),1,0)*Table_NFI[[#This Row],[Sanitary Kit]],Table_NFI[Sanitary Kit])</f>
        <v>#REF!</v>
      </c>
      <c r="AE310" s="542" t="e">
        <f>IF(NFI_Expiration=1,IF(#REF!&lt;VLOOKUP(N$5,NFI,5,0),1,0)*Table_NFI[[#This Row],[Mosquito net]],Table_NFI[Mosquito net])</f>
        <v>#REF!</v>
      </c>
      <c r="AF310" s="542" t="e">
        <f>IF(NFI_Expiration=1,IF(#REF!&lt;VLOOKUP(O$5,NFI,5,0),1,0)*Table_NFI[[#This Row],[Tarpaulin]],Table_NFI[[#This Row],[Tarpaulin]])</f>
        <v>#REF!</v>
      </c>
      <c r="AG310" s="542" t="e">
        <f>IF(NFI_Expiration=1,IF(#REF!&lt;VLOOKUP(P$5,NFI,5,0),1,0)*Table_NFI[[#This Row],[Blanket]],Table_NFI[[#This Row],[Blanket]])</f>
        <v>#REF!</v>
      </c>
      <c r="AH310" s="542" t="e">
        <f>IF(NFI_Expiration=1,IF(#REF!&lt;VLOOKUP(Q$5,NFI,5,0),1,0)*Table_NFI[[#This Row],[Kitchen Set]],Table_NFI[Kitchen Set])</f>
        <v>#REF!</v>
      </c>
      <c r="AI310" s="542" t="e">
        <f>IF(NFI_Expiration=1,IF(#REF!&lt;VLOOKUP(R$5,NFI,5,0),1,0)*Table_NFI[[#This Row],[Clothes Kit]],Table_NFI[Clothes Kit])</f>
        <v>#REF!</v>
      </c>
      <c r="AJ310" s="542" t="e">
        <f>IF(NFI_Expiration=1,IF(#REF!&lt;VLOOKUP(S$5,NFI,5,0),1,0)*Table_NFI[[#This Row],[Plastic Bucket]],Table_NFI[Plastic Bucket])</f>
        <v>#REF!</v>
      </c>
      <c r="AK310" s="542" t="e">
        <f>IF(NFI_Expiration=1,IF(#REF!&lt;VLOOKUP(T$5,NFI,5,0),1,0)*Table_NFI[[#This Row],[Plastic Mat]],Table_NFI[Plastic Mat])*IF(Table_NFI[[#This Row],[Distribution Date]]&gt;"2014-04-01",1,2.5)</f>
        <v>#REF!</v>
      </c>
      <c r="AL310" s="542" t="e">
        <f>IF(NFI_Expiration=1,IF(#REF!&lt;VLOOKUP(U$5,NFI,5,0),1,0)*Table_NFI[[#This Row],[Winter Clothes Adult]],Table_NFI[Winter Clothes Adult])</f>
        <v>#REF!</v>
      </c>
      <c r="AM310" s="542"/>
      <c r="AN310" s="542"/>
      <c r="AO310" s="542"/>
      <c r="AP310" s="542">
        <f>IF(Table_NFI[[#This Row],[Winter Clothes Adult]]+Table_NFI[[#This Row],[Winter Clothes Children]]+Table_NFI[[#This Row],[Winter Items Other]]+Table_NFI[[#This Row],[Winter Blanket]]&gt;0,1,0)</f>
        <v>0</v>
      </c>
      <c r="AQ310" s="542"/>
      <c r="AR310" s="542"/>
      <c r="AS310" s="542"/>
      <c r="AT310" s="205" t="str">
        <f>IFERROR(VLOOKUP(Table_NFI[[#This Row],[Location]],CL,2,0),"")</f>
        <v>MMR001CMP053</v>
      </c>
      <c r="AU310" s="183"/>
    </row>
    <row r="311" spans="2:47" x14ac:dyDescent="0.3">
      <c r="B311" s="540">
        <v>43266</v>
      </c>
      <c r="C311" s="540" t="str">
        <f>MONTH(Table_NFI[[#This Row],[Distribution Date]]) &amp; "/" &amp; YEAR(Table_NFI[[#This Row],[Distribution Date]])</f>
        <v>6/2018</v>
      </c>
      <c r="D311" s="198" t="s">
        <v>420</v>
      </c>
      <c r="E311" s="198" t="s">
        <v>424</v>
      </c>
      <c r="F311" s="198" t="s">
        <v>378</v>
      </c>
      <c r="G311" s="197" t="s">
        <v>480</v>
      </c>
      <c r="H311" s="219" t="s">
        <v>1157</v>
      </c>
      <c r="I311" s="183"/>
      <c r="J311" s="541"/>
      <c r="K311" s="541"/>
      <c r="L311" s="541"/>
      <c r="M311" s="541"/>
      <c r="N311" s="541"/>
      <c r="O311" s="541"/>
      <c r="P311" s="541"/>
      <c r="Q311" s="541"/>
      <c r="R311" s="541"/>
      <c r="S311" s="541"/>
      <c r="T311" s="541"/>
      <c r="U311" s="541"/>
      <c r="V311" s="541"/>
      <c r="W311" s="541"/>
      <c r="X311" s="541"/>
      <c r="Y311" s="541"/>
      <c r="Z311" s="541">
        <v>15</v>
      </c>
      <c r="AA311" s="541"/>
      <c r="AB311" s="541"/>
      <c r="AC311" s="542" t="e">
        <f>IF(NFI_Expiration=1,IF(#REF!&lt;VLOOKUP(L$5,NFI,5,0),1,0)*Table_NFI[[#This Row],[NFI Core Kit]],Table_NFI[NFI Core Kit])</f>
        <v>#REF!</v>
      </c>
      <c r="AD311" s="542" t="e">
        <f>IF(NFI_Expiration=1,IF(#REF!&lt;VLOOKUP(M$5,NFI,5,0),1,0)*Table_NFI[[#This Row],[Sanitary Kit]],Table_NFI[Sanitary Kit])</f>
        <v>#REF!</v>
      </c>
      <c r="AE311" s="542" t="e">
        <f>IF(NFI_Expiration=1,IF(#REF!&lt;VLOOKUP(N$5,NFI,5,0),1,0)*Table_NFI[[#This Row],[Mosquito net]],Table_NFI[Mosquito net])</f>
        <v>#REF!</v>
      </c>
      <c r="AF311" s="542" t="e">
        <f>IF(NFI_Expiration=1,IF(#REF!&lt;VLOOKUP(O$5,NFI,5,0),1,0)*Table_NFI[[#This Row],[Tarpaulin]],Table_NFI[[#This Row],[Tarpaulin]])</f>
        <v>#REF!</v>
      </c>
      <c r="AG311" s="542" t="e">
        <f>IF(NFI_Expiration=1,IF(#REF!&lt;VLOOKUP(P$5,NFI,5,0),1,0)*Table_NFI[[#This Row],[Blanket]],Table_NFI[[#This Row],[Blanket]])</f>
        <v>#REF!</v>
      </c>
      <c r="AH311" s="542" t="e">
        <f>IF(NFI_Expiration=1,IF(#REF!&lt;VLOOKUP(Q$5,NFI,5,0),1,0)*Table_NFI[[#This Row],[Kitchen Set]],Table_NFI[Kitchen Set])</f>
        <v>#REF!</v>
      </c>
      <c r="AI311" s="542" t="e">
        <f>IF(NFI_Expiration=1,IF(#REF!&lt;VLOOKUP(R$5,NFI,5,0),1,0)*Table_NFI[[#This Row],[Clothes Kit]],Table_NFI[Clothes Kit])</f>
        <v>#REF!</v>
      </c>
      <c r="AJ311" s="542" t="e">
        <f>IF(NFI_Expiration=1,IF(#REF!&lt;VLOOKUP(S$5,NFI,5,0),1,0)*Table_NFI[[#This Row],[Plastic Bucket]],Table_NFI[Plastic Bucket])</f>
        <v>#REF!</v>
      </c>
      <c r="AK311" s="542" t="e">
        <f>IF(NFI_Expiration=1,IF(#REF!&lt;VLOOKUP(T$5,NFI,5,0),1,0)*Table_NFI[[#This Row],[Plastic Mat]],Table_NFI[Plastic Mat])*IF(Table_NFI[[#This Row],[Distribution Date]]&gt;"2014-04-01",1,2.5)</f>
        <v>#REF!</v>
      </c>
      <c r="AL311" s="542" t="e">
        <f>IF(NFI_Expiration=1,IF(#REF!&lt;VLOOKUP(U$5,NFI,5,0),1,0)*Table_NFI[[#This Row],[Winter Clothes Adult]],Table_NFI[Winter Clothes Adult])</f>
        <v>#REF!</v>
      </c>
      <c r="AM311" s="542"/>
      <c r="AN311" s="542"/>
      <c r="AO311" s="542"/>
      <c r="AP311" s="542">
        <f>IF(Table_NFI[[#This Row],[Winter Clothes Adult]]+Table_NFI[[#This Row],[Winter Clothes Children]]+Table_NFI[[#This Row],[Winter Items Other]]+Table_NFI[[#This Row],[Winter Blanket]]&gt;0,1,0)</f>
        <v>0</v>
      </c>
      <c r="AQ311" s="542"/>
      <c r="AR311" s="542"/>
      <c r="AS311" s="542"/>
      <c r="AT311" s="205" t="str">
        <f>IFERROR(VLOOKUP(Table_NFI[[#This Row],[Location]],CL,2,0),"")</f>
        <v>MMR001CMP246</v>
      </c>
      <c r="AU311" s="183"/>
    </row>
    <row r="312" spans="2:47" x14ac:dyDescent="0.3">
      <c r="B312" s="540">
        <v>43266</v>
      </c>
      <c r="C312" s="540" t="str">
        <f>MONTH(Table_NFI[[#This Row],[Distribution Date]]) &amp; "/" &amp; YEAR(Table_NFI[[#This Row],[Distribution Date]])</f>
        <v>6/2018</v>
      </c>
      <c r="D312" s="198" t="s">
        <v>420</v>
      </c>
      <c r="E312" s="198" t="s">
        <v>424</v>
      </c>
      <c r="F312" s="198" t="s">
        <v>378</v>
      </c>
      <c r="G312" s="197" t="s">
        <v>299</v>
      </c>
      <c r="H312" s="198" t="s">
        <v>1046</v>
      </c>
      <c r="I312" s="183"/>
      <c r="J312" s="541"/>
      <c r="K312" s="541"/>
      <c r="L312" s="541"/>
      <c r="M312" s="541"/>
      <c r="N312" s="541">
        <v>120</v>
      </c>
      <c r="O312" s="541"/>
      <c r="P312" s="541"/>
      <c r="Q312" s="541"/>
      <c r="R312" s="541"/>
      <c r="S312" s="541"/>
      <c r="T312" s="541"/>
      <c r="U312" s="541"/>
      <c r="V312" s="541"/>
      <c r="W312" s="541"/>
      <c r="X312" s="541"/>
      <c r="Y312" s="541"/>
      <c r="Z312" s="541">
        <v>60</v>
      </c>
      <c r="AA312" s="541"/>
      <c r="AB312" s="541"/>
      <c r="AC312" s="542" t="e">
        <f>IF(NFI_Expiration=1,IF(#REF!&lt;VLOOKUP(L$5,NFI,5,0),1,0)*Table_NFI[[#This Row],[NFI Core Kit]],Table_NFI[NFI Core Kit])</f>
        <v>#REF!</v>
      </c>
      <c r="AD312" s="542" t="e">
        <f>IF(NFI_Expiration=1,IF(#REF!&lt;VLOOKUP(M$5,NFI,5,0),1,0)*Table_NFI[[#This Row],[Sanitary Kit]],Table_NFI[Sanitary Kit])</f>
        <v>#REF!</v>
      </c>
      <c r="AE312" s="542" t="e">
        <f>IF(NFI_Expiration=1,IF(#REF!&lt;VLOOKUP(N$5,NFI,5,0),1,0)*Table_NFI[[#This Row],[Mosquito net]],Table_NFI[Mosquito net])</f>
        <v>#REF!</v>
      </c>
      <c r="AF312" s="542" t="e">
        <f>IF(NFI_Expiration=1,IF(#REF!&lt;VLOOKUP(O$5,NFI,5,0),1,0)*Table_NFI[[#This Row],[Tarpaulin]],Table_NFI[[#This Row],[Tarpaulin]])</f>
        <v>#REF!</v>
      </c>
      <c r="AG312" s="542" t="e">
        <f>IF(NFI_Expiration=1,IF(#REF!&lt;VLOOKUP(P$5,NFI,5,0),1,0)*Table_NFI[[#This Row],[Blanket]],Table_NFI[[#This Row],[Blanket]])</f>
        <v>#REF!</v>
      </c>
      <c r="AH312" s="542" t="e">
        <f>IF(NFI_Expiration=1,IF(#REF!&lt;VLOOKUP(Q$5,NFI,5,0),1,0)*Table_NFI[[#This Row],[Kitchen Set]],Table_NFI[Kitchen Set])</f>
        <v>#REF!</v>
      </c>
      <c r="AI312" s="542" t="e">
        <f>IF(NFI_Expiration=1,IF(#REF!&lt;VLOOKUP(R$5,NFI,5,0),1,0)*Table_NFI[[#This Row],[Clothes Kit]],Table_NFI[Clothes Kit])</f>
        <v>#REF!</v>
      </c>
      <c r="AJ312" s="542" t="e">
        <f>IF(NFI_Expiration=1,IF(#REF!&lt;VLOOKUP(S$5,NFI,5,0),1,0)*Table_NFI[[#This Row],[Plastic Bucket]],Table_NFI[Plastic Bucket])</f>
        <v>#REF!</v>
      </c>
      <c r="AK312" s="542" t="e">
        <f>IF(NFI_Expiration=1,IF(#REF!&lt;VLOOKUP(T$5,NFI,5,0),1,0)*Table_NFI[[#This Row],[Plastic Mat]],Table_NFI[Plastic Mat])*IF(Table_NFI[[#This Row],[Distribution Date]]&gt;"2014-04-01",1,2.5)</f>
        <v>#REF!</v>
      </c>
      <c r="AL312" s="542" t="e">
        <f>IF(NFI_Expiration=1,IF(#REF!&lt;VLOOKUP(U$5,NFI,5,0),1,0)*Table_NFI[[#This Row],[Winter Clothes Adult]],Table_NFI[Winter Clothes Adult])</f>
        <v>#REF!</v>
      </c>
      <c r="AM312" s="542"/>
      <c r="AN312" s="542"/>
      <c r="AO312" s="542"/>
      <c r="AP312" s="542">
        <f>IF(Table_NFI[[#This Row],[Winter Clothes Adult]]+Table_NFI[[#This Row],[Winter Clothes Children]]+Table_NFI[[#This Row],[Winter Items Other]]+Table_NFI[[#This Row],[Winter Blanket]]&gt;0,1,0)</f>
        <v>0</v>
      </c>
      <c r="AQ312" s="542"/>
      <c r="AR312" s="542"/>
      <c r="AS312" s="542"/>
      <c r="AT312" s="205" t="str">
        <f>IFERROR(VLOOKUP(Table_NFI[[#This Row],[Location]],CL,2,0),"")</f>
        <v>MMR001CMP234</v>
      </c>
      <c r="AU312" s="183"/>
    </row>
    <row r="313" spans="2:47" x14ac:dyDescent="0.3">
      <c r="B313" s="540">
        <v>43266</v>
      </c>
      <c r="C313" s="540" t="str">
        <f>MONTH(Table_NFI[[#This Row],[Distribution Date]]) &amp; "/" &amp; YEAR(Table_NFI[[#This Row],[Distribution Date]])</f>
        <v>6/2018</v>
      </c>
      <c r="D313" s="198" t="s">
        <v>420</v>
      </c>
      <c r="E313" s="198" t="s">
        <v>424</v>
      </c>
      <c r="F313" s="198" t="s">
        <v>378</v>
      </c>
      <c r="G313" s="197" t="s">
        <v>480</v>
      </c>
      <c r="H313" s="198" t="s">
        <v>140</v>
      </c>
      <c r="I313" s="183"/>
      <c r="J313" s="541"/>
      <c r="K313" s="541"/>
      <c r="L313" s="541"/>
      <c r="M313" s="541"/>
      <c r="N313" s="541"/>
      <c r="O313" s="541"/>
      <c r="P313" s="541"/>
      <c r="Q313" s="541"/>
      <c r="R313" s="541"/>
      <c r="S313" s="541"/>
      <c r="T313" s="541"/>
      <c r="U313" s="541"/>
      <c r="V313" s="541"/>
      <c r="W313" s="541"/>
      <c r="X313" s="541"/>
      <c r="Y313" s="541"/>
      <c r="Z313" s="541">
        <v>4</v>
      </c>
      <c r="AA313" s="541"/>
      <c r="AB313" s="541"/>
      <c r="AC313" s="542" t="e">
        <f>IF(NFI_Expiration=1,IF(#REF!&lt;VLOOKUP(L$5,NFI,5,0),1,0)*Table_NFI[[#This Row],[NFI Core Kit]],Table_NFI[NFI Core Kit])</f>
        <v>#REF!</v>
      </c>
      <c r="AD313" s="542" t="e">
        <f>IF(NFI_Expiration=1,IF(#REF!&lt;VLOOKUP(M$5,NFI,5,0),1,0)*Table_NFI[[#This Row],[Sanitary Kit]],Table_NFI[Sanitary Kit])</f>
        <v>#REF!</v>
      </c>
      <c r="AE313" s="542" t="e">
        <f>IF(NFI_Expiration=1,IF(#REF!&lt;VLOOKUP(N$5,NFI,5,0),1,0)*Table_NFI[[#This Row],[Mosquito net]],Table_NFI[Mosquito net])</f>
        <v>#REF!</v>
      </c>
      <c r="AF313" s="542" t="e">
        <f>IF(NFI_Expiration=1,IF(#REF!&lt;VLOOKUP(O$5,NFI,5,0),1,0)*Table_NFI[[#This Row],[Tarpaulin]],Table_NFI[[#This Row],[Tarpaulin]])</f>
        <v>#REF!</v>
      </c>
      <c r="AG313" s="542" t="e">
        <f>IF(NFI_Expiration=1,IF(#REF!&lt;VLOOKUP(P$5,NFI,5,0),1,0)*Table_NFI[[#This Row],[Blanket]],Table_NFI[[#This Row],[Blanket]])</f>
        <v>#REF!</v>
      </c>
      <c r="AH313" s="542" t="e">
        <f>IF(NFI_Expiration=1,IF(#REF!&lt;VLOOKUP(Q$5,NFI,5,0),1,0)*Table_NFI[[#This Row],[Kitchen Set]],Table_NFI[Kitchen Set])</f>
        <v>#REF!</v>
      </c>
      <c r="AI313" s="542" t="e">
        <f>IF(NFI_Expiration=1,IF(#REF!&lt;VLOOKUP(R$5,NFI,5,0),1,0)*Table_NFI[[#This Row],[Clothes Kit]],Table_NFI[Clothes Kit])</f>
        <v>#REF!</v>
      </c>
      <c r="AJ313" s="542" t="e">
        <f>IF(NFI_Expiration=1,IF(#REF!&lt;VLOOKUP(S$5,NFI,5,0),1,0)*Table_NFI[[#This Row],[Plastic Bucket]],Table_NFI[Plastic Bucket])</f>
        <v>#REF!</v>
      </c>
      <c r="AK313" s="542" t="e">
        <f>IF(NFI_Expiration=1,IF(#REF!&lt;VLOOKUP(T$5,NFI,5,0),1,0)*Table_NFI[[#This Row],[Plastic Mat]],Table_NFI[Plastic Mat])*IF(Table_NFI[[#This Row],[Distribution Date]]&gt;"2014-04-01",1,2.5)</f>
        <v>#REF!</v>
      </c>
      <c r="AL313" s="542" t="e">
        <f>IF(NFI_Expiration=1,IF(#REF!&lt;VLOOKUP(U$5,NFI,5,0),1,0)*Table_NFI[[#This Row],[Winter Clothes Adult]],Table_NFI[Winter Clothes Adult])</f>
        <v>#REF!</v>
      </c>
      <c r="AM313" s="542"/>
      <c r="AN313" s="542"/>
      <c r="AO313" s="542"/>
      <c r="AP313" s="542">
        <f>IF(Table_NFI[[#This Row],[Winter Clothes Adult]]+Table_NFI[[#This Row],[Winter Clothes Children]]+Table_NFI[[#This Row],[Winter Items Other]]+Table_NFI[[#This Row],[Winter Blanket]]&gt;0,1,0)</f>
        <v>0</v>
      </c>
      <c r="AQ313" s="542"/>
      <c r="AR313" s="542"/>
      <c r="AS313" s="542"/>
      <c r="AT313" s="205" t="str">
        <f>IFERROR(VLOOKUP(Table_NFI[[#This Row],[Location]],CL,2,0),"")</f>
        <v>MMR001CMP105</v>
      </c>
      <c r="AU313" s="183"/>
    </row>
    <row r="314" spans="2:47" x14ac:dyDescent="0.3">
      <c r="B314" s="540">
        <v>43266</v>
      </c>
      <c r="C314" s="540" t="str">
        <f>MONTH(Table_NFI[[#This Row],[Distribution Date]]) &amp; "/" &amp; YEAR(Table_NFI[[#This Row],[Distribution Date]])</f>
        <v>6/2018</v>
      </c>
      <c r="D314" s="198" t="s">
        <v>420</v>
      </c>
      <c r="E314" s="198" t="s">
        <v>424</v>
      </c>
      <c r="F314" s="198" t="s">
        <v>378</v>
      </c>
      <c r="G314" s="197" t="s">
        <v>480</v>
      </c>
      <c r="H314" s="198" t="s">
        <v>1279</v>
      </c>
      <c r="I314" s="183"/>
      <c r="J314" s="541"/>
      <c r="K314" s="541"/>
      <c r="L314" s="541"/>
      <c r="M314" s="541"/>
      <c r="N314" s="541"/>
      <c r="O314" s="541"/>
      <c r="P314" s="541"/>
      <c r="Q314" s="541"/>
      <c r="R314" s="541"/>
      <c r="S314" s="541"/>
      <c r="T314" s="541"/>
      <c r="U314" s="541"/>
      <c r="V314" s="541"/>
      <c r="W314" s="541"/>
      <c r="X314" s="541"/>
      <c r="Y314" s="541"/>
      <c r="Z314" s="541">
        <v>70</v>
      </c>
      <c r="AA314" s="541"/>
      <c r="AB314" s="541"/>
      <c r="AC314" s="542" t="e">
        <f>IF(NFI_Expiration=1,IF(#REF!&lt;VLOOKUP(L$5,NFI,5,0),1,0)*Table_NFI[[#This Row],[NFI Core Kit]],Table_NFI[NFI Core Kit])</f>
        <v>#REF!</v>
      </c>
      <c r="AD314" s="542" t="e">
        <f>IF(NFI_Expiration=1,IF(#REF!&lt;VLOOKUP(M$5,NFI,5,0),1,0)*Table_NFI[[#This Row],[Sanitary Kit]],Table_NFI[Sanitary Kit])</f>
        <v>#REF!</v>
      </c>
      <c r="AE314" s="542" t="e">
        <f>IF(NFI_Expiration=1,IF(#REF!&lt;VLOOKUP(N$5,NFI,5,0),1,0)*Table_NFI[[#This Row],[Mosquito net]],Table_NFI[Mosquito net])</f>
        <v>#REF!</v>
      </c>
      <c r="AF314" s="542" t="e">
        <f>IF(NFI_Expiration=1,IF(#REF!&lt;VLOOKUP(O$5,NFI,5,0),1,0)*Table_NFI[[#This Row],[Tarpaulin]],Table_NFI[[#This Row],[Tarpaulin]])</f>
        <v>#REF!</v>
      </c>
      <c r="AG314" s="542" t="e">
        <f>IF(NFI_Expiration=1,IF(#REF!&lt;VLOOKUP(P$5,NFI,5,0),1,0)*Table_NFI[[#This Row],[Blanket]],Table_NFI[[#This Row],[Blanket]])</f>
        <v>#REF!</v>
      </c>
      <c r="AH314" s="542" t="e">
        <f>IF(NFI_Expiration=1,IF(#REF!&lt;VLOOKUP(Q$5,NFI,5,0),1,0)*Table_NFI[[#This Row],[Kitchen Set]],Table_NFI[Kitchen Set])</f>
        <v>#REF!</v>
      </c>
      <c r="AI314" s="542" t="e">
        <f>IF(NFI_Expiration=1,IF(#REF!&lt;VLOOKUP(R$5,NFI,5,0),1,0)*Table_NFI[[#This Row],[Clothes Kit]],Table_NFI[Clothes Kit])</f>
        <v>#REF!</v>
      </c>
      <c r="AJ314" s="542" t="e">
        <f>IF(NFI_Expiration=1,IF(#REF!&lt;VLOOKUP(S$5,NFI,5,0),1,0)*Table_NFI[[#This Row],[Plastic Bucket]],Table_NFI[Plastic Bucket])</f>
        <v>#REF!</v>
      </c>
      <c r="AK314" s="542" t="e">
        <f>IF(NFI_Expiration=1,IF(#REF!&lt;VLOOKUP(T$5,NFI,5,0),1,0)*Table_NFI[[#This Row],[Plastic Mat]],Table_NFI[Plastic Mat])*IF(Table_NFI[[#This Row],[Distribution Date]]&gt;"2014-04-01",1,2.5)</f>
        <v>#REF!</v>
      </c>
      <c r="AL314" s="542" t="e">
        <f>IF(NFI_Expiration=1,IF(#REF!&lt;VLOOKUP(U$5,NFI,5,0),1,0)*Table_NFI[[#This Row],[Winter Clothes Adult]],Table_NFI[Winter Clothes Adult])</f>
        <v>#REF!</v>
      </c>
      <c r="AM314" s="542"/>
      <c r="AN314" s="542"/>
      <c r="AO314" s="542"/>
      <c r="AP314" s="542">
        <f>IF(Table_NFI[[#This Row],[Winter Clothes Adult]]+Table_NFI[[#This Row],[Winter Clothes Children]]+Table_NFI[[#This Row],[Winter Items Other]]+Table_NFI[[#This Row],[Winter Blanket]]&gt;0,1,0)</f>
        <v>0</v>
      </c>
      <c r="AQ314" s="542"/>
      <c r="AR314" s="542"/>
      <c r="AS314" s="542"/>
      <c r="AT314" s="205" t="str">
        <f>IFERROR(VLOOKUP(Table_NFI[[#This Row],[Location]],CL,2,0),"")</f>
        <v>MMR001CMP250</v>
      </c>
      <c r="AU314" s="183"/>
    </row>
    <row r="315" spans="2:47" x14ac:dyDescent="0.3">
      <c r="B315" s="540">
        <v>43266</v>
      </c>
      <c r="C315" s="540" t="str">
        <f>MONTH(Table_NFI[[#This Row],[Distribution Date]]) &amp; "/" &amp; YEAR(Table_NFI[[#This Row],[Distribution Date]])</f>
        <v>6/2018</v>
      </c>
      <c r="D315" s="198" t="s">
        <v>420</v>
      </c>
      <c r="E315" s="198" t="s">
        <v>424</v>
      </c>
      <c r="F315" s="198" t="s">
        <v>378</v>
      </c>
      <c r="G315" s="197" t="s">
        <v>480</v>
      </c>
      <c r="H315" s="198" t="s">
        <v>52</v>
      </c>
      <c r="I315" s="183"/>
      <c r="J315" s="541"/>
      <c r="K315" s="541"/>
      <c r="L315" s="541"/>
      <c r="M315" s="541"/>
      <c r="N315" s="541"/>
      <c r="O315" s="541"/>
      <c r="P315" s="541"/>
      <c r="Q315" s="541"/>
      <c r="R315" s="541"/>
      <c r="S315" s="541"/>
      <c r="T315" s="541"/>
      <c r="U315" s="541"/>
      <c r="V315" s="541"/>
      <c r="W315" s="541"/>
      <c r="X315" s="541"/>
      <c r="Y315" s="541"/>
      <c r="Z315" s="541">
        <v>25</v>
      </c>
      <c r="AA315" s="541"/>
      <c r="AB315" s="541"/>
      <c r="AC315" s="542" t="e">
        <f>IF(NFI_Expiration=1,IF(#REF!&lt;VLOOKUP(L$5,NFI,5,0),1,0)*Table_NFI[[#This Row],[NFI Core Kit]],Table_NFI[NFI Core Kit])</f>
        <v>#REF!</v>
      </c>
      <c r="AD315" s="542" t="e">
        <f>IF(NFI_Expiration=1,IF(#REF!&lt;VLOOKUP(M$5,NFI,5,0),1,0)*Table_NFI[[#This Row],[Sanitary Kit]],Table_NFI[Sanitary Kit])</f>
        <v>#REF!</v>
      </c>
      <c r="AE315" s="542" t="e">
        <f>IF(NFI_Expiration=1,IF(#REF!&lt;VLOOKUP(N$5,NFI,5,0),1,0)*Table_NFI[[#This Row],[Mosquito net]],Table_NFI[Mosquito net])</f>
        <v>#REF!</v>
      </c>
      <c r="AF315" s="542" t="e">
        <f>IF(NFI_Expiration=1,IF(#REF!&lt;VLOOKUP(O$5,NFI,5,0),1,0)*Table_NFI[[#This Row],[Tarpaulin]],Table_NFI[[#This Row],[Tarpaulin]])</f>
        <v>#REF!</v>
      </c>
      <c r="AG315" s="542" t="e">
        <f>IF(NFI_Expiration=1,IF(#REF!&lt;VLOOKUP(P$5,NFI,5,0),1,0)*Table_NFI[[#This Row],[Blanket]],Table_NFI[[#This Row],[Blanket]])</f>
        <v>#REF!</v>
      </c>
      <c r="AH315" s="542" t="e">
        <f>IF(NFI_Expiration=1,IF(#REF!&lt;VLOOKUP(Q$5,NFI,5,0),1,0)*Table_NFI[[#This Row],[Kitchen Set]],Table_NFI[Kitchen Set])</f>
        <v>#REF!</v>
      </c>
      <c r="AI315" s="542" t="e">
        <f>IF(NFI_Expiration=1,IF(#REF!&lt;VLOOKUP(R$5,NFI,5,0),1,0)*Table_NFI[[#This Row],[Clothes Kit]],Table_NFI[Clothes Kit])</f>
        <v>#REF!</v>
      </c>
      <c r="AJ315" s="542" t="e">
        <f>IF(NFI_Expiration=1,IF(#REF!&lt;VLOOKUP(S$5,NFI,5,0),1,0)*Table_NFI[[#This Row],[Plastic Bucket]],Table_NFI[Plastic Bucket])</f>
        <v>#REF!</v>
      </c>
      <c r="AK315" s="542" t="e">
        <f>IF(NFI_Expiration=1,IF(#REF!&lt;VLOOKUP(T$5,NFI,5,0),1,0)*Table_NFI[[#This Row],[Plastic Mat]],Table_NFI[Plastic Mat])*IF(Table_NFI[[#This Row],[Distribution Date]]&gt;"2014-04-01",1,2.5)</f>
        <v>#REF!</v>
      </c>
      <c r="AL315" s="542" t="e">
        <f>IF(NFI_Expiration=1,IF(#REF!&lt;VLOOKUP(U$5,NFI,5,0),1,0)*Table_NFI[[#This Row],[Winter Clothes Adult]],Table_NFI[Winter Clothes Adult])</f>
        <v>#REF!</v>
      </c>
      <c r="AM315" s="542"/>
      <c r="AN315" s="542"/>
      <c r="AO315" s="542"/>
      <c r="AP315" s="542">
        <f>IF(Table_NFI[[#This Row],[Winter Clothes Adult]]+Table_NFI[[#This Row],[Winter Clothes Children]]+Table_NFI[[#This Row],[Winter Items Other]]+Table_NFI[[#This Row],[Winter Blanket]]&gt;0,1,0)</f>
        <v>0</v>
      </c>
      <c r="AQ315" s="542"/>
      <c r="AR315" s="542"/>
      <c r="AS315" s="542"/>
      <c r="AT315" s="205" t="str">
        <f>IFERROR(VLOOKUP(Table_NFI[[#This Row],[Location]],CL,2,0),"")</f>
        <v>MMR001CMP169</v>
      </c>
      <c r="AU315" s="183"/>
    </row>
    <row r="316" spans="2:47" x14ac:dyDescent="0.3">
      <c r="B316" s="540">
        <v>43266</v>
      </c>
      <c r="C316" s="540" t="str">
        <f>MONTH(Table_NFI[[#This Row],[Distribution Date]]) &amp; "/" &amp; YEAR(Table_NFI[[#This Row],[Distribution Date]])</f>
        <v>6/2018</v>
      </c>
      <c r="D316" s="198" t="s">
        <v>420</v>
      </c>
      <c r="E316" s="198" t="s">
        <v>424</v>
      </c>
      <c r="F316" s="198" t="s">
        <v>378</v>
      </c>
      <c r="G316" s="197" t="s">
        <v>480</v>
      </c>
      <c r="H316" s="198" t="s">
        <v>915</v>
      </c>
      <c r="I316" s="183"/>
      <c r="J316" s="541"/>
      <c r="K316" s="541"/>
      <c r="L316" s="541"/>
      <c r="M316" s="541"/>
      <c r="N316" s="541"/>
      <c r="O316" s="541"/>
      <c r="P316" s="541"/>
      <c r="Q316" s="541"/>
      <c r="R316" s="541"/>
      <c r="S316" s="541"/>
      <c r="T316" s="541"/>
      <c r="U316" s="541"/>
      <c r="V316" s="541"/>
      <c r="W316" s="541"/>
      <c r="X316" s="541"/>
      <c r="Y316" s="541"/>
      <c r="Z316" s="541">
        <v>42</v>
      </c>
      <c r="AA316" s="541"/>
      <c r="AB316" s="541"/>
      <c r="AC316" s="542" t="e">
        <f>IF(NFI_Expiration=1,IF(#REF!&lt;VLOOKUP(L$5,NFI,5,0),1,0)*Table_NFI[[#This Row],[NFI Core Kit]],Table_NFI[NFI Core Kit])</f>
        <v>#REF!</v>
      </c>
      <c r="AD316" s="542" t="e">
        <f>IF(NFI_Expiration=1,IF(#REF!&lt;VLOOKUP(M$5,NFI,5,0),1,0)*Table_NFI[[#This Row],[Sanitary Kit]],Table_NFI[Sanitary Kit])</f>
        <v>#REF!</v>
      </c>
      <c r="AE316" s="542" t="e">
        <f>IF(NFI_Expiration=1,IF(#REF!&lt;VLOOKUP(N$5,NFI,5,0),1,0)*Table_NFI[[#This Row],[Mosquito net]],Table_NFI[Mosquito net])</f>
        <v>#REF!</v>
      </c>
      <c r="AF316" s="542" t="e">
        <f>IF(NFI_Expiration=1,IF(#REF!&lt;VLOOKUP(O$5,NFI,5,0),1,0)*Table_NFI[[#This Row],[Tarpaulin]],Table_NFI[[#This Row],[Tarpaulin]])</f>
        <v>#REF!</v>
      </c>
      <c r="AG316" s="542" t="e">
        <f>IF(NFI_Expiration=1,IF(#REF!&lt;VLOOKUP(P$5,NFI,5,0),1,0)*Table_NFI[[#This Row],[Blanket]],Table_NFI[[#This Row],[Blanket]])</f>
        <v>#REF!</v>
      </c>
      <c r="AH316" s="542" t="e">
        <f>IF(NFI_Expiration=1,IF(#REF!&lt;VLOOKUP(Q$5,NFI,5,0),1,0)*Table_NFI[[#This Row],[Kitchen Set]],Table_NFI[Kitchen Set])</f>
        <v>#REF!</v>
      </c>
      <c r="AI316" s="542" t="e">
        <f>IF(NFI_Expiration=1,IF(#REF!&lt;VLOOKUP(R$5,NFI,5,0),1,0)*Table_NFI[[#This Row],[Clothes Kit]],Table_NFI[Clothes Kit])</f>
        <v>#REF!</v>
      </c>
      <c r="AJ316" s="542" t="e">
        <f>IF(NFI_Expiration=1,IF(#REF!&lt;VLOOKUP(S$5,NFI,5,0),1,0)*Table_NFI[[#This Row],[Plastic Bucket]],Table_NFI[Plastic Bucket])</f>
        <v>#REF!</v>
      </c>
      <c r="AK316" s="542" t="e">
        <f>IF(NFI_Expiration=1,IF(#REF!&lt;VLOOKUP(T$5,NFI,5,0),1,0)*Table_NFI[[#This Row],[Plastic Mat]],Table_NFI[Plastic Mat])*IF(Table_NFI[[#This Row],[Distribution Date]]&gt;"2014-04-01",1,2.5)</f>
        <v>#REF!</v>
      </c>
      <c r="AL316" s="542" t="e">
        <f>IF(NFI_Expiration=1,IF(#REF!&lt;VLOOKUP(U$5,NFI,5,0),1,0)*Table_NFI[[#This Row],[Winter Clothes Adult]],Table_NFI[Winter Clothes Adult])</f>
        <v>#REF!</v>
      </c>
      <c r="AM316" s="542"/>
      <c r="AN316" s="542"/>
      <c r="AO316" s="542"/>
      <c r="AP316" s="542">
        <f>IF(Table_NFI[[#This Row],[Winter Clothes Adult]]+Table_NFI[[#This Row],[Winter Clothes Children]]+Table_NFI[[#This Row],[Winter Items Other]]+Table_NFI[[#This Row],[Winter Blanket]]&gt;0,1,0)</f>
        <v>0</v>
      </c>
      <c r="AQ316" s="542"/>
      <c r="AR316" s="542"/>
      <c r="AS316" s="542"/>
      <c r="AT316" s="205" t="str">
        <f>IFERROR(VLOOKUP(Table_NFI[[#This Row],[Location]],CL,2,0),"")</f>
        <v>MMR001CMP229</v>
      </c>
      <c r="AU316" s="183"/>
    </row>
    <row r="317" spans="2:47" x14ac:dyDescent="0.3">
      <c r="B317" s="540">
        <v>43266</v>
      </c>
      <c r="C317" s="540" t="str">
        <f>MONTH(Table_NFI[[#This Row],[Distribution Date]]) &amp; "/" &amp; YEAR(Table_NFI[[#This Row],[Distribution Date]])</f>
        <v>6/2018</v>
      </c>
      <c r="D317" s="198" t="s">
        <v>420</v>
      </c>
      <c r="E317" s="198" t="s">
        <v>424</v>
      </c>
      <c r="F317" s="198" t="s">
        <v>378</v>
      </c>
      <c r="G317" s="197" t="s">
        <v>480</v>
      </c>
      <c r="H317" s="198" t="s">
        <v>126</v>
      </c>
      <c r="I317" s="183"/>
      <c r="J317" s="541"/>
      <c r="K317" s="541"/>
      <c r="L317" s="541"/>
      <c r="M317" s="541"/>
      <c r="N317" s="541"/>
      <c r="O317" s="541"/>
      <c r="P317" s="541"/>
      <c r="Q317" s="541"/>
      <c r="R317" s="541"/>
      <c r="S317" s="541"/>
      <c r="T317" s="541"/>
      <c r="U317" s="541"/>
      <c r="V317" s="541"/>
      <c r="W317" s="541"/>
      <c r="X317" s="541"/>
      <c r="Y317" s="541"/>
      <c r="Z317" s="541">
        <v>16</v>
      </c>
      <c r="AA317" s="541"/>
      <c r="AB317" s="541"/>
      <c r="AC317" s="542" t="e">
        <f>IF(NFI_Expiration=1,IF(#REF!&lt;VLOOKUP(L$5,NFI,5,0),1,0)*Table_NFI[[#This Row],[NFI Core Kit]],Table_NFI[NFI Core Kit])</f>
        <v>#REF!</v>
      </c>
      <c r="AD317" s="542" t="e">
        <f>IF(NFI_Expiration=1,IF(#REF!&lt;VLOOKUP(M$5,NFI,5,0),1,0)*Table_NFI[[#This Row],[Sanitary Kit]],Table_NFI[Sanitary Kit])</f>
        <v>#REF!</v>
      </c>
      <c r="AE317" s="542" t="e">
        <f>IF(NFI_Expiration=1,IF(#REF!&lt;VLOOKUP(N$5,NFI,5,0),1,0)*Table_NFI[[#This Row],[Mosquito net]],Table_NFI[Mosquito net])</f>
        <v>#REF!</v>
      </c>
      <c r="AF317" s="542" t="e">
        <f>IF(NFI_Expiration=1,IF(#REF!&lt;VLOOKUP(O$5,NFI,5,0),1,0)*Table_NFI[[#This Row],[Tarpaulin]],Table_NFI[[#This Row],[Tarpaulin]])</f>
        <v>#REF!</v>
      </c>
      <c r="AG317" s="542" t="e">
        <f>IF(NFI_Expiration=1,IF(#REF!&lt;VLOOKUP(P$5,NFI,5,0),1,0)*Table_NFI[[#This Row],[Blanket]],Table_NFI[[#This Row],[Blanket]])</f>
        <v>#REF!</v>
      </c>
      <c r="AH317" s="542" t="e">
        <f>IF(NFI_Expiration=1,IF(#REF!&lt;VLOOKUP(Q$5,NFI,5,0),1,0)*Table_NFI[[#This Row],[Kitchen Set]],Table_NFI[Kitchen Set])</f>
        <v>#REF!</v>
      </c>
      <c r="AI317" s="542" t="e">
        <f>IF(NFI_Expiration=1,IF(#REF!&lt;VLOOKUP(R$5,NFI,5,0),1,0)*Table_NFI[[#This Row],[Clothes Kit]],Table_NFI[Clothes Kit])</f>
        <v>#REF!</v>
      </c>
      <c r="AJ317" s="542" t="e">
        <f>IF(NFI_Expiration=1,IF(#REF!&lt;VLOOKUP(S$5,NFI,5,0),1,0)*Table_NFI[[#This Row],[Plastic Bucket]],Table_NFI[Plastic Bucket])</f>
        <v>#REF!</v>
      </c>
      <c r="AK317" s="542" t="e">
        <f>IF(NFI_Expiration=1,IF(#REF!&lt;VLOOKUP(T$5,NFI,5,0),1,0)*Table_NFI[[#This Row],[Plastic Mat]],Table_NFI[Plastic Mat])*IF(Table_NFI[[#This Row],[Distribution Date]]&gt;"2014-04-01",1,2.5)</f>
        <v>#REF!</v>
      </c>
      <c r="AL317" s="542" t="e">
        <f>IF(NFI_Expiration=1,IF(#REF!&lt;VLOOKUP(U$5,NFI,5,0),1,0)*Table_NFI[[#This Row],[Winter Clothes Adult]],Table_NFI[Winter Clothes Adult])</f>
        <v>#REF!</v>
      </c>
      <c r="AM317" s="542"/>
      <c r="AN317" s="542"/>
      <c r="AO317" s="542"/>
      <c r="AP317" s="542">
        <f>IF(Table_NFI[[#This Row],[Winter Clothes Adult]]+Table_NFI[[#This Row],[Winter Clothes Children]]+Table_NFI[[#This Row],[Winter Items Other]]+Table_NFI[[#This Row],[Winter Blanket]]&gt;0,1,0)</f>
        <v>0</v>
      </c>
      <c r="AQ317" s="542"/>
      <c r="AR317" s="542"/>
      <c r="AS317" s="542"/>
      <c r="AT317" s="205" t="str">
        <f>IFERROR(VLOOKUP(Table_NFI[[#This Row],[Location]],CL,2,0),"")</f>
        <v>MMR001CMP184</v>
      </c>
      <c r="AU317" s="183"/>
    </row>
    <row r="318" spans="2:47" x14ac:dyDescent="0.3">
      <c r="B318" s="540">
        <v>43266</v>
      </c>
      <c r="C318" s="540" t="str">
        <f>MONTH(Table_NFI[[#This Row],[Distribution Date]]) &amp; "/" &amp; YEAR(Table_NFI[[#This Row],[Distribution Date]])</f>
        <v>6/2018</v>
      </c>
      <c r="D318" s="198" t="s">
        <v>420</v>
      </c>
      <c r="E318" s="198" t="s">
        <v>424</v>
      </c>
      <c r="F318" s="198" t="s">
        <v>378</v>
      </c>
      <c r="G318" s="197" t="s">
        <v>309</v>
      </c>
      <c r="H318" s="198" t="s">
        <v>345</v>
      </c>
      <c r="I318" s="183"/>
      <c r="J318" s="541"/>
      <c r="K318" s="541"/>
      <c r="L318" s="541"/>
      <c r="M318" s="541"/>
      <c r="N318" s="541"/>
      <c r="O318" s="541"/>
      <c r="P318" s="541"/>
      <c r="Q318" s="541"/>
      <c r="R318" s="541"/>
      <c r="S318" s="541"/>
      <c r="T318" s="541"/>
      <c r="U318" s="541"/>
      <c r="V318" s="541"/>
      <c r="W318" s="541"/>
      <c r="X318" s="541"/>
      <c r="Y318" s="541"/>
      <c r="Z318" s="541">
        <v>179</v>
      </c>
      <c r="AA318" s="541"/>
      <c r="AB318" s="541"/>
      <c r="AC318" s="542" t="e">
        <f>IF(NFI_Expiration=1,IF(#REF!&lt;VLOOKUP(L$5,NFI,5,0),1,0)*Table_NFI[[#This Row],[NFI Core Kit]],Table_NFI[NFI Core Kit])</f>
        <v>#REF!</v>
      </c>
      <c r="AD318" s="542" t="e">
        <f>IF(NFI_Expiration=1,IF(#REF!&lt;VLOOKUP(M$5,NFI,5,0),1,0)*Table_NFI[[#This Row],[Sanitary Kit]],Table_NFI[Sanitary Kit])</f>
        <v>#REF!</v>
      </c>
      <c r="AE318" s="542" t="e">
        <f>IF(NFI_Expiration=1,IF(#REF!&lt;VLOOKUP(N$5,NFI,5,0),1,0)*Table_NFI[[#This Row],[Mosquito net]],Table_NFI[Mosquito net])</f>
        <v>#REF!</v>
      </c>
      <c r="AF318" s="542" t="e">
        <f>IF(NFI_Expiration=1,IF(#REF!&lt;VLOOKUP(O$5,NFI,5,0),1,0)*Table_NFI[[#This Row],[Tarpaulin]],Table_NFI[[#This Row],[Tarpaulin]])</f>
        <v>#REF!</v>
      </c>
      <c r="AG318" s="542" t="e">
        <f>IF(NFI_Expiration=1,IF(#REF!&lt;VLOOKUP(P$5,NFI,5,0),1,0)*Table_NFI[[#This Row],[Blanket]],Table_NFI[[#This Row],[Blanket]])</f>
        <v>#REF!</v>
      </c>
      <c r="AH318" s="542" t="e">
        <f>IF(NFI_Expiration=1,IF(#REF!&lt;VLOOKUP(Q$5,NFI,5,0),1,0)*Table_NFI[[#This Row],[Kitchen Set]],Table_NFI[Kitchen Set])</f>
        <v>#REF!</v>
      </c>
      <c r="AI318" s="542" t="e">
        <f>IF(NFI_Expiration=1,IF(#REF!&lt;VLOOKUP(R$5,NFI,5,0),1,0)*Table_NFI[[#This Row],[Clothes Kit]],Table_NFI[Clothes Kit])</f>
        <v>#REF!</v>
      </c>
      <c r="AJ318" s="542" t="e">
        <f>IF(NFI_Expiration=1,IF(#REF!&lt;VLOOKUP(S$5,NFI,5,0),1,0)*Table_NFI[[#This Row],[Plastic Bucket]],Table_NFI[Plastic Bucket])</f>
        <v>#REF!</v>
      </c>
      <c r="AK318" s="542" t="e">
        <f>IF(NFI_Expiration=1,IF(#REF!&lt;VLOOKUP(T$5,NFI,5,0),1,0)*Table_NFI[[#This Row],[Plastic Mat]],Table_NFI[Plastic Mat])*IF(Table_NFI[[#This Row],[Distribution Date]]&gt;"2014-04-01",1,2.5)</f>
        <v>#REF!</v>
      </c>
      <c r="AL318" s="542" t="e">
        <f>IF(NFI_Expiration=1,IF(#REF!&lt;VLOOKUP(U$5,NFI,5,0),1,0)*Table_NFI[[#This Row],[Winter Clothes Adult]],Table_NFI[Winter Clothes Adult])</f>
        <v>#REF!</v>
      </c>
      <c r="AM318" s="542"/>
      <c r="AN318" s="542"/>
      <c r="AO318" s="542"/>
      <c r="AP318" s="542">
        <f>IF(Table_NFI[[#This Row],[Winter Clothes Adult]]+Table_NFI[[#This Row],[Winter Clothes Children]]+Table_NFI[[#This Row],[Winter Items Other]]+Table_NFI[[#This Row],[Winter Blanket]]&gt;0,1,0)</f>
        <v>0</v>
      </c>
      <c r="AQ318" s="542"/>
      <c r="AR318" s="542"/>
      <c r="AS318" s="542"/>
      <c r="AT318" s="205" t="str">
        <f>IFERROR(VLOOKUP(Table_NFI[[#This Row],[Location]],CL,2,0),"")</f>
        <v>MMR001CMP041</v>
      </c>
      <c r="AU318" s="183"/>
    </row>
    <row r="319" spans="2:47" x14ac:dyDescent="0.3">
      <c r="B319" s="540">
        <v>43266</v>
      </c>
      <c r="C319" s="540" t="str">
        <f>MONTH(Table_NFI[[#This Row],[Distribution Date]]) &amp; "/" &amp; YEAR(Table_NFI[[#This Row],[Distribution Date]])</f>
        <v>6/2018</v>
      </c>
      <c r="D319" s="198" t="s">
        <v>420</v>
      </c>
      <c r="E319" s="198" t="s">
        <v>424</v>
      </c>
      <c r="F319" s="198" t="s">
        <v>378</v>
      </c>
      <c r="G319" s="197" t="s">
        <v>746</v>
      </c>
      <c r="H319" s="198" t="s">
        <v>1068</v>
      </c>
      <c r="I319" s="183"/>
      <c r="J319" s="541"/>
      <c r="K319" s="541"/>
      <c r="L319" s="541"/>
      <c r="M319" s="541"/>
      <c r="N319" s="541"/>
      <c r="O319" s="541"/>
      <c r="P319" s="541"/>
      <c r="Q319" s="541"/>
      <c r="R319" s="541"/>
      <c r="S319" s="541"/>
      <c r="T319" s="541"/>
      <c r="U319" s="541"/>
      <c r="V319" s="541"/>
      <c r="W319" s="541"/>
      <c r="X319" s="541"/>
      <c r="Y319" s="541"/>
      <c r="Z319" s="541">
        <v>67</v>
      </c>
      <c r="AA319" s="541"/>
      <c r="AB319" s="541"/>
      <c r="AC319" s="542" t="e">
        <f>IF(NFI_Expiration=1,IF(#REF!&lt;VLOOKUP(L$5,NFI,5,0),1,0)*Table_NFI[[#This Row],[NFI Core Kit]],Table_NFI[NFI Core Kit])</f>
        <v>#REF!</v>
      </c>
      <c r="AD319" s="542" t="e">
        <f>IF(NFI_Expiration=1,IF(#REF!&lt;VLOOKUP(M$5,NFI,5,0),1,0)*Table_NFI[[#This Row],[Sanitary Kit]],Table_NFI[Sanitary Kit])</f>
        <v>#REF!</v>
      </c>
      <c r="AE319" s="542" t="e">
        <f>IF(NFI_Expiration=1,IF(#REF!&lt;VLOOKUP(N$5,NFI,5,0),1,0)*Table_NFI[[#This Row],[Mosquito net]],Table_NFI[Mosquito net])</f>
        <v>#REF!</v>
      </c>
      <c r="AF319" s="542" t="e">
        <f>IF(NFI_Expiration=1,IF(#REF!&lt;VLOOKUP(O$5,NFI,5,0),1,0)*Table_NFI[[#This Row],[Tarpaulin]],Table_NFI[[#This Row],[Tarpaulin]])</f>
        <v>#REF!</v>
      </c>
      <c r="AG319" s="542" t="e">
        <f>IF(NFI_Expiration=1,IF(#REF!&lt;VLOOKUP(P$5,NFI,5,0),1,0)*Table_NFI[[#This Row],[Blanket]],Table_NFI[[#This Row],[Blanket]])</f>
        <v>#REF!</v>
      </c>
      <c r="AH319" s="542" t="e">
        <f>IF(NFI_Expiration=1,IF(#REF!&lt;VLOOKUP(Q$5,NFI,5,0),1,0)*Table_NFI[[#This Row],[Kitchen Set]],Table_NFI[Kitchen Set])</f>
        <v>#REF!</v>
      </c>
      <c r="AI319" s="542" t="e">
        <f>IF(NFI_Expiration=1,IF(#REF!&lt;VLOOKUP(R$5,NFI,5,0),1,0)*Table_NFI[[#This Row],[Clothes Kit]],Table_NFI[Clothes Kit])</f>
        <v>#REF!</v>
      </c>
      <c r="AJ319" s="542" t="e">
        <f>IF(NFI_Expiration=1,IF(#REF!&lt;VLOOKUP(S$5,NFI,5,0),1,0)*Table_NFI[[#This Row],[Plastic Bucket]],Table_NFI[Plastic Bucket])</f>
        <v>#REF!</v>
      </c>
      <c r="AK319" s="542" t="e">
        <f>IF(NFI_Expiration=1,IF(#REF!&lt;VLOOKUP(T$5,NFI,5,0),1,0)*Table_NFI[[#This Row],[Plastic Mat]],Table_NFI[Plastic Mat])*IF(Table_NFI[[#This Row],[Distribution Date]]&gt;"2014-04-01",1,2.5)</f>
        <v>#REF!</v>
      </c>
      <c r="AL319" s="542" t="e">
        <f>IF(NFI_Expiration=1,IF(#REF!&lt;VLOOKUP(U$5,NFI,5,0),1,0)*Table_NFI[[#This Row],[Winter Clothes Adult]],Table_NFI[Winter Clothes Adult])</f>
        <v>#REF!</v>
      </c>
      <c r="AM319" s="542"/>
      <c r="AN319" s="542"/>
      <c r="AO319" s="542"/>
      <c r="AP319" s="542">
        <f>IF(Table_NFI[[#This Row],[Winter Clothes Adult]]+Table_NFI[[#This Row],[Winter Clothes Children]]+Table_NFI[[#This Row],[Winter Items Other]]+Table_NFI[[#This Row],[Winter Blanket]]&gt;0,1,0)</f>
        <v>0</v>
      </c>
      <c r="AQ319" s="542"/>
      <c r="AR319" s="542"/>
      <c r="AS319" s="542"/>
      <c r="AT319" s="205" t="str">
        <f>IFERROR(VLOOKUP(Table_NFI[[#This Row],[Location]],CL,2,0),"")</f>
        <v>MMR001CMP239</v>
      </c>
      <c r="AU319" s="183"/>
    </row>
    <row r="320" spans="2:47" x14ac:dyDescent="0.3">
      <c r="B320" s="540">
        <v>43266</v>
      </c>
      <c r="C320" s="540" t="str">
        <f>MONTH(Table_NFI[[#This Row],[Distribution Date]]) &amp; "/" &amp; YEAR(Table_NFI[[#This Row],[Distribution Date]])</f>
        <v>6/2018</v>
      </c>
      <c r="D320" s="198" t="s">
        <v>420</v>
      </c>
      <c r="E320" s="198" t="s">
        <v>424</v>
      </c>
      <c r="F320" s="198" t="s">
        <v>378</v>
      </c>
      <c r="G320" s="197" t="s">
        <v>746</v>
      </c>
      <c r="H320" s="198" t="s">
        <v>1066</v>
      </c>
      <c r="I320" s="183"/>
      <c r="J320" s="541"/>
      <c r="K320" s="541"/>
      <c r="L320" s="541"/>
      <c r="M320" s="541"/>
      <c r="N320" s="541"/>
      <c r="O320" s="541"/>
      <c r="P320" s="541"/>
      <c r="Q320" s="541"/>
      <c r="R320" s="541"/>
      <c r="S320" s="541"/>
      <c r="T320" s="541"/>
      <c r="U320" s="541"/>
      <c r="V320" s="541"/>
      <c r="W320" s="541"/>
      <c r="X320" s="541"/>
      <c r="Y320" s="541"/>
      <c r="Z320" s="541">
        <v>123</v>
      </c>
      <c r="AA320" s="541"/>
      <c r="AB320" s="541"/>
      <c r="AC320" s="542" t="e">
        <f>IF(NFI_Expiration=1,IF(#REF!&lt;VLOOKUP(L$5,NFI,5,0),1,0)*Table_NFI[[#This Row],[NFI Core Kit]],Table_NFI[NFI Core Kit])</f>
        <v>#REF!</v>
      </c>
      <c r="AD320" s="542" t="e">
        <f>IF(NFI_Expiration=1,IF(#REF!&lt;VLOOKUP(M$5,NFI,5,0),1,0)*Table_NFI[[#This Row],[Sanitary Kit]],Table_NFI[Sanitary Kit])</f>
        <v>#REF!</v>
      </c>
      <c r="AE320" s="542" t="e">
        <f>IF(NFI_Expiration=1,IF(#REF!&lt;VLOOKUP(N$5,NFI,5,0),1,0)*Table_NFI[[#This Row],[Mosquito net]],Table_NFI[Mosquito net])</f>
        <v>#REF!</v>
      </c>
      <c r="AF320" s="542" t="e">
        <f>IF(NFI_Expiration=1,IF(#REF!&lt;VLOOKUP(O$5,NFI,5,0),1,0)*Table_NFI[[#This Row],[Tarpaulin]],Table_NFI[[#This Row],[Tarpaulin]])</f>
        <v>#REF!</v>
      </c>
      <c r="AG320" s="542" t="e">
        <f>IF(NFI_Expiration=1,IF(#REF!&lt;VLOOKUP(P$5,NFI,5,0),1,0)*Table_NFI[[#This Row],[Blanket]],Table_NFI[[#This Row],[Blanket]])</f>
        <v>#REF!</v>
      </c>
      <c r="AH320" s="542" t="e">
        <f>IF(NFI_Expiration=1,IF(#REF!&lt;VLOOKUP(Q$5,NFI,5,0),1,0)*Table_NFI[[#This Row],[Kitchen Set]],Table_NFI[Kitchen Set])</f>
        <v>#REF!</v>
      </c>
      <c r="AI320" s="542" t="e">
        <f>IF(NFI_Expiration=1,IF(#REF!&lt;VLOOKUP(R$5,NFI,5,0),1,0)*Table_NFI[[#This Row],[Clothes Kit]],Table_NFI[Clothes Kit])</f>
        <v>#REF!</v>
      </c>
      <c r="AJ320" s="542" t="e">
        <f>IF(NFI_Expiration=1,IF(#REF!&lt;VLOOKUP(S$5,NFI,5,0),1,0)*Table_NFI[[#This Row],[Plastic Bucket]],Table_NFI[Plastic Bucket])</f>
        <v>#REF!</v>
      </c>
      <c r="AK320" s="542" t="e">
        <f>IF(NFI_Expiration=1,IF(#REF!&lt;VLOOKUP(T$5,NFI,5,0),1,0)*Table_NFI[[#This Row],[Plastic Mat]],Table_NFI[Plastic Mat])*IF(Table_NFI[[#This Row],[Distribution Date]]&gt;"2014-04-01",1,2.5)</f>
        <v>#REF!</v>
      </c>
      <c r="AL320" s="542" t="e">
        <f>IF(NFI_Expiration=1,IF(#REF!&lt;VLOOKUP(U$5,NFI,5,0),1,0)*Table_NFI[[#This Row],[Winter Clothes Adult]],Table_NFI[Winter Clothes Adult])</f>
        <v>#REF!</v>
      </c>
      <c r="AM320" s="542"/>
      <c r="AN320" s="542"/>
      <c r="AO320" s="542"/>
      <c r="AP320" s="542">
        <f>IF(Table_NFI[[#This Row],[Winter Clothes Adult]]+Table_NFI[[#This Row],[Winter Clothes Children]]+Table_NFI[[#This Row],[Winter Items Other]]+Table_NFI[[#This Row],[Winter Blanket]]&gt;0,1,0)</f>
        <v>0</v>
      </c>
      <c r="AQ320" s="542"/>
      <c r="AR320" s="542"/>
      <c r="AS320" s="542"/>
      <c r="AT320" s="205" t="str">
        <f>IFERROR(VLOOKUP(Table_NFI[[#This Row],[Location]],CL,2,0),"")</f>
        <v>MMR001CMP238</v>
      </c>
      <c r="AU320" s="183"/>
    </row>
    <row r="321" spans="2:47" x14ac:dyDescent="0.3">
      <c r="B321" s="540">
        <v>43266</v>
      </c>
      <c r="C321" s="540" t="str">
        <f>MONTH(Table_NFI[[#This Row],[Distribution Date]]) &amp; "/" &amp; YEAR(Table_NFI[[#This Row],[Distribution Date]])</f>
        <v>6/2018</v>
      </c>
      <c r="D321" s="198" t="s">
        <v>420</v>
      </c>
      <c r="E321" s="198" t="s">
        <v>424</v>
      </c>
      <c r="F321" s="198" t="s">
        <v>506</v>
      </c>
      <c r="G321" s="197" t="s">
        <v>146</v>
      </c>
      <c r="H321" s="198" t="s">
        <v>1618</v>
      </c>
      <c r="I321" s="183"/>
      <c r="J321" s="541"/>
      <c r="K321" s="541"/>
      <c r="L321" s="541"/>
      <c r="M321" s="541"/>
      <c r="N321" s="541"/>
      <c r="O321" s="541"/>
      <c r="P321" s="541"/>
      <c r="Q321" s="541"/>
      <c r="R321" s="541"/>
      <c r="S321" s="541"/>
      <c r="T321" s="541"/>
      <c r="U321" s="541"/>
      <c r="V321" s="541"/>
      <c r="W321" s="541"/>
      <c r="X321" s="541"/>
      <c r="Y321" s="541"/>
      <c r="Z321" s="541">
        <v>108</v>
      </c>
      <c r="AA321" s="541"/>
      <c r="AB321" s="541"/>
      <c r="AC321" s="542" t="e">
        <f>IF(NFI_Expiration=1,IF(#REF!&lt;VLOOKUP(L$5,NFI,5,0),1,0)*Table_NFI[[#This Row],[NFI Core Kit]],Table_NFI[NFI Core Kit])</f>
        <v>#REF!</v>
      </c>
      <c r="AD321" s="542" t="e">
        <f>IF(NFI_Expiration=1,IF(#REF!&lt;VLOOKUP(M$5,NFI,5,0),1,0)*Table_NFI[[#This Row],[Sanitary Kit]],Table_NFI[Sanitary Kit])</f>
        <v>#REF!</v>
      </c>
      <c r="AE321" s="542" t="e">
        <f>IF(NFI_Expiration=1,IF(#REF!&lt;VLOOKUP(N$5,NFI,5,0),1,0)*Table_NFI[[#This Row],[Mosquito net]],Table_NFI[Mosquito net])</f>
        <v>#REF!</v>
      </c>
      <c r="AF321" s="542" t="e">
        <f>IF(NFI_Expiration=1,IF(#REF!&lt;VLOOKUP(O$5,NFI,5,0),1,0)*Table_NFI[[#This Row],[Tarpaulin]],Table_NFI[[#This Row],[Tarpaulin]])</f>
        <v>#REF!</v>
      </c>
      <c r="AG321" s="542" t="e">
        <f>IF(NFI_Expiration=1,IF(#REF!&lt;VLOOKUP(P$5,NFI,5,0),1,0)*Table_NFI[[#This Row],[Blanket]],Table_NFI[[#This Row],[Blanket]])</f>
        <v>#REF!</v>
      </c>
      <c r="AH321" s="542" t="e">
        <f>IF(NFI_Expiration=1,IF(#REF!&lt;VLOOKUP(Q$5,NFI,5,0),1,0)*Table_NFI[[#This Row],[Kitchen Set]],Table_NFI[Kitchen Set])</f>
        <v>#REF!</v>
      </c>
      <c r="AI321" s="542" t="e">
        <f>IF(NFI_Expiration=1,IF(#REF!&lt;VLOOKUP(R$5,NFI,5,0),1,0)*Table_NFI[[#This Row],[Clothes Kit]],Table_NFI[Clothes Kit])</f>
        <v>#REF!</v>
      </c>
      <c r="AJ321" s="542" t="e">
        <f>IF(NFI_Expiration=1,IF(#REF!&lt;VLOOKUP(S$5,NFI,5,0),1,0)*Table_NFI[[#This Row],[Plastic Bucket]],Table_NFI[Plastic Bucket])</f>
        <v>#REF!</v>
      </c>
      <c r="AK321" s="542" t="e">
        <f>IF(NFI_Expiration=1,IF(#REF!&lt;VLOOKUP(T$5,NFI,5,0),1,0)*Table_NFI[[#This Row],[Plastic Mat]],Table_NFI[Plastic Mat])*IF(Table_NFI[[#This Row],[Distribution Date]]&gt;"2014-04-01",1,2.5)</f>
        <v>#REF!</v>
      </c>
      <c r="AL321" s="542" t="e">
        <f>IF(NFI_Expiration=1,IF(#REF!&lt;VLOOKUP(U$5,NFI,5,0),1,0)*Table_NFI[[#This Row],[Winter Clothes Adult]],Table_NFI[Winter Clothes Adult])</f>
        <v>#REF!</v>
      </c>
      <c r="AM321" s="542"/>
      <c r="AN321" s="542"/>
      <c r="AO321" s="542"/>
      <c r="AP321" s="542">
        <f>IF(Table_NFI[[#This Row],[Winter Clothes Adult]]+Table_NFI[[#This Row],[Winter Clothes Children]]+Table_NFI[[#This Row],[Winter Items Other]]+Table_NFI[[#This Row],[Winter Blanket]]&gt;0,1,0)</f>
        <v>0</v>
      </c>
      <c r="AQ321" s="542"/>
      <c r="AR321" s="542"/>
      <c r="AS321" s="542"/>
      <c r="AT321" s="205" t="str">
        <f>IFERROR(VLOOKUP(Table_NFI[[#This Row],[Location]],CL,2,0),"")</f>
        <v>MMR015CMP220</v>
      </c>
      <c r="AU321" s="183"/>
    </row>
    <row r="322" spans="2:47" x14ac:dyDescent="0.3">
      <c r="B322" s="540">
        <v>43266</v>
      </c>
      <c r="C322" s="540" t="str">
        <f>MONTH(Table_NFI[[#This Row],[Distribution Date]]) &amp; "/" &amp; YEAR(Table_NFI[[#This Row],[Distribution Date]])</f>
        <v>6/2018</v>
      </c>
      <c r="D322" s="198" t="s">
        <v>420</v>
      </c>
      <c r="E322" s="198" t="s">
        <v>424</v>
      </c>
      <c r="F322" s="198" t="s">
        <v>506</v>
      </c>
      <c r="G322" s="197" t="s">
        <v>146</v>
      </c>
      <c r="H322" s="198" t="s">
        <v>1617</v>
      </c>
      <c r="I322" s="183"/>
      <c r="J322" s="541"/>
      <c r="K322" s="541"/>
      <c r="L322" s="541"/>
      <c r="M322" s="541"/>
      <c r="N322" s="541"/>
      <c r="O322" s="541"/>
      <c r="P322" s="541"/>
      <c r="Q322" s="541"/>
      <c r="R322" s="541"/>
      <c r="S322" s="541"/>
      <c r="T322" s="541"/>
      <c r="U322" s="541"/>
      <c r="V322" s="541"/>
      <c r="W322" s="541"/>
      <c r="X322" s="541"/>
      <c r="Y322" s="541"/>
      <c r="Z322" s="541">
        <v>15</v>
      </c>
      <c r="AA322" s="541"/>
      <c r="AB322" s="541"/>
      <c r="AC322" s="542" t="e">
        <f>IF(NFI_Expiration=1,IF(#REF!&lt;VLOOKUP(L$5,NFI,5,0),1,0)*Table_NFI[[#This Row],[NFI Core Kit]],Table_NFI[NFI Core Kit])</f>
        <v>#REF!</v>
      </c>
      <c r="AD322" s="542" t="e">
        <f>IF(NFI_Expiration=1,IF(#REF!&lt;VLOOKUP(M$5,NFI,5,0),1,0)*Table_NFI[[#This Row],[Sanitary Kit]],Table_NFI[Sanitary Kit])</f>
        <v>#REF!</v>
      </c>
      <c r="AE322" s="542" t="e">
        <f>IF(NFI_Expiration=1,IF(#REF!&lt;VLOOKUP(N$5,NFI,5,0),1,0)*Table_NFI[[#This Row],[Mosquito net]],Table_NFI[Mosquito net])</f>
        <v>#REF!</v>
      </c>
      <c r="AF322" s="542" t="e">
        <f>IF(NFI_Expiration=1,IF(#REF!&lt;VLOOKUP(O$5,NFI,5,0),1,0)*Table_NFI[[#This Row],[Tarpaulin]],Table_NFI[[#This Row],[Tarpaulin]])</f>
        <v>#REF!</v>
      </c>
      <c r="AG322" s="542" t="e">
        <f>IF(NFI_Expiration=1,IF(#REF!&lt;VLOOKUP(P$5,NFI,5,0),1,0)*Table_NFI[[#This Row],[Blanket]],Table_NFI[[#This Row],[Blanket]])</f>
        <v>#REF!</v>
      </c>
      <c r="AH322" s="542" t="e">
        <f>IF(NFI_Expiration=1,IF(#REF!&lt;VLOOKUP(Q$5,NFI,5,0),1,0)*Table_NFI[[#This Row],[Kitchen Set]],Table_NFI[Kitchen Set])</f>
        <v>#REF!</v>
      </c>
      <c r="AI322" s="542" t="e">
        <f>IF(NFI_Expiration=1,IF(#REF!&lt;VLOOKUP(R$5,NFI,5,0),1,0)*Table_NFI[[#This Row],[Clothes Kit]],Table_NFI[Clothes Kit])</f>
        <v>#REF!</v>
      </c>
      <c r="AJ322" s="542" t="e">
        <f>IF(NFI_Expiration=1,IF(#REF!&lt;VLOOKUP(S$5,NFI,5,0),1,0)*Table_NFI[[#This Row],[Plastic Bucket]],Table_NFI[Plastic Bucket])</f>
        <v>#REF!</v>
      </c>
      <c r="AK322" s="542" t="e">
        <f>IF(NFI_Expiration=1,IF(#REF!&lt;VLOOKUP(T$5,NFI,5,0),1,0)*Table_NFI[[#This Row],[Plastic Mat]],Table_NFI[Plastic Mat])*IF(Table_NFI[[#This Row],[Distribution Date]]&gt;"2014-04-01",1,2.5)</f>
        <v>#REF!</v>
      </c>
      <c r="AL322" s="542" t="e">
        <f>IF(NFI_Expiration=1,IF(#REF!&lt;VLOOKUP(U$5,NFI,5,0),1,0)*Table_NFI[[#This Row],[Winter Clothes Adult]],Table_NFI[Winter Clothes Adult])</f>
        <v>#REF!</v>
      </c>
      <c r="AM322" s="542"/>
      <c r="AN322" s="542"/>
      <c r="AO322" s="542"/>
      <c r="AP322" s="542">
        <f>IF(Table_NFI[[#This Row],[Winter Clothes Adult]]+Table_NFI[[#This Row],[Winter Clothes Children]]+Table_NFI[[#This Row],[Winter Items Other]]+Table_NFI[[#This Row],[Winter Blanket]]&gt;0,1,0)</f>
        <v>0</v>
      </c>
      <c r="AQ322" s="542"/>
      <c r="AR322" s="542"/>
      <c r="AS322" s="542"/>
      <c r="AT322" s="205" t="str">
        <f>IFERROR(VLOOKUP(Table_NFI[[#This Row],[Location]],CL,2,0),"")</f>
        <v>MMR015CMP018</v>
      </c>
      <c r="AU322" s="183"/>
    </row>
    <row r="323" spans="2:47" x14ac:dyDescent="0.3">
      <c r="B323" s="540">
        <v>43266</v>
      </c>
      <c r="C323" s="540" t="str">
        <f>MONTH(Table_NFI[[#This Row],[Distribution Date]]) &amp; "/" &amp; YEAR(Table_NFI[[#This Row],[Distribution Date]])</f>
        <v>6/2018</v>
      </c>
      <c r="D323" s="198" t="s">
        <v>420</v>
      </c>
      <c r="E323" s="198" t="s">
        <v>424</v>
      </c>
      <c r="F323" s="198" t="s">
        <v>378</v>
      </c>
      <c r="G323" s="197" t="s">
        <v>299</v>
      </c>
      <c r="H323" s="198" t="s">
        <v>300</v>
      </c>
      <c r="I323" s="183"/>
      <c r="J323" s="541"/>
      <c r="K323" s="541"/>
      <c r="L323" s="541"/>
      <c r="M323" s="541"/>
      <c r="N323" s="541">
        <v>28</v>
      </c>
      <c r="O323" s="541"/>
      <c r="P323" s="541"/>
      <c r="Q323" s="541"/>
      <c r="R323" s="541"/>
      <c r="S323" s="541"/>
      <c r="T323" s="541"/>
      <c r="U323" s="541"/>
      <c r="V323" s="541"/>
      <c r="W323" s="541"/>
      <c r="X323" s="541"/>
      <c r="Y323" s="541"/>
      <c r="Z323" s="541"/>
      <c r="AA323" s="541"/>
      <c r="AB323" s="541"/>
      <c r="AC323" s="542" t="e">
        <f>IF(NFI_Expiration=1,IF(#REF!&lt;VLOOKUP(L$5,NFI,5,0),1,0)*Table_NFI[[#This Row],[NFI Core Kit]],Table_NFI[NFI Core Kit])</f>
        <v>#REF!</v>
      </c>
      <c r="AD323" s="542" t="e">
        <f>IF(NFI_Expiration=1,IF(#REF!&lt;VLOOKUP(M$5,NFI,5,0),1,0)*Table_NFI[[#This Row],[Sanitary Kit]],Table_NFI[Sanitary Kit])</f>
        <v>#REF!</v>
      </c>
      <c r="AE323" s="542" t="e">
        <f>IF(NFI_Expiration=1,IF(#REF!&lt;VLOOKUP(N$5,NFI,5,0),1,0)*Table_NFI[[#This Row],[Mosquito net]],Table_NFI[Mosquito net])</f>
        <v>#REF!</v>
      </c>
      <c r="AF323" s="542" t="e">
        <f>IF(NFI_Expiration=1,IF(#REF!&lt;VLOOKUP(O$5,NFI,5,0),1,0)*Table_NFI[[#This Row],[Tarpaulin]],Table_NFI[[#This Row],[Tarpaulin]])</f>
        <v>#REF!</v>
      </c>
      <c r="AG323" s="542" t="e">
        <f>IF(NFI_Expiration=1,IF(#REF!&lt;VLOOKUP(P$5,NFI,5,0),1,0)*Table_NFI[[#This Row],[Blanket]],Table_NFI[[#This Row],[Blanket]])</f>
        <v>#REF!</v>
      </c>
      <c r="AH323" s="542" t="e">
        <f>IF(NFI_Expiration=1,IF(#REF!&lt;VLOOKUP(Q$5,NFI,5,0),1,0)*Table_NFI[[#This Row],[Kitchen Set]],Table_NFI[Kitchen Set])</f>
        <v>#REF!</v>
      </c>
      <c r="AI323" s="542" t="e">
        <f>IF(NFI_Expiration=1,IF(#REF!&lt;VLOOKUP(R$5,NFI,5,0),1,0)*Table_NFI[[#This Row],[Clothes Kit]],Table_NFI[Clothes Kit])</f>
        <v>#REF!</v>
      </c>
      <c r="AJ323" s="542" t="e">
        <f>IF(NFI_Expiration=1,IF(#REF!&lt;VLOOKUP(S$5,NFI,5,0),1,0)*Table_NFI[[#This Row],[Plastic Bucket]],Table_NFI[Plastic Bucket])</f>
        <v>#REF!</v>
      </c>
      <c r="AK323" s="542" t="e">
        <f>IF(NFI_Expiration=1,IF(#REF!&lt;VLOOKUP(T$5,NFI,5,0),1,0)*Table_NFI[[#This Row],[Plastic Mat]],Table_NFI[Plastic Mat])*IF(Table_NFI[[#This Row],[Distribution Date]]&gt;"2014-04-01",1,2.5)</f>
        <v>#REF!</v>
      </c>
      <c r="AL323" s="542" t="e">
        <f>IF(NFI_Expiration=1,IF(#REF!&lt;VLOOKUP(U$5,NFI,5,0),1,0)*Table_NFI[[#This Row],[Winter Clothes Adult]],Table_NFI[Winter Clothes Adult])</f>
        <v>#REF!</v>
      </c>
      <c r="AM323" s="542"/>
      <c r="AN323" s="542"/>
      <c r="AO323" s="542"/>
      <c r="AP323" s="542">
        <f>IF(Table_NFI[[#This Row],[Winter Clothes Adult]]+Table_NFI[[#This Row],[Winter Clothes Children]]+Table_NFI[[#This Row],[Winter Items Other]]+Table_NFI[[#This Row],[Winter Blanket]]&gt;0,1,0)</f>
        <v>0</v>
      </c>
      <c r="AQ323" s="542"/>
      <c r="AR323" s="542"/>
      <c r="AS323" s="542"/>
      <c r="AT323" s="205" t="str">
        <f>IFERROR(VLOOKUP(Table_NFI[[#This Row],[Location]],CL,2,0),"")</f>
        <v>MMR001CMP075</v>
      </c>
      <c r="AU323" s="183"/>
    </row>
    <row r="324" spans="2:47" x14ac:dyDescent="0.3">
      <c r="B324" s="540">
        <v>43251</v>
      </c>
      <c r="C324" s="540" t="str">
        <f>MONTH(Table_NFI[[#This Row],[Distribution Date]]) &amp; "/" &amp; YEAR(Table_NFI[[#This Row],[Distribution Date]])</f>
        <v>5/2018</v>
      </c>
      <c r="D324" s="198" t="s">
        <v>1638</v>
      </c>
      <c r="E324" s="198" t="s">
        <v>1737</v>
      </c>
      <c r="F324" s="198" t="s">
        <v>378</v>
      </c>
      <c r="G324" s="197" t="s">
        <v>309</v>
      </c>
      <c r="H324" s="198" t="s">
        <v>1750</v>
      </c>
      <c r="I324" s="183"/>
      <c r="J324" s="541"/>
      <c r="K324" s="541"/>
      <c r="L324" s="541">
        <v>80</v>
      </c>
      <c r="M324" s="541"/>
      <c r="N324" s="541">
        <v>160</v>
      </c>
      <c r="O324" s="541">
        <v>160</v>
      </c>
      <c r="P324" s="541">
        <v>160</v>
      </c>
      <c r="Q324" s="541">
        <v>80</v>
      </c>
      <c r="R324" s="541"/>
      <c r="S324" s="541">
        <v>80</v>
      </c>
      <c r="T324" s="541"/>
      <c r="U324" s="541"/>
      <c r="V324" s="541"/>
      <c r="W324" s="541"/>
      <c r="X324" s="541"/>
      <c r="Y324" s="541"/>
      <c r="Z324" s="541"/>
      <c r="AA324" s="541"/>
      <c r="AB324" s="541"/>
      <c r="AC324" s="542" t="e">
        <f>IF(NFI_Expiration=1,IF(#REF!&lt;VLOOKUP(L$5,NFI,5,0),1,0)*Table_NFI[[#This Row],[NFI Core Kit]],Table_NFI[NFI Core Kit])</f>
        <v>#REF!</v>
      </c>
      <c r="AD324" s="542" t="e">
        <f>IF(NFI_Expiration=1,IF(#REF!&lt;VLOOKUP(M$5,NFI,5,0),1,0)*Table_NFI[[#This Row],[Sanitary Kit]],Table_NFI[Sanitary Kit])</f>
        <v>#REF!</v>
      </c>
      <c r="AE324" s="542" t="e">
        <f>IF(NFI_Expiration=1,IF(#REF!&lt;VLOOKUP(N$5,NFI,5,0),1,0)*Table_NFI[[#This Row],[Mosquito net]],Table_NFI[Mosquito net])</f>
        <v>#REF!</v>
      </c>
      <c r="AF324" s="542" t="e">
        <f>IF(NFI_Expiration=1,IF(#REF!&lt;VLOOKUP(O$5,NFI,5,0),1,0)*Table_NFI[[#This Row],[Tarpaulin]],Table_NFI[[#This Row],[Tarpaulin]])</f>
        <v>#REF!</v>
      </c>
      <c r="AG324" s="542" t="e">
        <f>IF(NFI_Expiration=1,IF(#REF!&lt;VLOOKUP(P$5,NFI,5,0),1,0)*Table_NFI[[#This Row],[Blanket]],Table_NFI[[#This Row],[Blanket]])</f>
        <v>#REF!</v>
      </c>
      <c r="AH324" s="542" t="e">
        <f>IF(NFI_Expiration=1,IF(#REF!&lt;VLOOKUP(Q$5,NFI,5,0),1,0)*Table_NFI[[#This Row],[Kitchen Set]],Table_NFI[Kitchen Set])</f>
        <v>#REF!</v>
      </c>
      <c r="AI324" s="542" t="e">
        <f>IF(NFI_Expiration=1,IF(#REF!&lt;VLOOKUP(R$5,NFI,5,0),1,0)*Table_NFI[[#This Row],[Clothes Kit]],Table_NFI[Clothes Kit])</f>
        <v>#REF!</v>
      </c>
      <c r="AJ324" s="542" t="e">
        <f>IF(NFI_Expiration=1,IF(#REF!&lt;VLOOKUP(S$5,NFI,5,0),1,0)*Table_NFI[[#This Row],[Plastic Bucket]],Table_NFI[Plastic Bucket])</f>
        <v>#REF!</v>
      </c>
      <c r="AK324" s="542" t="e">
        <f>IF(NFI_Expiration=1,IF(#REF!&lt;VLOOKUP(T$5,NFI,5,0),1,0)*Table_NFI[[#This Row],[Plastic Mat]],Table_NFI[Plastic Mat])*IF(Table_NFI[[#This Row],[Distribution Date]]&gt;"2014-04-01",1,2.5)</f>
        <v>#REF!</v>
      </c>
      <c r="AL324" s="542" t="e">
        <f>IF(NFI_Expiration=1,IF(#REF!&lt;VLOOKUP(U$5,NFI,5,0),1,0)*Table_NFI[[#This Row],[Winter Clothes Adult]],Table_NFI[Winter Clothes Adult])</f>
        <v>#REF!</v>
      </c>
      <c r="AM324" s="542"/>
      <c r="AN324" s="542"/>
      <c r="AO324" s="542"/>
      <c r="AP324" s="542">
        <f>IF(Table_NFI[[#This Row],[Winter Clothes Adult]]+Table_NFI[[#This Row],[Winter Clothes Children]]+Table_NFI[[#This Row],[Winter Items Other]]+Table_NFI[[#This Row],[Winter Blanket]]&gt;0,1,0)</f>
        <v>0</v>
      </c>
      <c r="AQ324" s="542"/>
      <c r="AR324" s="542"/>
      <c r="AS324" s="542"/>
      <c r="AT324" s="205" t="str">
        <f>IFERROR(VLOOKUP(Table_NFI[[#This Row],[Location]],CL,2,0),"")</f>
        <v>MMR001CMP269</v>
      </c>
      <c r="AU324" s="183"/>
    </row>
    <row r="325" spans="2:47" x14ac:dyDescent="0.3">
      <c r="B325" s="540">
        <v>43281</v>
      </c>
      <c r="C325" s="540" t="str">
        <f>MONTH(Table_NFI[[#This Row],[Distribution Date]]) &amp; "/" &amp; YEAR(Table_NFI[[#This Row],[Distribution Date]])</f>
        <v>6/2018</v>
      </c>
      <c r="D325" s="198" t="s">
        <v>1638</v>
      </c>
      <c r="E325" s="198" t="s">
        <v>1737</v>
      </c>
      <c r="F325" s="198" t="s">
        <v>378</v>
      </c>
      <c r="G325" s="197" t="s">
        <v>237</v>
      </c>
      <c r="H325" s="198" t="s">
        <v>254</v>
      </c>
      <c r="I325" s="183"/>
      <c r="J325" s="541"/>
      <c r="K325" s="541"/>
      <c r="L325" s="541">
        <v>3</v>
      </c>
      <c r="M325" s="541"/>
      <c r="N325" s="541">
        <v>6</v>
      </c>
      <c r="O325" s="541">
        <v>6</v>
      </c>
      <c r="P325" s="541">
        <v>6</v>
      </c>
      <c r="Q325" s="541">
        <v>3</v>
      </c>
      <c r="R325" s="541"/>
      <c r="S325" s="541">
        <v>3</v>
      </c>
      <c r="T325" s="541"/>
      <c r="U325" s="541"/>
      <c r="V325" s="541"/>
      <c r="W325" s="541"/>
      <c r="X325" s="541"/>
      <c r="Y325" s="541"/>
      <c r="Z325" s="541"/>
      <c r="AA325" s="541"/>
      <c r="AB325" s="541"/>
      <c r="AC325" s="542" t="e">
        <f>IF(NFI_Expiration=1,IF(#REF!&lt;VLOOKUP(L$5,NFI,5,0),1,0)*Table_NFI[[#This Row],[NFI Core Kit]],Table_NFI[NFI Core Kit])</f>
        <v>#REF!</v>
      </c>
      <c r="AD325" s="542" t="e">
        <f>IF(NFI_Expiration=1,IF(#REF!&lt;VLOOKUP(M$5,NFI,5,0),1,0)*Table_NFI[[#This Row],[Sanitary Kit]],Table_NFI[Sanitary Kit])</f>
        <v>#REF!</v>
      </c>
      <c r="AE325" s="542" t="e">
        <f>IF(NFI_Expiration=1,IF(#REF!&lt;VLOOKUP(N$5,NFI,5,0),1,0)*Table_NFI[[#This Row],[Mosquito net]],Table_NFI[Mosquito net])</f>
        <v>#REF!</v>
      </c>
      <c r="AF325" s="542" t="e">
        <f>IF(NFI_Expiration=1,IF(#REF!&lt;VLOOKUP(O$5,NFI,5,0),1,0)*Table_NFI[[#This Row],[Tarpaulin]],Table_NFI[[#This Row],[Tarpaulin]])</f>
        <v>#REF!</v>
      </c>
      <c r="AG325" s="542" t="e">
        <f>IF(NFI_Expiration=1,IF(#REF!&lt;VLOOKUP(P$5,NFI,5,0),1,0)*Table_NFI[[#This Row],[Blanket]],Table_NFI[[#This Row],[Blanket]])</f>
        <v>#REF!</v>
      </c>
      <c r="AH325" s="542" t="e">
        <f>IF(NFI_Expiration=1,IF(#REF!&lt;VLOOKUP(Q$5,NFI,5,0),1,0)*Table_NFI[[#This Row],[Kitchen Set]],Table_NFI[Kitchen Set])</f>
        <v>#REF!</v>
      </c>
      <c r="AI325" s="542" t="e">
        <f>IF(NFI_Expiration=1,IF(#REF!&lt;VLOOKUP(R$5,NFI,5,0),1,0)*Table_NFI[[#This Row],[Clothes Kit]],Table_NFI[Clothes Kit])</f>
        <v>#REF!</v>
      </c>
      <c r="AJ325" s="542" t="e">
        <f>IF(NFI_Expiration=1,IF(#REF!&lt;VLOOKUP(S$5,NFI,5,0),1,0)*Table_NFI[[#This Row],[Plastic Bucket]],Table_NFI[Plastic Bucket])</f>
        <v>#REF!</v>
      </c>
      <c r="AK325" s="542" t="e">
        <f>IF(NFI_Expiration=1,IF(#REF!&lt;VLOOKUP(T$5,NFI,5,0),1,0)*Table_NFI[[#This Row],[Plastic Mat]],Table_NFI[Plastic Mat])*IF(Table_NFI[[#This Row],[Distribution Date]]&gt;"2014-04-01",1,2.5)</f>
        <v>#REF!</v>
      </c>
      <c r="AL325" s="542" t="e">
        <f>IF(NFI_Expiration=1,IF(#REF!&lt;VLOOKUP(U$5,NFI,5,0),1,0)*Table_NFI[[#This Row],[Winter Clothes Adult]],Table_NFI[Winter Clothes Adult])</f>
        <v>#REF!</v>
      </c>
      <c r="AM325" s="542"/>
      <c r="AN325" s="542"/>
      <c r="AO325" s="542"/>
      <c r="AP325" s="542">
        <f>IF(Table_NFI[[#This Row],[Winter Clothes Adult]]+Table_NFI[[#This Row],[Winter Clothes Children]]+Table_NFI[[#This Row],[Winter Items Other]]+Table_NFI[[#This Row],[Winter Blanket]]&gt;0,1,0)</f>
        <v>0</v>
      </c>
      <c r="AQ325" s="542"/>
      <c r="AR325" s="542"/>
      <c r="AS325" s="542"/>
      <c r="AT325" s="205" t="str">
        <f>IFERROR(VLOOKUP(Table_NFI[[#This Row],[Location]],CL,2,0),"")</f>
        <v>MMR001CMP019</v>
      </c>
      <c r="AU325" s="183"/>
    </row>
    <row r="326" spans="2:47" x14ac:dyDescent="0.3">
      <c r="B326" s="540">
        <v>43281</v>
      </c>
      <c r="C326" s="540" t="str">
        <f>MONTH(Table_NFI[[#This Row],[Distribution Date]]) &amp; "/" &amp; YEAR(Table_NFI[[#This Row],[Distribution Date]])</f>
        <v>6/2018</v>
      </c>
      <c r="D326" s="198" t="s">
        <v>1638</v>
      </c>
      <c r="E326" s="198" t="s">
        <v>1737</v>
      </c>
      <c r="F326" s="198" t="s">
        <v>378</v>
      </c>
      <c r="G326" s="197" t="s">
        <v>237</v>
      </c>
      <c r="H326" s="198" t="s">
        <v>272</v>
      </c>
      <c r="I326" s="183"/>
      <c r="J326" s="541"/>
      <c r="K326" s="541"/>
      <c r="L326" s="541">
        <v>11</v>
      </c>
      <c r="M326" s="541"/>
      <c r="N326" s="541">
        <v>22</v>
      </c>
      <c r="O326" s="541">
        <v>22</v>
      </c>
      <c r="P326" s="541">
        <v>22</v>
      </c>
      <c r="Q326" s="541">
        <v>11</v>
      </c>
      <c r="R326" s="541"/>
      <c r="S326" s="541">
        <v>11</v>
      </c>
      <c r="T326" s="541"/>
      <c r="U326" s="541"/>
      <c r="V326" s="541"/>
      <c r="W326" s="541"/>
      <c r="X326" s="541"/>
      <c r="Y326" s="541"/>
      <c r="Z326" s="541"/>
      <c r="AA326" s="541"/>
      <c r="AB326" s="541"/>
      <c r="AC326" s="542" t="e">
        <f>IF(NFI_Expiration=1,IF(#REF!&lt;VLOOKUP(L$5,NFI,5,0),1,0)*Table_NFI[[#This Row],[NFI Core Kit]],Table_NFI[NFI Core Kit])</f>
        <v>#REF!</v>
      </c>
      <c r="AD326" s="542" t="e">
        <f>IF(NFI_Expiration=1,IF(#REF!&lt;VLOOKUP(M$5,NFI,5,0),1,0)*Table_NFI[[#This Row],[Sanitary Kit]],Table_NFI[Sanitary Kit])</f>
        <v>#REF!</v>
      </c>
      <c r="AE326" s="542" t="e">
        <f>IF(NFI_Expiration=1,IF(#REF!&lt;VLOOKUP(N$5,NFI,5,0),1,0)*Table_NFI[[#This Row],[Mosquito net]],Table_NFI[Mosquito net])</f>
        <v>#REF!</v>
      </c>
      <c r="AF326" s="542" t="e">
        <f>IF(NFI_Expiration=1,IF(#REF!&lt;VLOOKUP(O$5,NFI,5,0),1,0)*Table_NFI[[#This Row],[Tarpaulin]],Table_NFI[[#This Row],[Tarpaulin]])</f>
        <v>#REF!</v>
      </c>
      <c r="AG326" s="542" t="e">
        <f>IF(NFI_Expiration=1,IF(#REF!&lt;VLOOKUP(P$5,NFI,5,0),1,0)*Table_NFI[[#This Row],[Blanket]],Table_NFI[[#This Row],[Blanket]])</f>
        <v>#REF!</v>
      </c>
      <c r="AH326" s="542" t="e">
        <f>IF(NFI_Expiration=1,IF(#REF!&lt;VLOOKUP(Q$5,NFI,5,0),1,0)*Table_NFI[[#This Row],[Kitchen Set]],Table_NFI[Kitchen Set])</f>
        <v>#REF!</v>
      </c>
      <c r="AI326" s="542" t="e">
        <f>IF(NFI_Expiration=1,IF(#REF!&lt;VLOOKUP(R$5,NFI,5,0),1,0)*Table_NFI[[#This Row],[Clothes Kit]],Table_NFI[Clothes Kit])</f>
        <v>#REF!</v>
      </c>
      <c r="AJ326" s="542" t="e">
        <f>IF(NFI_Expiration=1,IF(#REF!&lt;VLOOKUP(S$5,NFI,5,0),1,0)*Table_NFI[[#This Row],[Plastic Bucket]],Table_NFI[Plastic Bucket])</f>
        <v>#REF!</v>
      </c>
      <c r="AK326" s="542" t="e">
        <f>IF(NFI_Expiration=1,IF(#REF!&lt;VLOOKUP(T$5,NFI,5,0),1,0)*Table_NFI[[#This Row],[Plastic Mat]],Table_NFI[Plastic Mat])*IF(Table_NFI[[#This Row],[Distribution Date]]&gt;"2014-04-01",1,2.5)</f>
        <v>#REF!</v>
      </c>
      <c r="AL326" s="542" t="e">
        <f>IF(NFI_Expiration=1,IF(#REF!&lt;VLOOKUP(U$5,NFI,5,0),1,0)*Table_NFI[[#This Row],[Winter Clothes Adult]],Table_NFI[Winter Clothes Adult])</f>
        <v>#REF!</v>
      </c>
      <c r="AM326" s="542"/>
      <c r="AN326" s="542"/>
      <c r="AO326" s="542"/>
      <c r="AP326" s="542">
        <f>IF(Table_NFI[[#This Row],[Winter Clothes Adult]]+Table_NFI[[#This Row],[Winter Clothes Children]]+Table_NFI[[#This Row],[Winter Items Other]]+Table_NFI[[#This Row],[Winter Blanket]]&gt;0,1,0)</f>
        <v>0</v>
      </c>
      <c r="AQ326" s="542"/>
      <c r="AR326" s="542"/>
      <c r="AS326" s="542"/>
      <c r="AT326" s="205" t="str">
        <f>IFERROR(VLOOKUP(Table_NFI[[#This Row],[Location]],CL,2,0),"")</f>
        <v>MMR001CMP162</v>
      </c>
      <c r="AU326" s="183"/>
    </row>
    <row r="327" spans="2:47" x14ac:dyDescent="0.3">
      <c r="B327" s="540">
        <v>43281</v>
      </c>
      <c r="C327" s="540" t="str">
        <f>MONTH(Table_NFI[[#This Row],[Distribution Date]]) &amp; "/" &amp; YEAR(Table_NFI[[#This Row],[Distribution Date]])</f>
        <v>6/2018</v>
      </c>
      <c r="D327" s="198" t="s">
        <v>1638</v>
      </c>
      <c r="E327" s="198" t="s">
        <v>1737</v>
      </c>
      <c r="F327" s="198" t="s">
        <v>378</v>
      </c>
      <c r="G327" s="197" t="s">
        <v>173</v>
      </c>
      <c r="H327" s="198" t="s">
        <v>1489</v>
      </c>
      <c r="I327" s="183"/>
      <c r="J327" s="541"/>
      <c r="K327" s="541"/>
      <c r="L327" s="541">
        <v>6</v>
      </c>
      <c r="M327" s="541"/>
      <c r="N327" s="541">
        <v>12</v>
      </c>
      <c r="O327" s="541">
        <v>12</v>
      </c>
      <c r="P327" s="541">
        <v>12</v>
      </c>
      <c r="Q327" s="541">
        <v>6</v>
      </c>
      <c r="R327" s="541"/>
      <c r="S327" s="541">
        <v>6</v>
      </c>
      <c r="T327" s="541"/>
      <c r="U327" s="541"/>
      <c r="V327" s="541"/>
      <c r="W327" s="541"/>
      <c r="X327" s="541"/>
      <c r="Y327" s="541"/>
      <c r="Z327" s="541"/>
      <c r="AA327" s="541"/>
      <c r="AB327" s="541"/>
      <c r="AC327" s="542" t="e">
        <f>IF(NFI_Expiration=1,IF(#REF!&lt;VLOOKUP(L$5,NFI,5,0),1,0)*Table_NFI[[#This Row],[NFI Core Kit]],Table_NFI[NFI Core Kit])</f>
        <v>#REF!</v>
      </c>
      <c r="AD327" s="542" t="e">
        <f>IF(NFI_Expiration=1,IF(#REF!&lt;VLOOKUP(M$5,NFI,5,0),1,0)*Table_NFI[[#This Row],[Sanitary Kit]],Table_NFI[Sanitary Kit])</f>
        <v>#REF!</v>
      </c>
      <c r="AE327" s="542" t="e">
        <f>IF(NFI_Expiration=1,IF(#REF!&lt;VLOOKUP(N$5,NFI,5,0),1,0)*Table_NFI[[#This Row],[Mosquito net]],Table_NFI[Mosquito net])</f>
        <v>#REF!</v>
      </c>
      <c r="AF327" s="542" t="e">
        <f>IF(NFI_Expiration=1,IF(#REF!&lt;VLOOKUP(O$5,NFI,5,0),1,0)*Table_NFI[[#This Row],[Tarpaulin]],Table_NFI[[#This Row],[Tarpaulin]])</f>
        <v>#REF!</v>
      </c>
      <c r="AG327" s="542" t="e">
        <f>IF(NFI_Expiration=1,IF(#REF!&lt;VLOOKUP(P$5,NFI,5,0),1,0)*Table_NFI[[#This Row],[Blanket]],Table_NFI[[#This Row],[Blanket]])</f>
        <v>#REF!</v>
      </c>
      <c r="AH327" s="542" t="e">
        <f>IF(NFI_Expiration=1,IF(#REF!&lt;VLOOKUP(Q$5,NFI,5,0),1,0)*Table_NFI[[#This Row],[Kitchen Set]],Table_NFI[Kitchen Set])</f>
        <v>#REF!</v>
      </c>
      <c r="AI327" s="542" t="e">
        <f>IF(NFI_Expiration=1,IF(#REF!&lt;VLOOKUP(R$5,NFI,5,0),1,0)*Table_NFI[[#This Row],[Clothes Kit]],Table_NFI[Clothes Kit])</f>
        <v>#REF!</v>
      </c>
      <c r="AJ327" s="542" t="e">
        <f>IF(NFI_Expiration=1,IF(#REF!&lt;VLOOKUP(S$5,NFI,5,0),1,0)*Table_NFI[[#This Row],[Plastic Bucket]],Table_NFI[Plastic Bucket])</f>
        <v>#REF!</v>
      </c>
      <c r="AK327" s="542" t="e">
        <f>IF(NFI_Expiration=1,IF(#REF!&lt;VLOOKUP(T$5,NFI,5,0),1,0)*Table_NFI[[#This Row],[Plastic Mat]],Table_NFI[Plastic Mat])*IF(Table_NFI[[#This Row],[Distribution Date]]&gt;"2014-04-01",1,2.5)</f>
        <v>#REF!</v>
      </c>
      <c r="AL327" s="542" t="e">
        <f>IF(NFI_Expiration=1,IF(#REF!&lt;VLOOKUP(U$5,NFI,5,0),1,0)*Table_NFI[[#This Row],[Winter Clothes Adult]],Table_NFI[Winter Clothes Adult])</f>
        <v>#REF!</v>
      </c>
      <c r="AM327" s="542"/>
      <c r="AN327" s="542"/>
      <c r="AO327" s="542"/>
      <c r="AP327" s="542">
        <f>IF(Table_NFI[[#This Row],[Winter Clothes Adult]]+Table_NFI[[#This Row],[Winter Clothes Children]]+Table_NFI[[#This Row],[Winter Items Other]]+Table_NFI[[#This Row],[Winter Blanket]]&gt;0,1,0)</f>
        <v>0</v>
      </c>
      <c r="AQ327" s="542"/>
      <c r="AR327" s="542"/>
      <c r="AS327" s="542"/>
      <c r="AT327" s="205" t="str">
        <f>IFERROR(VLOOKUP(Table_NFI[[#This Row],[Location]],CL,2,0),"")</f>
        <v>MMR001CMP077</v>
      </c>
      <c r="AU327" s="183"/>
    </row>
    <row r="328" spans="2:47" x14ac:dyDescent="0.3">
      <c r="B328" s="540">
        <v>43271</v>
      </c>
      <c r="C328" s="540" t="str">
        <f>MONTH(Table_NFI[[#This Row],[Distribution Date]]) &amp; "/" &amp; YEAR(Table_NFI[[#This Row],[Distribution Date]])</f>
        <v>6/2018</v>
      </c>
      <c r="D328" s="198" t="s">
        <v>1638</v>
      </c>
      <c r="E328" s="198" t="s">
        <v>1737</v>
      </c>
      <c r="F328" s="198" t="s">
        <v>378</v>
      </c>
      <c r="G328" s="197" t="s">
        <v>309</v>
      </c>
      <c r="H328" s="198" t="s">
        <v>349</v>
      </c>
      <c r="I328" s="183"/>
      <c r="J328" s="541"/>
      <c r="K328" s="541"/>
      <c r="L328" s="541">
        <v>35</v>
      </c>
      <c r="M328" s="541"/>
      <c r="N328" s="541">
        <v>70</v>
      </c>
      <c r="O328" s="541">
        <v>70</v>
      </c>
      <c r="P328" s="541">
        <v>70</v>
      </c>
      <c r="Q328" s="541">
        <v>35</v>
      </c>
      <c r="R328" s="541"/>
      <c r="S328" s="541">
        <v>35</v>
      </c>
      <c r="T328" s="541"/>
      <c r="U328" s="541"/>
      <c r="V328" s="541"/>
      <c r="W328" s="541"/>
      <c r="X328" s="541"/>
      <c r="Y328" s="541"/>
      <c r="Z328" s="541"/>
      <c r="AA328" s="541"/>
      <c r="AB328" s="541"/>
      <c r="AC328" s="542" t="e">
        <f>IF(NFI_Expiration=1,IF(#REF!&lt;VLOOKUP(L$5,NFI,5,0),1,0)*Table_NFI[[#This Row],[NFI Core Kit]],Table_NFI[NFI Core Kit])</f>
        <v>#REF!</v>
      </c>
      <c r="AD328" s="542" t="e">
        <f>IF(NFI_Expiration=1,IF(#REF!&lt;VLOOKUP(M$5,NFI,5,0),1,0)*Table_NFI[[#This Row],[Sanitary Kit]],Table_NFI[Sanitary Kit])</f>
        <v>#REF!</v>
      </c>
      <c r="AE328" s="542" t="e">
        <f>IF(NFI_Expiration=1,IF(#REF!&lt;VLOOKUP(N$5,NFI,5,0),1,0)*Table_NFI[[#This Row],[Mosquito net]],Table_NFI[Mosquito net])</f>
        <v>#REF!</v>
      </c>
      <c r="AF328" s="542" t="e">
        <f>IF(NFI_Expiration=1,IF(#REF!&lt;VLOOKUP(O$5,NFI,5,0),1,0)*Table_NFI[[#This Row],[Tarpaulin]],Table_NFI[[#This Row],[Tarpaulin]])</f>
        <v>#REF!</v>
      </c>
      <c r="AG328" s="542" t="e">
        <f>IF(NFI_Expiration=1,IF(#REF!&lt;VLOOKUP(P$5,NFI,5,0),1,0)*Table_NFI[[#This Row],[Blanket]],Table_NFI[[#This Row],[Blanket]])</f>
        <v>#REF!</v>
      </c>
      <c r="AH328" s="542" t="e">
        <f>IF(NFI_Expiration=1,IF(#REF!&lt;VLOOKUP(Q$5,NFI,5,0),1,0)*Table_NFI[[#This Row],[Kitchen Set]],Table_NFI[Kitchen Set])</f>
        <v>#REF!</v>
      </c>
      <c r="AI328" s="542" t="e">
        <f>IF(NFI_Expiration=1,IF(#REF!&lt;VLOOKUP(R$5,NFI,5,0),1,0)*Table_NFI[[#This Row],[Clothes Kit]],Table_NFI[Clothes Kit])</f>
        <v>#REF!</v>
      </c>
      <c r="AJ328" s="542" t="e">
        <f>IF(NFI_Expiration=1,IF(#REF!&lt;VLOOKUP(S$5,NFI,5,0),1,0)*Table_NFI[[#This Row],[Plastic Bucket]],Table_NFI[Plastic Bucket])</f>
        <v>#REF!</v>
      </c>
      <c r="AK328" s="542" t="e">
        <f>IF(NFI_Expiration=1,IF(#REF!&lt;VLOOKUP(T$5,NFI,5,0),1,0)*Table_NFI[[#This Row],[Plastic Mat]],Table_NFI[Plastic Mat])*IF(Table_NFI[[#This Row],[Distribution Date]]&gt;"2014-04-01",1,2.5)</f>
        <v>#REF!</v>
      </c>
      <c r="AL328" s="542" t="e">
        <f>IF(NFI_Expiration=1,IF(#REF!&lt;VLOOKUP(U$5,NFI,5,0),1,0)*Table_NFI[[#This Row],[Winter Clothes Adult]],Table_NFI[Winter Clothes Adult])</f>
        <v>#REF!</v>
      </c>
      <c r="AM328" s="542"/>
      <c r="AN328" s="542"/>
      <c r="AO328" s="542"/>
      <c r="AP328" s="542">
        <f>IF(Table_NFI[[#This Row],[Winter Clothes Adult]]+Table_NFI[[#This Row],[Winter Clothes Children]]+Table_NFI[[#This Row],[Winter Items Other]]+Table_NFI[[#This Row],[Winter Blanket]]&gt;0,1,0)</f>
        <v>0</v>
      </c>
      <c r="AQ328" s="542"/>
      <c r="AR328" s="542"/>
      <c r="AS328" s="542"/>
      <c r="AT328" s="205" t="str">
        <f>IFERROR(VLOOKUP(Table_NFI[[#This Row],[Location]],CL,2,0),"")</f>
        <v>MMR001CMP026</v>
      </c>
      <c r="AU328" s="183"/>
    </row>
    <row r="329" spans="2:47" x14ac:dyDescent="0.3">
      <c r="B329" s="540">
        <v>43284</v>
      </c>
      <c r="C329" s="540" t="str">
        <f>MONTH(Table_NFI[[#This Row],[Distribution Date]]) &amp; "/" &amp; YEAR(Table_NFI[[#This Row],[Distribution Date]])</f>
        <v>7/2018</v>
      </c>
      <c r="D329" s="198" t="s">
        <v>420</v>
      </c>
      <c r="E329" s="198" t="s">
        <v>462</v>
      </c>
      <c r="F329" s="198" t="s">
        <v>378</v>
      </c>
      <c r="G329" s="197" t="s">
        <v>237</v>
      </c>
      <c r="H329" s="198" t="s">
        <v>248</v>
      </c>
      <c r="I329" s="183"/>
      <c r="J329" s="541"/>
      <c r="K329" s="541"/>
      <c r="L329" s="541">
        <v>9</v>
      </c>
      <c r="M329" s="541">
        <v>9</v>
      </c>
      <c r="N329" s="541">
        <v>29</v>
      </c>
      <c r="O329" s="541">
        <v>9</v>
      </c>
      <c r="P329" s="541">
        <v>29</v>
      </c>
      <c r="Q329" s="541">
        <v>10</v>
      </c>
      <c r="R329" s="541"/>
      <c r="S329" s="541">
        <v>9</v>
      </c>
      <c r="T329" s="541">
        <v>46</v>
      </c>
      <c r="U329" s="541"/>
      <c r="V329" s="541"/>
      <c r="W329" s="541"/>
      <c r="X329" s="541"/>
      <c r="Y329" s="541">
        <v>9</v>
      </c>
      <c r="Z329" s="541"/>
      <c r="AA329" s="541"/>
      <c r="AB329" s="541"/>
      <c r="AC329" s="542" t="e">
        <f>IF(NFI_Expiration=1,IF(#REF!&lt;VLOOKUP(L$5,NFI,5,0),1,0)*Table_NFI[[#This Row],[NFI Core Kit]],Table_NFI[NFI Core Kit])</f>
        <v>#REF!</v>
      </c>
      <c r="AD329" s="542" t="e">
        <f>IF(NFI_Expiration=1,IF(#REF!&lt;VLOOKUP(M$5,NFI,5,0),1,0)*Table_NFI[[#This Row],[Sanitary Kit]],Table_NFI[Sanitary Kit])</f>
        <v>#REF!</v>
      </c>
      <c r="AE329" s="542" t="e">
        <f>IF(NFI_Expiration=1,IF(#REF!&lt;VLOOKUP(N$5,NFI,5,0),1,0)*Table_NFI[[#This Row],[Mosquito net]],Table_NFI[Mosquito net])</f>
        <v>#REF!</v>
      </c>
      <c r="AF329" s="542" t="e">
        <f>IF(NFI_Expiration=1,IF(#REF!&lt;VLOOKUP(O$5,NFI,5,0),1,0)*Table_NFI[[#This Row],[Tarpaulin]],Table_NFI[[#This Row],[Tarpaulin]])</f>
        <v>#REF!</v>
      </c>
      <c r="AG329" s="542" t="e">
        <f>IF(NFI_Expiration=1,IF(#REF!&lt;VLOOKUP(P$5,NFI,5,0),1,0)*Table_NFI[[#This Row],[Blanket]],Table_NFI[[#This Row],[Blanket]])</f>
        <v>#REF!</v>
      </c>
      <c r="AH329" s="542" t="e">
        <f>IF(NFI_Expiration=1,IF(#REF!&lt;VLOOKUP(Q$5,NFI,5,0),1,0)*Table_NFI[[#This Row],[Kitchen Set]],Table_NFI[Kitchen Set])</f>
        <v>#REF!</v>
      </c>
      <c r="AI329" s="542" t="e">
        <f>IF(NFI_Expiration=1,IF(#REF!&lt;VLOOKUP(R$5,NFI,5,0),1,0)*Table_NFI[[#This Row],[Clothes Kit]],Table_NFI[Clothes Kit])</f>
        <v>#REF!</v>
      </c>
      <c r="AJ329" s="542" t="e">
        <f>IF(NFI_Expiration=1,IF(#REF!&lt;VLOOKUP(S$5,NFI,5,0),1,0)*Table_NFI[[#This Row],[Plastic Bucket]],Table_NFI[Plastic Bucket])</f>
        <v>#REF!</v>
      </c>
      <c r="AK329" s="542" t="e">
        <f>IF(NFI_Expiration=1,IF(#REF!&lt;VLOOKUP(T$5,NFI,5,0),1,0)*Table_NFI[[#This Row],[Plastic Mat]],Table_NFI[Plastic Mat])*IF(Table_NFI[[#This Row],[Distribution Date]]&gt;"2014-04-01",1,2.5)</f>
        <v>#REF!</v>
      </c>
      <c r="AL329" s="542" t="e">
        <f>IF(NFI_Expiration=1,IF(#REF!&lt;VLOOKUP(U$5,NFI,5,0),1,0)*Table_NFI[[#This Row],[Winter Clothes Adult]],Table_NFI[Winter Clothes Adult])</f>
        <v>#REF!</v>
      </c>
      <c r="AM329" s="542"/>
      <c r="AN329" s="542"/>
      <c r="AO329" s="542"/>
      <c r="AP329" s="542">
        <f>IF(Table_NFI[[#This Row],[Winter Clothes Adult]]+Table_NFI[[#This Row],[Winter Clothes Children]]+Table_NFI[[#This Row],[Winter Items Other]]+Table_NFI[[#This Row],[Winter Blanket]]&gt;0,1,0)</f>
        <v>0</v>
      </c>
      <c r="AQ329" s="542"/>
      <c r="AR329" s="542"/>
      <c r="AS329" s="542"/>
      <c r="AT329" s="205" t="str">
        <f>IFERROR(VLOOKUP(Table_NFI[[#This Row],[Location]],CL,2,0),"")</f>
        <v>MMR001CMP004</v>
      </c>
      <c r="AU329" s="183"/>
    </row>
    <row r="330" spans="2:47" x14ac:dyDescent="0.3">
      <c r="B330" s="540">
        <v>43273</v>
      </c>
      <c r="C330" s="540" t="str">
        <f>MONTH(Table_NFI[[#This Row],[Distribution Date]]) &amp; "/" &amp; YEAR(Table_NFI[[#This Row],[Distribution Date]])</f>
        <v>6/2018</v>
      </c>
      <c r="D330" s="198" t="s">
        <v>420</v>
      </c>
      <c r="E330" s="198" t="s">
        <v>462</v>
      </c>
      <c r="F330" s="198" t="s">
        <v>378</v>
      </c>
      <c r="G330" s="197" t="s">
        <v>309</v>
      </c>
      <c r="H330" s="198" t="s">
        <v>337</v>
      </c>
      <c r="I330" s="183"/>
      <c r="J330" s="541"/>
      <c r="K330" s="541"/>
      <c r="L330" s="541"/>
      <c r="M330" s="541"/>
      <c r="N330" s="541"/>
      <c r="O330" s="541">
        <v>20</v>
      </c>
      <c r="P330" s="541"/>
      <c r="Q330" s="541"/>
      <c r="R330" s="541"/>
      <c r="S330" s="541"/>
      <c r="T330" s="541"/>
      <c r="U330" s="541"/>
      <c r="V330" s="541"/>
      <c r="W330" s="541"/>
      <c r="X330" s="541"/>
      <c r="Y330" s="541"/>
      <c r="Z330" s="541"/>
      <c r="AA330" s="541"/>
      <c r="AB330" s="541"/>
      <c r="AC330" s="542" t="e">
        <f>IF(NFI_Expiration=1,IF(#REF!&lt;VLOOKUP(L$5,NFI,5,0),1,0)*Table_NFI[[#This Row],[NFI Core Kit]],Table_NFI[NFI Core Kit])</f>
        <v>#REF!</v>
      </c>
      <c r="AD330" s="542" t="e">
        <f>IF(NFI_Expiration=1,IF(#REF!&lt;VLOOKUP(M$5,NFI,5,0),1,0)*Table_NFI[[#This Row],[Sanitary Kit]],Table_NFI[Sanitary Kit])</f>
        <v>#REF!</v>
      </c>
      <c r="AE330" s="542" t="e">
        <f>IF(NFI_Expiration=1,IF(#REF!&lt;VLOOKUP(N$5,NFI,5,0),1,0)*Table_NFI[[#This Row],[Mosquito net]],Table_NFI[Mosquito net])</f>
        <v>#REF!</v>
      </c>
      <c r="AF330" s="542" t="e">
        <f>IF(NFI_Expiration=1,IF(#REF!&lt;VLOOKUP(O$5,NFI,5,0),1,0)*Table_NFI[[#This Row],[Tarpaulin]],Table_NFI[[#This Row],[Tarpaulin]])</f>
        <v>#REF!</v>
      </c>
      <c r="AG330" s="542" t="e">
        <f>IF(NFI_Expiration=1,IF(#REF!&lt;VLOOKUP(P$5,NFI,5,0),1,0)*Table_NFI[[#This Row],[Blanket]],Table_NFI[[#This Row],[Blanket]])</f>
        <v>#REF!</v>
      </c>
      <c r="AH330" s="542" t="e">
        <f>IF(NFI_Expiration=1,IF(#REF!&lt;VLOOKUP(Q$5,NFI,5,0),1,0)*Table_NFI[[#This Row],[Kitchen Set]],Table_NFI[Kitchen Set])</f>
        <v>#REF!</v>
      </c>
      <c r="AI330" s="542" t="e">
        <f>IF(NFI_Expiration=1,IF(#REF!&lt;VLOOKUP(R$5,NFI,5,0),1,0)*Table_NFI[[#This Row],[Clothes Kit]],Table_NFI[Clothes Kit])</f>
        <v>#REF!</v>
      </c>
      <c r="AJ330" s="542" t="e">
        <f>IF(NFI_Expiration=1,IF(#REF!&lt;VLOOKUP(S$5,NFI,5,0),1,0)*Table_NFI[[#This Row],[Plastic Bucket]],Table_NFI[Plastic Bucket])</f>
        <v>#REF!</v>
      </c>
      <c r="AK330" s="542" t="e">
        <f>IF(NFI_Expiration=1,IF(#REF!&lt;VLOOKUP(T$5,NFI,5,0),1,0)*Table_NFI[[#This Row],[Plastic Mat]],Table_NFI[Plastic Mat])*IF(Table_NFI[[#This Row],[Distribution Date]]&gt;"2014-04-01",1,2.5)</f>
        <v>#REF!</v>
      </c>
      <c r="AL330" s="542" t="e">
        <f>IF(NFI_Expiration=1,IF(#REF!&lt;VLOOKUP(U$5,NFI,5,0),1,0)*Table_NFI[[#This Row],[Winter Clothes Adult]],Table_NFI[Winter Clothes Adult])</f>
        <v>#REF!</v>
      </c>
      <c r="AM330" s="542"/>
      <c r="AN330" s="542"/>
      <c r="AO330" s="542"/>
      <c r="AP330" s="542">
        <f>IF(Table_NFI[[#This Row],[Winter Clothes Adult]]+Table_NFI[[#This Row],[Winter Clothes Children]]+Table_NFI[[#This Row],[Winter Items Other]]+Table_NFI[[#This Row],[Winter Blanket]]&gt;0,1,0)</f>
        <v>0</v>
      </c>
      <c r="AQ330" s="542"/>
      <c r="AR330" s="542"/>
      <c r="AS330" s="542"/>
      <c r="AT330" s="205" t="str">
        <f>IFERROR(VLOOKUP(Table_NFI[[#This Row],[Location]],CL,2,0),"")</f>
        <v>MMR001CMP030</v>
      </c>
      <c r="AU330" s="183"/>
    </row>
    <row r="331" spans="2:47" x14ac:dyDescent="0.3">
      <c r="B331" s="540">
        <v>43304</v>
      </c>
      <c r="C331" s="540" t="str">
        <f>MONTH(Table_NFI[[#This Row],[Distribution Date]]) &amp; "/" &amp; YEAR(Table_NFI[[#This Row],[Distribution Date]])</f>
        <v>7/2018</v>
      </c>
      <c r="D331" s="198" t="s">
        <v>420</v>
      </c>
      <c r="E331" s="198"/>
      <c r="F331" s="198" t="s">
        <v>378</v>
      </c>
      <c r="G331" s="197" t="s">
        <v>173</v>
      </c>
      <c r="H331" s="198" t="s">
        <v>1664</v>
      </c>
      <c r="I331" s="183"/>
      <c r="J331" s="541"/>
      <c r="K331" s="541"/>
      <c r="L331" s="541">
        <v>1</v>
      </c>
      <c r="M331" s="541"/>
      <c r="N331" s="541">
        <v>8</v>
      </c>
      <c r="O331" s="541">
        <v>1</v>
      </c>
      <c r="P331" s="541">
        <v>3</v>
      </c>
      <c r="Q331" s="541">
        <v>3</v>
      </c>
      <c r="R331" s="541"/>
      <c r="S331" s="541">
        <v>1</v>
      </c>
      <c r="T331" s="541">
        <v>3</v>
      </c>
      <c r="U331" s="541"/>
      <c r="V331" s="541"/>
      <c r="W331" s="541"/>
      <c r="X331" s="541"/>
      <c r="Y331" s="541"/>
      <c r="Z331" s="541"/>
      <c r="AA331" s="541"/>
      <c r="AB331" s="541"/>
      <c r="AC331" s="542" t="e">
        <f>IF(NFI_Expiration=1,IF(#REF!&lt;VLOOKUP(L$5,NFI,5,0),1,0)*Table_NFI[[#This Row],[NFI Core Kit]],Table_NFI[NFI Core Kit])</f>
        <v>#REF!</v>
      </c>
      <c r="AD331" s="542" t="e">
        <f>IF(NFI_Expiration=1,IF(#REF!&lt;VLOOKUP(M$5,NFI,5,0),1,0)*Table_NFI[[#This Row],[Sanitary Kit]],Table_NFI[Sanitary Kit])</f>
        <v>#REF!</v>
      </c>
      <c r="AE331" s="542" t="e">
        <f>IF(NFI_Expiration=1,IF(#REF!&lt;VLOOKUP(N$5,NFI,5,0),1,0)*Table_NFI[[#This Row],[Mosquito net]],Table_NFI[Mosquito net])</f>
        <v>#REF!</v>
      </c>
      <c r="AF331" s="542" t="e">
        <f>IF(NFI_Expiration=1,IF(#REF!&lt;VLOOKUP(O$5,NFI,5,0),1,0)*Table_NFI[[#This Row],[Tarpaulin]],Table_NFI[[#This Row],[Tarpaulin]])</f>
        <v>#REF!</v>
      </c>
      <c r="AG331" s="542" t="e">
        <f>IF(NFI_Expiration=1,IF(#REF!&lt;VLOOKUP(P$5,NFI,5,0),1,0)*Table_NFI[[#This Row],[Blanket]],Table_NFI[[#This Row],[Blanket]])</f>
        <v>#REF!</v>
      </c>
      <c r="AH331" s="542" t="e">
        <f>IF(NFI_Expiration=1,IF(#REF!&lt;VLOOKUP(Q$5,NFI,5,0),1,0)*Table_NFI[[#This Row],[Kitchen Set]],Table_NFI[Kitchen Set])</f>
        <v>#REF!</v>
      </c>
      <c r="AI331" s="542" t="e">
        <f>IF(NFI_Expiration=1,IF(#REF!&lt;VLOOKUP(R$5,NFI,5,0),1,0)*Table_NFI[[#This Row],[Clothes Kit]],Table_NFI[Clothes Kit])</f>
        <v>#REF!</v>
      </c>
      <c r="AJ331" s="542" t="e">
        <f>IF(NFI_Expiration=1,IF(#REF!&lt;VLOOKUP(S$5,NFI,5,0),1,0)*Table_NFI[[#This Row],[Plastic Bucket]],Table_NFI[Plastic Bucket])</f>
        <v>#REF!</v>
      </c>
      <c r="AK331" s="542" t="e">
        <f>IF(NFI_Expiration=1,IF(#REF!&lt;VLOOKUP(T$5,NFI,5,0),1,0)*Table_NFI[[#This Row],[Plastic Mat]],Table_NFI[Plastic Mat])*IF(Table_NFI[[#This Row],[Distribution Date]]&gt;"2014-04-01",1,2.5)</f>
        <v>#REF!</v>
      </c>
      <c r="AL331" s="542" t="e">
        <f>IF(NFI_Expiration=1,IF(#REF!&lt;VLOOKUP(U$5,NFI,5,0),1,0)*Table_NFI[[#This Row],[Winter Clothes Adult]],Table_NFI[Winter Clothes Adult])</f>
        <v>#REF!</v>
      </c>
      <c r="AM331" s="542"/>
      <c r="AN331" s="542"/>
      <c r="AO331" s="542"/>
      <c r="AP331" s="542">
        <f>IF(Table_NFI[[#This Row],[Winter Clothes Adult]]+Table_NFI[[#This Row],[Winter Clothes Children]]+Table_NFI[[#This Row],[Winter Items Other]]+Table_NFI[[#This Row],[Winter Blanket]]&gt;0,1,0)</f>
        <v>0</v>
      </c>
      <c r="AQ331" s="542"/>
      <c r="AR331" s="542"/>
      <c r="AS331" s="542"/>
      <c r="AT331" s="205" t="str">
        <f>IFERROR(VLOOKUP(Table_NFI[[#This Row],[Location]],CL,2,0),"")</f>
        <v>MMR001CMP259</v>
      </c>
      <c r="AU331" s="183"/>
    </row>
    <row r="332" spans="2:47" x14ac:dyDescent="0.3">
      <c r="B332" s="540">
        <v>43311</v>
      </c>
      <c r="C332" s="540" t="str">
        <f>MONTH(Table_NFI[[#This Row],[Distribution Date]]) &amp; "/" &amp; YEAR(Table_NFI[[#This Row],[Distribution Date]])</f>
        <v>7/2018</v>
      </c>
      <c r="D332" s="198" t="s">
        <v>420</v>
      </c>
      <c r="E332" s="198"/>
      <c r="F332" s="198" t="s">
        <v>378</v>
      </c>
      <c r="G332" s="197" t="s">
        <v>173</v>
      </c>
      <c r="H332" s="177" t="s">
        <v>1665</v>
      </c>
      <c r="I332" s="183"/>
      <c r="J332" s="541"/>
      <c r="K332" s="541"/>
      <c r="L332" s="541"/>
      <c r="M332" s="541"/>
      <c r="N332" s="541"/>
      <c r="O332" s="541"/>
      <c r="P332" s="541"/>
      <c r="Q332" s="541">
        <v>1</v>
      </c>
      <c r="R332" s="541"/>
      <c r="S332" s="541"/>
      <c r="T332" s="541">
        <v>5</v>
      </c>
      <c r="U332" s="541"/>
      <c r="V332" s="541"/>
      <c r="W332" s="541"/>
      <c r="X332" s="541"/>
      <c r="Y332" s="541"/>
      <c r="Z332" s="541"/>
      <c r="AA332" s="541"/>
      <c r="AB332" s="541"/>
      <c r="AC332" s="542" t="e">
        <f>IF(NFI_Expiration=1,IF(#REF!&lt;VLOOKUP(L$5,NFI,5,0),1,0)*Table_NFI[[#This Row],[NFI Core Kit]],Table_NFI[NFI Core Kit])</f>
        <v>#REF!</v>
      </c>
      <c r="AD332" s="542" t="e">
        <f>IF(NFI_Expiration=1,IF(#REF!&lt;VLOOKUP(M$5,NFI,5,0),1,0)*Table_NFI[[#This Row],[Sanitary Kit]],Table_NFI[Sanitary Kit])</f>
        <v>#REF!</v>
      </c>
      <c r="AE332" s="542" t="e">
        <f>IF(NFI_Expiration=1,IF(#REF!&lt;VLOOKUP(N$5,NFI,5,0),1,0)*Table_NFI[[#This Row],[Mosquito net]],Table_NFI[Mosquito net])</f>
        <v>#REF!</v>
      </c>
      <c r="AF332" s="542" t="e">
        <f>IF(NFI_Expiration=1,IF(#REF!&lt;VLOOKUP(O$5,NFI,5,0),1,0)*Table_NFI[[#This Row],[Tarpaulin]],Table_NFI[[#This Row],[Tarpaulin]])</f>
        <v>#REF!</v>
      </c>
      <c r="AG332" s="542" t="e">
        <f>IF(NFI_Expiration=1,IF(#REF!&lt;VLOOKUP(P$5,NFI,5,0),1,0)*Table_NFI[[#This Row],[Blanket]],Table_NFI[[#This Row],[Blanket]])</f>
        <v>#REF!</v>
      </c>
      <c r="AH332" s="542" t="e">
        <f>IF(NFI_Expiration=1,IF(#REF!&lt;VLOOKUP(Q$5,NFI,5,0),1,0)*Table_NFI[[#This Row],[Kitchen Set]],Table_NFI[Kitchen Set])</f>
        <v>#REF!</v>
      </c>
      <c r="AI332" s="542" t="e">
        <f>IF(NFI_Expiration=1,IF(#REF!&lt;VLOOKUP(R$5,NFI,5,0),1,0)*Table_NFI[[#This Row],[Clothes Kit]],Table_NFI[Clothes Kit])</f>
        <v>#REF!</v>
      </c>
      <c r="AJ332" s="542" t="e">
        <f>IF(NFI_Expiration=1,IF(#REF!&lt;VLOOKUP(S$5,NFI,5,0),1,0)*Table_NFI[[#This Row],[Plastic Bucket]],Table_NFI[Plastic Bucket])</f>
        <v>#REF!</v>
      </c>
      <c r="AK332" s="542" t="e">
        <f>IF(NFI_Expiration=1,IF(#REF!&lt;VLOOKUP(T$5,NFI,5,0),1,0)*Table_NFI[[#This Row],[Plastic Mat]],Table_NFI[Plastic Mat])*IF(Table_NFI[[#This Row],[Distribution Date]]&gt;"2014-04-01",1,2.5)</f>
        <v>#REF!</v>
      </c>
      <c r="AL332" s="542" t="e">
        <f>IF(NFI_Expiration=1,IF(#REF!&lt;VLOOKUP(U$5,NFI,5,0),1,0)*Table_NFI[[#This Row],[Winter Clothes Adult]],Table_NFI[Winter Clothes Adult])</f>
        <v>#REF!</v>
      </c>
      <c r="AM332" s="542"/>
      <c r="AN332" s="542"/>
      <c r="AO332" s="542"/>
      <c r="AP332" s="542">
        <f>IF(Table_NFI[[#This Row],[Winter Clothes Adult]]+Table_NFI[[#This Row],[Winter Clothes Children]]+Table_NFI[[#This Row],[Winter Items Other]]+Table_NFI[[#This Row],[Winter Blanket]]&gt;0,1,0)</f>
        <v>0</v>
      </c>
      <c r="AQ332" s="542"/>
      <c r="AR332" s="542"/>
      <c r="AS332" s="542"/>
      <c r="AT332" s="205" t="str">
        <f>IFERROR(VLOOKUP(Table_NFI[[#This Row],[Location]],CL,2,0),"")</f>
        <v>MMR001CMP260</v>
      </c>
      <c r="AU332" s="183"/>
    </row>
    <row r="333" spans="2:47" x14ac:dyDescent="0.3">
      <c r="B333" s="540">
        <v>43311</v>
      </c>
      <c r="C333" s="540" t="str">
        <f>MONTH(Table_NFI[[#This Row],[Distribution Date]]) &amp; "/" &amp; YEAR(Table_NFI[[#This Row],[Distribution Date]])</f>
        <v>7/2018</v>
      </c>
      <c r="D333" s="198" t="s">
        <v>420</v>
      </c>
      <c r="E333" s="198"/>
      <c r="F333" s="198" t="s">
        <v>378</v>
      </c>
      <c r="G333" s="197" t="s">
        <v>173</v>
      </c>
      <c r="H333" s="177" t="s">
        <v>1668</v>
      </c>
      <c r="I333" s="183"/>
      <c r="J333" s="541"/>
      <c r="K333" s="541"/>
      <c r="L333" s="541"/>
      <c r="M333" s="541"/>
      <c r="N333" s="541"/>
      <c r="O333" s="541"/>
      <c r="P333" s="541">
        <v>1</v>
      </c>
      <c r="Q333" s="541"/>
      <c r="R333" s="541"/>
      <c r="S333" s="541"/>
      <c r="T333" s="541"/>
      <c r="U333" s="541"/>
      <c r="V333" s="541"/>
      <c r="W333" s="541"/>
      <c r="X333" s="541"/>
      <c r="Y333" s="541"/>
      <c r="Z333" s="541"/>
      <c r="AA333" s="541"/>
      <c r="AB333" s="541"/>
      <c r="AC333" s="542" t="e">
        <f>IF(NFI_Expiration=1,IF(#REF!&lt;VLOOKUP(L$5,NFI,5,0),1,0)*Table_NFI[[#This Row],[NFI Core Kit]],Table_NFI[NFI Core Kit])</f>
        <v>#REF!</v>
      </c>
      <c r="AD333" s="542" t="e">
        <f>IF(NFI_Expiration=1,IF(#REF!&lt;VLOOKUP(M$5,NFI,5,0),1,0)*Table_NFI[[#This Row],[Sanitary Kit]],Table_NFI[Sanitary Kit])</f>
        <v>#REF!</v>
      </c>
      <c r="AE333" s="542" t="e">
        <f>IF(NFI_Expiration=1,IF(#REF!&lt;VLOOKUP(N$5,NFI,5,0),1,0)*Table_NFI[[#This Row],[Mosquito net]],Table_NFI[Mosquito net])</f>
        <v>#REF!</v>
      </c>
      <c r="AF333" s="542" t="e">
        <f>IF(NFI_Expiration=1,IF(#REF!&lt;VLOOKUP(O$5,NFI,5,0),1,0)*Table_NFI[[#This Row],[Tarpaulin]],Table_NFI[[#This Row],[Tarpaulin]])</f>
        <v>#REF!</v>
      </c>
      <c r="AG333" s="542" t="e">
        <f>IF(NFI_Expiration=1,IF(#REF!&lt;VLOOKUP(P$5,NFI,5,0),1,0)*Table_NFI[[#This Row],[Blanket]],Table_NFI[[#This Row],[Blanket]])</f>
        <v>#REF!</v>
      </c>
      <c r="AH333" s="542" t="e">
        <f>IF(NFI_Expiration=1,IF(#REF!&lt;VLOOKUP(Q$5,NFI,5,0),1,0)*Table_NFI[[#This Row],[Kitchen Set]],Table_NFI[Kitchen Set])</f>
        <v>#REF!</v>
      </c>
      <c r="AI333" s="542" t="e">
        <f>IF(NFI_Expiration=1,IF(#REF!&lt;VLOOKUP(R$5,NFI,5,0),1,0)*Table_NFI[[#This Row],[Clothes Kit]],Table_NFI[Clothes Kit])</f>
        <v>#REF!</v>
      </c>
      <c r="AJ333" s="542" t="e">
        <f>IF(NFI_Expiration=1,IF(#REF!&lt;VLOOKUP(S$5,NFI,5,0),1,0)*Table_NFI[[#This Row],[Plastic Bucket]],Table_NFI[Plastic Bucket])</f>
        <v>#REF!</v>
      </c>
      <c r="AK333" s="542" t="e">
        <f>IF(NFI_Expiration=1,IF(#REF!&lt;VLOOKUP(T$5,NFI,5,0),1,0)*Table_NFI[[#This Row],[Plastic Mat]],Table_NFI[Plastic Mat])*IF(Table_NFI[[#This Row],[Distribution Date]]&gt;"2014-04-01",1,2.5)</f>
        <v>#REF!</v>
      </c>
      <c r="AL333" s="542" t="e">
        <f>IF(NFI_Expiration=1,IF(#REF!&lt;VLOOKUP(U$5,NFI,5,0),1,0)*Table_NFI[[#This Row],[Winter Clothes Adult]],Table_NFI[Winter Clothes Adult])</f>
        <v>#REF!</v>
      </c>
      <c r="AM333" s="542"/>
      <c r="AN333" s="542"/>
      <c r="AO333" s="542"/>
      <c r="AP333" s="542">
        <f>IF(Table_NFI[[#This Row],[Winter Clothes Adult]]+Table_NFI[[#This Row],[Winter Clothes Children]]+Table_NFI[[#This Row],[Winter Items Other]]+Table_NFI[[#This Row],[Winter Blanket]]&gt;0,1,0)</f>
        <v>0</v>
      </c>
      <c r="AQ333" s="542"/>
      <c r="AR333" s="542"/>
      <c r="AS333" s="542"/>
      <c r="AT333" s="205" t="str">
        <f>IFERROR(VLOOKUP(Table_NFI[[#This Row],[Location]],CL,2,0),"")</f>
        <v>MMR001CMP262</v>
      </c>
      <c r="AU333" s="183"/>
    </row>
    <row r="334" spans="2:47" x14ac:dyDescent="0.3">
      <c r="B334" s="540">
        <v>43311</v>
      </c>
      <c r="C334" s="540" t="str">
        <f>MONTH(Table_NFI[[#This Row],[Distribution Date]]) &amp; "/" &amp; YEAR(Table_NFI[[#This Row],[Distribution Date]])</f>
        <v>7/2018</v>
      </c>
      <c r="D334" s="198" t="s">
        <v>420</v>
      </c>
      <c r="E334" s="198"/>
      <c r="F334" s="198" t="s">
        <v>378</v>
      </c>
      <c r="G334" s="197" t="s">
        <v>173</v>
      </c>
      <c r="H334" s="177" t="s">
        <v>1733</v>
      </c>
      <c r="I334" s="183"/>
      <c r="J334" s="541"/>
      <c r="K334" s="541"/>
      <c r="L334" s="541"/>
      <c r="M334" s="541"/>
      <c r="N334" s="541">
        <v>6</v>
      </c>
      <c r="O334" s="541"/>
      <c r="P334" s="541"/>
      <c r="Q334" s="541"/>
      <c r="R334" s="541"/>
      <c r="S334" s="541"/>
      <c r="T334" s="541">
        <v>21</v>
      </c>
      <c r="U334" s="541"/>
      <c r="V334" s="541"/>
      <c r="W334" s="541"/>
      <c r="X334" s="541"/>
      <c r="Y334" s="541"/>
      <c r="Z334" s="541"/>
      <c r="AA334" s="541"/>
      <c r="AB334" s="541"/>
      <c r="AC334" s="542" t="e">
        <f>IF(NFI_Expiration=1,IF(#REF!&lt;VLOOKUP(L$5,NFI,5,0),1,0)*Table_NFI[[#This Row],[NFI Core Kit]],Table_NFI[NFI Core Kit])</f>
        <v>#REF!</v>
      </c>
      <c r="AD334" s="542" t="e">
        <f>IF(NFI_Expiration=1,IF(#REF!&lt;VLOOKUP(M$5,NFI,5,0),1,0)*Table_NFI[[#This Row],[Sanitary Kit]],Table_NFI[Sanitary Kit])</f>
        <v>#REF!</v>
      </c>
      <c r="AE334" s="542" t="e">
        <f>IF(NFI_Expiration=1,IF(#REF!&lt;VLOOKUP(N$5,NFI,5,0),1,0)*Table_NFI[[#This Row],[Mosquito net]],Table_NFI[Mosquito net])</f>
        <v>#REF!</v>
      </c>
      <c r="AF334" s="542" t="e">
        <f>IF(NFI_Expiration=1,IF(#REF!&lt;VLOOKUP(O$5,NFI,5,0),1,0)*Table_NFI[[#This Row],[Tarpaulin]],Table_NFI[[#This Row],[Tarpaulin]])</f>
        <v>#REF!</v>
      </c>
      <c r="AG334" s="542" t="e">
        <f>IF(NFI_Expiration=1,IF(#REF!&lt;VLOOKUP(P$5,NFI,5,0),1,0)*Table_NFI[[#This Row],[Blanket]],Table_NFI[[#This Row],[Blanket]])</f>
        <v>#REF!</v>
      </c>
      <c r="AH334" s="542" t="e">
        <f>IF(NFI_Expiration=1,IF(#REF!&lt;VLOOKUP(Q$5,NFI,5,0),1,0)*Table_NFI[[#This Row],[Kitchen Set]],Table_NFI[Kitchen Set])</f>
        <v>#REF!</v>
      </c>
      <c r="AI334" s="542" t="e">
        <f>IF(NFI_Expiration=1,IF(#REF!&lt;VLOOKUP(R$5,NFI,5,0),1,0)*Table_NFI[[#This Row],[Clothes Kit]],Table_NFI[Clothes Kit])</f>
        <v>#REF!</v>
      </c>
      <c r="AJ334" s="542" t="e">
        <f>IF(NFI_Expiration=1,IF(#REF!&lt;VLOOKUP(S$5,NFI,5,0),1,0)*Table_NFI[[#This Row],[Plastic Bucket]],Table_NFI[Plastic Bucket])</f>
        <v>#REF!</v>
      </c>
      <c r="AK334" s="542" t="e">
        <f>IF(NFI_Expiration=1,IF(#REF!&lt;VLOOKUP(T$5,NFI,5,0),1,0)*Table_NFI[[#This Row],[Plastic Mat]],Table_NFI[Plastic Mat])*IF(Table_NFI[[#This Row],[Distribution Date]]&gt;"2014-04-01",1,2.5)</f>
        <v>#REF!</v>
      </c>
      <c r="AL334" s="542" t="e">
        <f>IF(NFI_Expiration=1,IF(#REF!&lt;VLOOKUP(U$5,NFI,5,0),1,0)*Table_NFI[[#This Row],[Winter Clothes Adult]],Table_NFI[Winter Clothes Adult])</f>
        <v>#REF!</v>
      </c>
      <c r="AM334" s="542"/>
      <c r="AN334" s="542"/>
      <c r="AO334" s="542"/>
      <c r="AP334" s="542">
        <f>IF(Table_NFI[[#This Row],[Winter Clothes Adult]]+Table_NFI[[#This Row],[Winter Clothes Children]]+Table_NFI[[#This Row],[Winter Items Other]]+Table_NFI[[#This Row],[Winter Blanket]]&gt;0,1,0)</f>
        <v>0</v>
      </c>
      <c r="AQ334" s="542"/>
      <c r="AR334" s="542"/>
      <c r="AS334" s="542"/>
      <c r="AT334" s="205" t="str">
        <f>IFERROR(VLOOKUP(Table_NFI[[#This Row],[Location]],CL,2,0),"")</f>
        <v>MMR001CMP261</v>
      </c>
      <c r="AU334" s="183"/>
    </row>
    <row r="335" spans="2:47" x14ac:dyDescent="0.3">
      <c r="B335" s="540">
        <v>43311</v>
      </c>
      <c r="C335" s="540" t="str">
        <f>MONTH(Table_NFI[[#This Row],[Distribution Date]]) &amp; "/" &amp; YEAR(Table_NFI[[#This Row],[Distribution Date]])</f>
        <v>7/2018</v>
      </c>
      <c r="D335" s="198" t="s">
        <v>420</v>
      </c>
      <c r="E335" s="198" t="s">
        <v>424</v>
      </c>
      <c r="F335" s="198" t="s">
        <v>506</v>
      </c>
      <c r="G335" s="197" t="s">
        <v>146</v>
      </c>
      <c r="H335" s="198" t="s">
        <v>149</v>
      </c>
      <c r="I335" s="183"/>
      <c r="J335" s="541"/>
      <c r="K335" s="541"/>
      <c r="L335" s="541"/>
      <c r="M335" s="541"/>
      <c r="N335" s="541"/>
      <c r="O335" s="541"/>
      <c r="P335" s="541">
        <v>20</v>
      </c>
      <c r="Q335" s="541"/>
      <c r="R335" s="541"/>
      <c r="S335" s="541"/>
      <c r="T335" s="541">
        <v>37</v>
      </c>
      <c r="U335" s="541"/>
      <c r="V335" s="541"/>
      <c r="W335" s="541"/>
      <c r="X335" s="541"/>
      <c r="Y335" s="541"/>
      <c r="Z335" s="541"/>
      <c r="AA335" s="541"/>
      <c r="AB335" s="541"/>
      <c r="AC335" s="542" t="e">
        <f>IF(NFI_Expiration=1,IF(#REF!&lt;VLOOKUP(L$5,NFI,5,0),1,0)*Table_NFI[[#This Row],[NFI Core Kit]],Table_NFI[NFI Core Kit])</f>
        <v>#REF!</v>
      </c>
      <c r="AD335" s="542" t="e">
        <f>IF(NFI_Expiration=1,IF(#REF!&lt;VLOOKUP(M$5,NFI,5,0),1,0)*Table_NFI[[#This Row],[Sanitary Kit]],Table_NFI[Sanitary Kit])</f>
        <v>#REF!</v>
      </c>
      <c r="AE335" s="542" t="e">
        <f>IF(NFI_Expiration=1,IF(#REF!&lt;VLOOKUP(N$5,NFI,5,0),1,0)*Table_NFI[[#This Row],[Mosquito net]],Table_NFI[Mosquito net])</f>
        <v>#REF!</v>
      </c>
      <c r="AF335" s="542" t="e">
        <f>IF(NFI_Expiration=1,IF(#REF!&lt;VLOOKUP(O$5,NFI,5,0),1,0)*Table_NFI[[#This Row],[Tarpaulin]],Table_NFI[[#This Row],[Tarpaulin]])</f>
        <v>#REF!</v>
      </c>
      <c r="AG335" s="542" t="e">
        <f>IF(NFI_Expiration=1,IF(#REF!&lt;VLOOKUP(P$5,NFI,5,0),1,0)*Table_NFI[[#This Row],[Blanket]],Table_NFI[[#This Row],[Blanket]])</f>
        <v>#REF!</v>
      </c>
      <c r="AH335" s="542" t="e">
        <f>IF(NFI_Expiration=1,IF(#REF!&lt;VLOOKUP(Q$5,NFI,5,0),1,0)*Table_NFI[[#This Row],[Kitchen Set]],Table_NFI[Kitchen Set])</f>
        <v>#REF!</v>
      </c>
      <c r="AI335" s="542" t="e">
        <f>IF(NFI_Expiration=1,IF(#REF!&lt;VLOOKUP(R$5,NFI,5,0),1,0)*Table_NFI[[#This Row],[Clothes Kit]],Table_NFI[Clothes Kit])</f>
        <v>#REF!</v>
      </c>
      <c r="AJ335" s="542" t="e">
        <f>IF(NFI_Expiration=1,IF(#REF!&lt;VLOOKUP(S$5,NFI,5,0),1,0)*Table_NFI[[#This Row],[Plastic Bucket]],Table_NFI[Plastic Bucket])</f>
        <v>#REF!</v>
      </c>
      <c r="AK335" s="542" t="e">
        <f>IF(NFI_Expiration=1,IF(#REF!&lt;VLOOKUP(T$5,NFI,5,0),1,0)*Table_NFI[[#This Row],[Plastic Mat]],Table_NFI[Plastic Mat])*IF(Table_NFI[[#This Row],[Distribution Date]]&gt;"2014-04-01",1,2.5)</f>
        <v>#REF!</v>
      </c>
      <c r="AL335" s="542" t="e">
        <f>IF(NFI_Expiration=1,IF(#REF!&lt;VLOOKUP(U$5,NFI,5,0),1,0)*Table_NFI[[#This Row],[Winter Clothes Adult]],Table_NFI[Winter Clothes Adult])</f>
        <v>#REF!</v>
      </c>
      <c r="AM335" s="542"/>
      <c r="AN335" s="542"/>
      <c r="AO335" s="542"/>
      <c r="AP335" s="542">
        <f>IF(Table_NFI[[#This Row],[Winter Clothes Adult]]+Table_NFI[[#This Row],[Winter Clothes Children]]+Table_NFI[[#This Row],[Winter Items Other]]+Table_NFI[[#This Row],[Winter Blanket]]&gt;0,1,0)</f>
        <v>0</v>
      </c>
      <c r="AQ335" s="542"/>
      <c r="AR335" s="542"/>
      <c r="AS335" s="542"/>
      <c r="AT335" s="205" t="str">
        <f>IFERROR(VLOOKUP(Table_NFI[[#This Row],[Location]],CL,2,0),"")</f>
        <v>MMR015CMP007</v>
      </c>
      <c r="AU335" s="183"/>
    </row>
    <row r="336" spans="2:47" x14ac:dyDescent="0.3">
      <c r="B336" s="540">
        <v>43311</v>
      </c>
      <c r="C336" s="540" t="str">
        <f>MONTH(Table_NFI[[#This Row],[Distribution Date]]) &amp; "/" &amp; YEAR(Table_NFI[[#This Row],[Distribution Date]])</f>
        <v>7/2018</v>
      </c>
      <c r="D336" s="198" t="s">
        <v>420</v>
      </c>
      <c r="E336" s="198" t="s">
        <v>424</v>
      </c>
      <c r="F336" s="198" t="s">
        <v>506</v>
      </c>
      <c r="G336" s="197" t="s">
        <v>146</v>
      </c>
      <c r="H336" s="198" t="s">
        <v>1617</v>
      </c>
      <c r="I336" s="183"/>
      <c r="J336" s="541"/>
      <c r="K336" s="541"/>
      <c r="L336" s="541"/>
      <c r="M336" s="541"/>
      <c r="N336" s="541"/>
      <c r="O336" s="541"/>
      <c r="P336" s="541">
        <v>20</v>
      </c>
      <c r="Q336" s="541"/>
      <c r="R336" s="541"/>
      <c r="S336" s="541"/>
      <c r="T336" s="541">
        <v>56</v>
      </c>
      <c r="U336" s="541"/>
      <c r="V336" s="541"/>
      <c r="W336" s="541"/>
      <c r="X336" s="541"/>
      <c r="Y336" s="541"/>
      <c r="Z336" s="541"/>
      <c r="AA336" s="541"/>
      <c r="AB336" s="541"/>
      <c r="AC336" s="542" t="e">
        <f>IF(NFI_Expiration=1,IF(#REF!&lt;VLOOKUP(L$5,NFI,5,0),1,0)*Table_NFI[[#This Row],[NFI Core Kit]],Table_NFI[NFI Core Kit])</f>
        <v>#REF!</v>
      </c>
      <c r="AD336" s="542" t="e">
        <f>IF(NFI_Expiration=1,IF(#REF!&lt;VLOOKUP(M$5,NFI,5,0),1,0)*Table_NFI[[#This Row],[Sanitary Kit]],Table_NFI[Sanitary Kit])</f>
        <v>#REF!</v>
      </c>
      <c r="AE336" s="542" t="e">
        <f>IF(NFI_Expiration=1,IF(#REF!&lt;VLOOKUP(N$5,NFI,5,0),1,0)*Table_NFI[[#This Row],[Mosquito net]],Table_NFI[Mosquito net])</f>
        <v>#REF!</v>
      </c>
      <c r="AF336" s="542" t="e">
        <f>IF(NFI_Expiration=1,IF(#REF!&lt;VLOOKUP(O$5,NFI,5,0),1,0)*Table_NFI[[#This Row],[Tarpaulin]],Table_NFI[[#This Row],[Tarpaulin]])</f>
        <v>#REF!</v>
      </c>
      <c r="AG336" s="542" t="e">
        <f>IF(NFI_Expiration=1,IF(#REF!&lt;VLOOKUP(P$5,NFI,5,0),1,0)*Table_NFI[[#This Row],[Blanket]],Table_NFI[[#This Row],[Blanket]])</f>
        <v>#REF!</v>
      </c>
      <c r="AH336" s="542" t="e">
        <f>IF(NFI_Expiration=1,IF(#REF!&lt;VLOOKUP(Q$5,NFI,5,0),1,0)*Table_NFI[[#This Row],[Kitchen Set]],Table_NFI[Kitchen Set])</f>
        <v>#REF!</v>
      </c>
      <c r="AI336" s="542" t="e">
        <f>IF(NFI_Expiration=1,IF(#REF!&lt;VLOOKUP(R$5,NFI,5,0),1,0)*Table_NFI[[#This Row],[Clothes Kit]],Table_NFI[Clothes Kit])</f>
        <v>#REF!</v>
      </c>
      <c r="AJ336" s="542" t="e">
        <f>IF(NFI_Expiration=1,IF(#REF!&lt;VLOOKUP(S$5,NFI,5,0),1,0)*Table_NFI[[#This Row],[Plastic Bucket]],Table_NFI[Plastic Bucket])</f>
        <v>#REF!</v>
      </c>
      <c r="AK336" s="542" t="e">
        <f>IF(NFI_Expiration=1,IF(#REF!&lt;VLOOKUP(T$5,NFI,5,0),1,0)*Table_NFI[[#This Row],[Plastic Mat]],Table_NFI[Plastic Mat])*IF(Table_NFI[[#This Row],[Distribution Date]]&gt;"2014-04-01",1,2.5)</f>
        <v>#REF!</v>
      </c>
      <c r="AL336" s="542" t="e">
        <f>IF(NFI_Expiration=1,IF(#REF!&lt;VLOOKUP(U$5,NFI,5,0),1,0)*Table_NFI[[#This Row],[Winter Clothes Adult]],Table_NFI[Winter Clothes Adult])</f>
        <v>#REF!</v>
      </c>
      <c r="AM336" s="542"/>
      <c r="AN336" s="542"/>
      <c r="AO336" s="542"/>
      <c r="AP336" s="542">
        <f>IF(Table_NFI[[#This Row],[Winter Clothes Adult]]+Table_NFI[[#This Row],[Winter Clothes Children]]+Table_NFI[[#This Row],[Winter Items Other]]+Table_NFI[[#This Row],[Winter Blanket]]&gt;0,1,0)</f>
        <v>0</v>
      </c>
      <c r="AQ336" s="542"/>
      <c r="AR336" s="542"/>
      <c r="AS336" s="542"/>
      <c r="AT336" s="205" t="str">
        <f>IFERROR(VLOOKUP(Table_NFI[[#This Row],[Location]],CL,2,0),"")</f>
        <v>MMR015CMP018</v>
      </c>
      <c r="AU336" s="183"/>
    </row>
    <row r="337" spans="2:47" x14ac:dyDescent="0.3">
      <c r="B337" s="540">
        <v>43311</v>
      </c>
      <c r="C337" s="540" t="str">
        <f>MONTH(Table_NFI[[#This Row],[Distribution Date]]) &amp; "/" &amp; YEAR(Table_NFI[[#This Row],[Distribution Date]])</f>
        <v>7/2018</v>
      </c>
      <c r="D337" s="198" t="s">
        <v>420</v>
      </c>
      <c r="E337" s="198" t="s">
        <v>424</v>
      </c>
      <c r="F337" s="198" t="s">
        <v>506</v>
      </c>
      <c r="G337" s="197" t="s">
        <v>146</v>
      </c>
      <c r="H337" s="198" t="s">
        <v>1618</v>
      </c>
      <c r="I337" s="183"/>
      <c r="J337" s="541"/>
      <c r="K337" s="541"/>
      <c r="L337" s="541"/>
      <c r="M337" s="541"/>
      <c r="N337" s="541"/>
      <c r="O337" s="541"/>
      <c r="P337" s="541">
        <v>30</v>
      </c>
      <c r="Q337" s="541"/>
      <c r="R337" s="541"/>
      <c r="S337" s="541"/>
      <c r="T337" s="541">
        <v>55</v>
      </c>
      <c r="U337" s="541"/>
      <c r="V337" s="541"/>
      <c r="W337" s="541"/>
      <c r="X337" s="541"/>
      <c r="Y337" s="541"/>
      <c r="Z337" s="541"/>
      <c r="AA337" s="541"/>
      <c r="AB337" s="541"/>
      <c r="AC337" s="542" t="e">
        <f>IF(NFI_Expiration=1,IF(#REF!&lt;VLOOKUP(L$5,NFI,5,0),1,0)*Table_NFI[[#This Row],[NFI Core Kit]],Table_NFI[NFI Core Kit])</f>
        <v>#REF!</v>
      </c>
      <c r="AD337" s="542" t="e">
        <f>IF(NFI_Expiration=1,IF(#REF!&lt;VLOOKUP(M$5,NFI,5,0),1,0)*Table_NFI[[#This Row],[Sanitary Kit]],Table_NFI[Sanitary Kit])</f>
        <v>#REF!</v>
      </c>
      <c r="AE337" s="542" t="e">
        <f>IF(NFI_Expiration=1,IF(#REF!&lt;VLOOKUP(N$5,NFI,5,0),1,0)*Table_NFI[[#This Row],[Mosquito net]],Table_NFI[Mosquito net])</f>
        <v>#REF!</v>
      </c>
      <c r="AF337" s="542" t="e">
        <f>IF(NFI_Expiration=1,IF(#REF!&lt;VLOOKUP(O$5,NFI,5,0),1,0)*Table_NFI[[#This Row],[Tarpaulin]],Table_NFI[[#This Row],[Tarpaulin]])</f>
        <v>#REF!</v>
      </c>
      <c r="AG337" s="542" t="e">
        <f>IF(NFI_Expiration=1,IF(#REF!&lt;VLOOKUP(P$5,NFI,5,0),1,0)*Table_NFI[[#This Row],[Blanket]],Table_NFI[[#This Row],[Blanket]])</f>
        <v>#REF!</v>
      </c>
      <c r="AH337" s="542" t="e">
        <f>IF(NFI_Expiration=1,IF(#REF!&lt;VLOOKUP(Q$5,NFI,5,0),1,0)*Table_NFI[[#This Row],[Kitchen Set]],Table_NFI[Kitchen Set])</f>
        <v>#REF!</v>
      </c>
      <c r="AI337" s="542" t="e">
        <f>IF(NFI_Expiration=1,IF(#REF!&lt;VLOOKUP(R$5,NFI,5,0),1,0)*Table_NFI[[#This Row],[Clothes Kit]],Table_NFI[Clothes Kit])</f>
        <v>#REF!</v>
      </c>
      <c r="AJ337" s="542" t="e">
        <f>IF(NFI_Expiration=1,IF(#REF!&lt;VLOOKUP(S$5,NFI,5,0),1,0)*Table_NFI[[#This Row],[Plastic Bucket]],Table_NFI[Plastic Bucket])</f>
        <v>#REF!</v>
      </c>
      <c r="AK337" s="542" t="e">
        <f>IF(NFI_Expiration=1,IF(#REF!&lt;VLOOKUP(T$5,NFI,5,0),1,0)*Table_NFI[[#This Row],[Plastic Mat]],Table_NFI[Plastic Mat])*IF(Table_NFI[[#This Row],[Distribution Date]]&gt;"2014-04-01",1,2.5)</f>
        <v>#REF!</v>
      </c>
      <c r="AL337" s="542" t="e">
        <f>IF(NFI_Expiration=1,IF(#REF!&lt;VLOOKUP(U$5,NFI,5,0),1,0)*Table_NFI[[#This Row],[Winter Clothes Adult]],Table_NFI[Winter Clothes Adult])</f>
        <v>#REF!</v>
      </c>
      <c r="AM337" s="542"/>
      <c r="AN337" s="542"/>
      <c r="AO337" s="542"/>
      <c r="AP337" s="542">
        <f>IF(Table_NFI[[#This Row],[Winter Clothes Adult]]+Table_NFI[[#This Row],[Winter Clothes Children]]+Table_NFI[[#This Row],[Winter Items Other]]+Table_NFI[[#This Row],[Winter Blanket]]&gt;0,1,0)</f>
        <v>0</v>
      </c>
      <c r="AQ337" s="542"/>
      <c r="AR337" s="542"/>
      <c r="AS337" s="542"/>
      <c r="AT337" s="205" t="str">
        <f>IFERROR(VLOOKUP(Table_NFI[[#This Row],[Location]],CL,2,0),"")</f>
        <v>MMR015CMP220</v>
      </c>
      <c r="AU337" s="183"/>
    </row>
    <row r="338" spans="2:47" x14ac:dyDescent="0.3">
      <c r="B338" s="540">
        <v>43311</v>
      </c>
      <c r="C338" s="540" t="str">
        <f>MONTH(Table_NFI[[#This Row],[Distribution Date]]) &amp; "/" &amp; YEAR(Table_NFI[[#This Row],[Distribution Date]])</f>
        <v>7/2018</v>
      </c>
      <c r="D338" s="198" t="s">
        <v>420</v>
      </c>
      <c r="E338" s="198" t="s">
        <v>424</v>
      </c>
      <c r="F338" s="198" t="s">
        <v>506</v>
      </c>
      <c r="G338" s="197" t="s">
        <v>146</v>
      </c>
      <c r="H338" s="198" t="s">
        <v>367</v>
      </c>
      <c r="I338" s="183"/>
      <c r="J338" s="541"/>
      <c r="K338" s="541"/>
      <c r="L338" s="541"/>
      <c r="M338" s="541"/>
      <c r="N338" s="541"/>
      <c r="O338" s="541"/>
      <c r="P338" s="541">
        <v>20</v>
      </c>
      <c r="Q338" s="541"/>
      <c r="R338" s="541"/>
      <c r="S338" s="541"/>
      <c r="T338" s="541">
        <v>33</v>
      </c>
      <c r="U338" s="541"/>
      <c r="V338" s="541"/>
      <c r="W338" s="541"/>
      <c r="X338" s="541"/>
      <c r="Y338" s="541"/>
      <c r="Z338" s="541"/>
      <c r="AA338" s="541"/>
      <c r="AB338" s="541"/>
      <c r="AC338" s="542" t="e">
        <f>IF(NFI_Expiration=1,IF(#REF!&lt;VLOOKUP(L$5,NFI,5,0),1,0)*Table_NFI[[#This Row],[NFI Core Kit]],Table_NFI[NFI Core Kit])</f>
        <v>#REF!</v>
      </c>
      <c r="AD338" s="542" t="e">
        <f>IF(NFI_Expiration=1,IF(#REF!&lt;VLOOKUP(M$5,NFI,5,0),1,0)*Table_NFI[[#This Row],[Sanitary Kit]],Table_NFI[Sanitary Kit])</f>
        <v>#REF!</v>
      </c>
      <c r="AE338" s="542" t="e">
        <f>IF(NFI_Expiration=1,IF(#REF!&lt;VLOOKUP(N$5,NFI,5,0),1,0)*Table_NFI[[#This Row],[Mosquito net]],Table_NFI[Mosquito net])</f>
        <v>#REF!</v>
      </c>
      <c r="AF338" s="542" t="e">
        <f>IF(NFI_Expiration=1,IF(#REF!&lt;VLOOKUP(O$5,NFI,5,0),1,0)*Table_NFI[[#This Row],[Tarpaulin]],Table_NFI[[#This Row],[Tarpaulin]])</f>
        <v>#REF!</v>
      </c>
      <c r="AG338" s="542" t="e">
        <f>IF(NFI_Expiration=1,IF(#REF!&lt;VLOOKUP(P$5,NFI,5,0),1,0)*Table_NFI[[#This Row],[Blanket]],Table_NFI[[#This Row],[Blanket]])</f>
        <v>#REF!</v>
      </c>
      <c r="AH338" s="542" t="e">
        <f>IF(NFI_Expiration=1,IF(#REF!&lt;VLOOKUP(Q$5,NFI,5,0),1,0)*Table_NFI[[#This Row],[Kitchen Set]],Table_NFI[Kitchen Set])</f>
        <v>#REF!</v>
      </c>
      <c r="AI338" s="542" t="e">
        <f>IF(NFI_Expiration=1,IF(#REF!&lt;VLOOKUP(R$5,NFI,5,0),1,0)*Table_NFI[[#This Row],[Clothes Kit]],Table_NFI[Clothes Kit])</f>
        <v>#REF!</v>
      </c>
      <c r="AJ338" s="542" t="e">
        <f>IF(NFI_Expiration=1,IF(#REF!&lt;VLOOKUP(S$5,NFI,5,0),1,0)*Table_NFI[[#This Row],[Plastic Bucket]],Table_NFI[Plastic Bucket])</f>
        <v>#REF!</v>
      </c>
      <c r="AK338" s="542" t="e">
        <f>IF(NFI_Expiration=1,IF(#REF!&lt;VLOOKUP(T$5,NFI,5,0),1,0)*Table_NFI[[#This Row],[Plastic Mat]],Table_NFI[Plastic Mat])*IF(Table_NFI[[#This Row],[Distribution Date]]&gt;"2014-04-01",1,2.5)</f>
        <v>#REF!</v>
      </c>
      <c r="AL338" s="542" t="e">
        <f>IF(NFI_Expiration=1,IF(#REF!&lt;VLOOKUP(U$5,NFI,5,0),1,0)*Table_NFI[[#This Row],[Winter Clothes Adult]],Table_NFI[Winter Clothes Adult])</f>
        <v>#REF!</v>
      </c>
      <c r="AM338" s="542"/>
      <c r="AN338" s="542"/>
      <c r="AO338" s="542"/>
      <c r="AP338" s="542">
        <f>IF(Table_NFI[[#This Row],[Winter Clothes Adult]]+Table_NFI[[#This Row],[Winter Clothes Children]]+Table_NFI[[#This Row],[Winter Items Other]]+Table_NFI[[#This Row],[Winter Blanket]]&gt;0,1,0)</f>
        <v>0</v>
      </c>
      <c r="AQ338" s="542"/>
      <c r="AR338" s="542"/>
      <c r="AS338" s="542"/>
      <c r="AT338" s="205" t="str">
        <f>IFERROR(VLOOKUP(Table_NFI[[#This Row],[Location]],CL,2,0),"")</f>
        <v>MMR015CMP016</v>
      </c>
      <c r="AU338" s="183"/>
    </row>
    <row r="339" spans="2:47" x14ac:dyDescent="0.3">
      <c r="B339" s="540">
        <v>43311</v>
      </c>
      <c r="C339" s="540" t="str">
        <f>MONTH(Table_NFI[[#This Row],[Distribution Date]]) &amp; "/" &amp; YEAR(Table_NFI[[#This Row],[Distribution Date]])</f>
        <v>7/2018</v>
      </c>
      <c r="D339" s="198" t="s">
        <v>420</v>
      </c>
      <c r="E339" s="198" t="s">
        <v>424</v>
      </c>
      <c r="F339" s="198" t="s">
        <v>506</v>
      </c>
      <c r="G339" s="197" t="s">
        <v>146</v>
      </c>
      <c r="H339" s="177" t="s">
        <v>1232</v>
      </c>
      <c r="I339" s="183"/>
      <c r="J339" s="541"/>
      <c r="K339" s="541"/>
      <c r="L339" s="541"/>
      <c r="M339" s="541"/>
      <c r="N339" s="541"/>
      <c r="O339" s="541"/>
      <c r="P339" s="541">
        <v>15</v>
      </c>
      <c r="Q339" s="541"/>
      <c r="R339" s="541"/>
      <c r="S339" s="541"/>
      <c r="T339" s="541">
        <v>22</v>
      </c>
      <c r="U339" s="541"/>
      <c r="V339" s="541"/>
      <c r="W339" s="541"/>
      <c r="X339" s="541"/>
      <c r="Y339" s="541"/>
      <c r="Z339" s="541"/>
      <c r="AA339" s="541"/>
      <c r="AB339" s="541"/>
      <c r="AC339" s="542" t="e">
        <f>IF(NFI_Expiration=1,IF(#REF!&lt;VLOOKUP(L$5,NFI,5,0),1,0)*Table_NFI[[#This Row],[NFI Core Kit]],Table_NFI[NFI Core Kit])</f>
        <v>#REF!</v>
      </c>
      <c r="AD339" s="542" t="e">
        <f>IF(NFI_Expiration=1,IF(#REF!&lt;VLOOKUP(M$5,NFI,5,0),1,0)*Table_NFI[[#This Row],[Sanitary Kit]],Table_NFI[Sanitary Kit])</f>
        <v>#REF!</v>
      </c>
      <c r="AE339" s="542" t="e">
        <f>IF(NFI_Expiration=1,IF(#REF!&lt;VLOOKUP(N$5,NFI,5,0),1,0)*Table_NFI[[#This Row],[Mosquito net]],Table_NFI[Mosquito net])</f>
        <v>#REF!</v>
      </c>
      <c r="AF339" s="542" t="e">
        <f>IF(NFI_Expiration=1,IF(#REF!&lt;VLOOKUP(O$5,NFI,5,0),1,0)*Table_NFI[[#This Row],[Tarpaulin]],Table_NFI[[#This Row],[Tarpaulin]])</f>
        <v>#REF!</v>
      </c>
      <c r="AG339" s="542" t="e">
        <f>IF(NFI_Expiration=1,IF(#REF!&lt;VLOOKUP(P$5,NFI,5,0),1,0)*Table_NFI[[#This Row],[Blanket]],Table_NFI[[#This Row],[Blanket]])</f>
        <v>#REF!</v>
      </c>
      <c r="AH339" s="542" t="e">
        <f>IF(NFI_Expiration=1,IF(#REF!&lt;VLOOKUP(Q$5,NFI,5,0),1,0)*Table_NFI[[#This Row],[Kitchen Set]],Table_NFI[Kitchen Set])</f>
        <v>#REF!</v>
      </c>
      <c r="AI339" s="542" t="e">
        <f>IF(NFI_Expiration=1,IF(#REF!&lt;VLOOKUP(R$5,NFI,5,0),1,0)*Table_NFI[[#This Row],[Clothes Kit]],Table_NFI[Clothes Kit])</f>
        <v>#REF!</v>
      </c>
      <c r="AJ339" s="542" t="e">
        <f>IF(NFI_Expiration=1,IF(#REF!&lt;VLOOKUP(S$5,NFI,5,0),1,0)*Table_NFI[[#This Row],[Plastic Bucket]],Table_NFI[Plastic Bucket])</f>
        <v>#REF!</v>
      </c>
      <c r="AK339" s="542" t="e">
        <f>IF(NFI_Expiration=1,IF(#REF!&lt;VLOOKUP(T$5,NFI,5,0),1,0)*Table_NFI[[#This Row],[Plastic Mat]],Table_NFI[Plastic Mat])*IF(Table_NFI[[#This Row],[Distribution Date]]&gt;"2014-04-01",1,2.5)</f>
        <v>#REF!</v>
      </c>
      <c r="AL339" s="542" t="e">
        <f>IF(NFI_Expiration=1,IF(#REF!&lt;VLOOKUP(U$5,NFI,5,0),1,0)*Table_NFI[[#This Row],[Winter Clothes Adult]],Table_NFI[Winter Clothes Adult])</f>
        <v>#REF!</v>
      </c>
      <c r="AM339" s="542"/>
      <c r="AN339" s="542"/>
      <c r="AO339" s="542"/>
      <c r="AP339" s="542">
        <f>IF(Table_NFI[[#This Row],[Winter Clothes Adult]]+Table_NFI[[#This Row],[Winter Clothes Children]]+Table_NFI[[#This Row],[Winter Items Other]]+Table_NFI[[#This Row],[Winter Blanket]]&gt;0,1,0)</f>
        <v>0</v>
      </c>
      <c r="AQ339" s="542"/>
      <c r="AR339" s="542"/>
      <c r="AS339" s="542"/>
      <c r="AT339" s="205" t="str">
        <f>IFERROR(VLOOKUP(Table_NFI[[#This Row],[Location]],CL,2,0),"")</f>
        <v>MMR015CMP245</v>
      </c>
      <c r="AU339" s="183"/>
    </row>
    <row r="340" spans="2:47" x14ac:dyDescent="0.3">
      <c r="B340" s="540">
        <v>43311</v>
      </c>
      <c r="C340" s="540" t="str">
        <f>MONTH(Table_NFI[[#This Row],[Distribution Date]]) &amp; "/" &amp; YEAR(Table_NFI[[#This Row],[Distribution Date]])</f>
        <v>7/2018</v>
      </c>
      <c r="D340" s="198" t="s">
        <v>420</v>
      </c>
      <c r="E340" s="198" t="s">
        <v>424</v>
      </c>
      <c r="F340" s="198" t="s">
        <v>506</v>
      </c>
      <c r="G340" s="197" t="s">
        <v>146</v>
      </c>
      <c r="H340" s="198" t="s">
        <v>371</v>
      </c>
      <c r="I340" s="183"/>
      <c r="J340" s="541"/>
      <c r="K340" s="541"/>
      <c r="L340" s="541"/>
      <c r="M340" s="541"/>
      <c r="N340" s="541"/>
      <c r="O340" s="541"/>
      <c r="P340" s="541">
        <v>42</v>
      </c>
      <c r="Q340" s="541"/>
      <c r="R340" s="541"/>
      <c r="S340" s="541"/>
      <c r="T340" s="541">
        <v>16</v>
      </c>
      <c r="U340" s="541"/>
      <c r="V340" s="541"/>
      <c r="W340" s="541"/>
      <c r="X340" s="541"/>
      <c r="Y340" s="541"/>
      <c r="Z340" s="541"/>
      <c r="AA340" s="541"/>
      <c r="AB340" s="541"/>
      <c r="AC340" s="542" t="e">
        <f>IF(NFI_Expiration=1,IF(#REF!&lt;VLOOKUP(L$5,NFI,5,0),1,0)*Table_NFI[[#This Row],[NFI Core Kit]],Table_NFI[NFI Core Kit])</f>
        <v>#REF!</v>
      </c>
      <c r="AD340" s="542" t="e">
        <f>IF(NFI_Expiration=1,IF(#REF!&lt;VLOOKUP(M$5,NFI,5,0),1,0)*Table_NFI[[#This Row],[Sanitary Kit]],Table_NFI[Sanitary Kit])</f>
        <v>#REF!</v>
      </c>
      <c r="AE340" s="542" t="e">
        <f>IF(NFI_Expiration=1,IF(#REF!&lt;VLOOKUP(N$5,NFI,5,0),1,0)*Table_NFI[[#This Row],[Mosquito net]],Table_NFI[Mosquito net])</f>
        <v>#REF!</v>
      </c>
      <c r="AF340" s="542" t="e">
        <f>IF(NFI_Expiration=1,IF(#REF!&lt;VLOOKUP(O$5,NFI,5,0),1,0)*Table_NFI[[#This Row],[Tarpaulin]],Table_NFI[[#This Row],[Tarpaulin]])</f>
        <v>#REF!</v>
      </c>
      <c r="AG340" s="542" t="e">
        <f>IF(NFI_Expiration=1,IF(#REF!&lt;VLOOKUP(P$5,NFI,5,0),1,0)*Table_NFI[[#This Row],[Blanket]],Table_NFI[[#This Row],[Blanket]])</f>
        <v>#REF!</v>
      </c>
      <c r="AH340" s="542" t="e">
        <f>IF(NFI_Expiration=1,IF(#REF!&lt;VLOOKUP(Q$5,NFI,5,0),1,0)*Table_NFI[[#This Row],[Kitchen Set]],Table_NFI[Kitchen Set])</f>
        <v>#REF!</v>
      </c>
      <c r="AI340" s="542" t="e">
        <f>IF(NFI_Expiration=1,IF(#REF!&lt;VLOOKUP(R$5,NFI,5,0),1,0)*Table_NFI[[#This Row],[Clothes Kit]],Table_NFI[Clothes Kit])</f>
        <v>#REF!</v>
      </c>
      <c r="AJ340" s="542" t="e">
        <f>IF(NFI_Expiration=1,IF(#REF!&lt;VLOOKUP(S$5,NFI,5,0),1,0)*Table_NFI[[#This Row],[Plastic Bucket]],Table_NFI[Plastic Bucket])</f>
        <v>#REF!</v>
      </c>
      <c r="AK340" s="542" t="e">
        <f>IF(NFI_Expiration=1,IF(#REF!&lt;VLOOKUP(T$5,NFI,5,0),1,0)*Table_NFI[[#This Row],[Plastic Mat]],Table_NFI[Plastic Mat])*IF(Table_NFI[[#This Row],[Distribution Date]]&gt;"2014-04-01",1,2.5)</f>
        <v>#REF!</v>
      </c>
      <c r="AL340" s="542" t="e">
        <f>IF(NFI_Expiration=1,IF(#REF!&lt;VLOOKUP(U$5,NFI,5,0),1,0)*Table_NFI[[#This Row],[Winter Clothes Adult]],Table_NFI[Winter Clothes Adult])</f>
        <v>#REF!</v>
      </c>
      <c r="AM340" s="542"/>
      <c r="AN340" s="542"/>
      <c r="AO340" s="542"/>
      <c r="AP340" s="542">
        <f>IF(Table_NFI[[#This Row],[Winter Clothes Adult]]+Table_NFI[[#This Row],[Winter Clothes Children]]+Table_NFI[[#This Row],[Winter Items Other]]+Table_NFI[[#This Row],[Winter Blanket]]&gt;0,1,0)</f>
        <v>0</v>
      </c>
      <c r="AQ340" s="542"/>
      <c r="AR340" s="542"/>
      <c r="AS340" s="542"/>
      <c r="AT340" s="205" t="str">
        <f>IFERROR(VLOOKUP(Table_NFI[[#This Row],[Location]],CL,2,0),"")</f>
        <v>MMR015CMP020</v>
      </c>
      <c r="AU340" s="183"/>
    </row>
    <row r="341" spans="2:47" x14ac:dyDescent="0.3">
      <c r="B341" s="540">
        <v>43311</v>
      </c>
      <c r="C341" s="540" t="str">
        <f>MONTH(Table_NFI[[#This Row],[Distribution Date]]) &amp; "/" &amp; YEAR(Table_NFI[[#This Row],[Distribution Date]])</f>
        <v>7/2018</v>
      </c>
      <c r="D341" s="198" t="s">
        <v>420</v>
      </c>
      <c r="E341" s="198" t="s">
        <v>424</v>
      </c>
      <c r="F341" s="198" t="s">
        <v>506</v>
      </c>
      <c r="G341" s="197" t="s">
        <v>146</v>
      </c>
      <c r="H341" s="198" t="s">
        <v>369</v>
      </c>
      <c r="I341" s="183"/>
      <c r="J341" s="541"/>
      <c r="K341" s="541"/>
      <c r="L341" s="541"/>
      <c r="M341" s="541">
        <v>25</v>
      </c>
      <c r="N341" s="541"/>
      <c r="O341" s="541"/>
      <c r="P341" s="541">
        <v>15</v>
      </c>
      <c r="Q341" s="541"/>
      <c r="R341" s="541"/>
      <c r="S341" s="541">
        <v>26</v>
      </c>
      <c r="T341" s="541">
        <v>44</v>
      </c>
      <c r="U341" s="541"/>
      <c r="V341" s="541"/>
      <c r="W341" s="541"/>
      <c r="X341" s="541"/>
      <c r="Y341" s="541"/>
      <c r="Z341" s="541"/>
      <c r="AA341" s="541"/>
      <c r="AB341" s="541"/>
      <c r="AC341" s="542" t="e">
        <f>IF(NFI_Expiration=1,IF(#REF!&lt;VLOOKUP(L$5,NFI,5,0),1,0)*Table_NFI[[#This Row],[NFI Core Kit]],Table_NFI[NFI Core Kit])</f>
        <v>#REF!</v>
      </c>
      <c r="AD341" s="542" t="e">
        <f>IF(NFI_Expiration=1,IF(#REF!&lt;VLOOKUP(M$5,NFI,5,0),1,0)*Table_NFI[[#This Row],[Sanitary Kit]],Table_NFI[Sanitary Kit])</f>
        <v>#REF!</v>
      </c>
      <c r="AE341" s="542" t="e">
        <f>IF(NFI_Expiration=1,IF(#REF!&lt;VLOOKUP(N$5,NFI,5,0),1,0)*Table_NFI[[#This Row],[Mosquito net]],Table_NFI[Mosquito net])</f>
        <v>#REF!</v>
      </c>
      <c r="AF341" s="542" t="e">
        <f>IF(NFI_Expiration=1,IF(#REF!&lt;VLOOKUP(O$5,NFI,5,0),1,0)*Table_NFI[[#This Row],[Tarpaulin]],Table_NFI[[#This Row],[Tarpaulin]])</f>
        <v>#REF!</v>
      </c>
      <c r="AG341" s="542" t="e">
        <f>IF(NFI_Expiration=1,IF(#REF!&lt;VLOOKUP(P$5,NFI,5,0),1,0)*Table_NFI[[#This Row],[Blanket]],Table_NFI[[#This Row],[Blanket]])</f>
        <v>#REF!</v>
      </c>
      <c r="AH341" s="542" t="e">
        <f>IF(NFI_Expiration=1,IF(#REF!&lt;VLOOKUP(Q$5,NFI,5,0),1,0)*Table_NFI[[#This Row],[Kitchen Set]],Table_NFI[Kitchen Set])</f>
        <v>#REF!</v>
      </c>
      <c r="AI341" s="542" t="e">
        <f>IF(NFI_Expiration=1,IF(#REF!&lt;VLOOKUP(R$5,NFI,5,0),1,0)*Table_NFI[[#This Row],[Clothes Kit]],Table_NFI[Clothes Kit])</f>
        <v>#REF!</v>
      </c>
      <c r="AJ341" s="542" t="e">
        <f>IF(NFI_Expiration=1,IF(#REF!&lt;VLOOKUP(S$5,NFI,5,0),1,0)*Table_NFI[[#This Row],[Plastic Bucket]],Table_NFI[Plastic Bucket])</f>
        <v>#REF!</v>
      </c>
      <c r="AK341" s="542" t="e">
        <f>IF(NFI_Expiration=1,IF(#REF!&lt;VLOOKUP(T$5,NFI,5,0),1,0)*Table_NFI[[#This Row],[Plastic Mat]],Table_NFI[Plastic Mat])*IF(Table_NFI[[#This Row],[Distribution Date]]&gt;"2014-04-01",1,2.5)</f>
        <v>#REF!</v>
      </c>
      <c r="AL341" s="542" t="e">
        <f>IF(NFI_Expiration=1,IF(#REF!&lt;VLOOKUP(U$5,NFI,5,0),1,0)*Table_NFI[[#This Row],[Winter Clothes Adult]],Table_NFI[Winter Clothes Adult])</f>
        <v>#REF!</v>
      </c>
      <c r="AM341" s="542"/>
      <c r="AN341" s="542"/>
      <c r="AO341" s="542"/>
      <c r="AP341" s="542">
        <f>IF(Table_NFI[[#This Row],[Winter Clothes Adult]]+Table_NFI[[#This Row],[Winter Clothes Children]]+Table_NFI[[#This Row],[Winter Items Other]]+Table_NFI[[#This Row],[Winter Blanket]]&gt;0,1,0)</f>
        <v>0</v>
      </c>
      <c r="AQ341" s="542"/>
      <c r="AR341" s="542"/>
      <c r="AS341" s="542"/>
      <c r="AT341" s="205" t="str">
        <f>IFERROR(VLOOKUP(Table_NFI[[#This Row],[Location]],CL,2,0),"")</f>
        <v>MMR015CMP006</v>
      </c>
      <c r="AU341" s="183"/>
    </row>
    <row r="342" spans="2:47" x14ac:dyDescent="0.3">
      <c r="B342" s="540">
        <v>43311</v>
      </c>
      <c r="C342" s="540" t="str">
        <f>MONTH(Table_NFI[[#This Row],[Distribution Date]]) &amp; "/" &amp; YEAR(Table_NFI[[#This Row],[Distribution Date]])</f>
        <v>7/2018</v>
      </c>
      <c r="D342" s="198" t="s">
        <v>420</v>
      </c>
      <c r="E342" s="198" t="s">
        <v>424</v>
      </c>
      <c r="F342" s="198" t="s">
        <v>506</v>
      </c>
      <c r="G342" s="197" t="s">
        <v>146</v>
      </c>
      <c r="H342" s="198" t="s">
        <v>1060</v>
      </c>
      <c r="I342" s="183"/>
      <c r="J342" s="541"/>
      <c r="K342" s="541"/>
      <c r="L342" s="541">
        <v>20</v>
      </c>
      <c r="M342" s="541"/>
      <c r="N342" s="541"/>
      <c r="O342" s="541"/>
      <c r="P342" s="541">
        <v>10</v>
      </c>
      <c r="Q342" s="541"/>
      <c r="R342" s="541"/>
      <c r="S342" s="541"/>
      <c r="T342" s="541">
        <v>24</v>
      </c>
      <c r="U342" s="541"/>
      <c r="V342" s="541"/>
      <c r="W342" s="541"/>
      <c r="X342" s="541"/>
      <c r="Y342" s="541"/>
      <c r="Z342" s="541"/>
      <c r="AA342" s="541"/>
      <c r="AB342" s="541"/>
      <c r="AC342" s="542" t="e">
        <f>IF(NFI_Expiration=1,IF(#REF!&lt;VLOOKUP(L$5,NFI,5,0),1,0)*Table_NFI[[#This Row],[NFI Core Kit]],Table_NFI[NFI Core Kit])</f>
        <v>#REF!</v>
      </c>
      <c r="AD342" s="542" t="e">
        <f>IF(NFI_Expiration=1,IF(#REF!&lt;VLOOKUP(M$5,NFI,5,0),1,0)*Table_NFI[[#This Row],[Sanitary Kit]],Table_NFI[Sanitary Kit])</f>
        <v>#REF!</v>
      </c>
      <c r="AE342" s="542" t="e">
        <f>IF(NFI_Expiration=1,IF(#REF!&lt;VLOOKUP(N$5,NFI,5,0),1,0)*Table_NFI[[#This Row],[Mosquito net]],Table_NFI[Mosquito net])</f>
        <v>#REF!</v>
      </c>
      <c r="AF342" s="542" t="e">
        <f>IF(NFI_Expiration=1,IF(#REF!&lt;VLOOKUP(O$5,NFI,5,0),1,0)*Table_NFI[[#This Row],[Tarpaulin]],Table_NFI[[#This Row],[Tarpaulin]])</f>
        <v>#REF!</v>
      </c>
      <c r="AG342" s="542" t="e">
        <f>IF(NFI_Expiration=1,IF(#REF!&lt;VLOOKUP(P$5,NFI,5,0),1,0)*Table_NFI[[#This Row],[Blanket]],Table_NFI[[#This Row],[Blanket]])</f>
        <v>#REF!</v>
      </c>
      <c r="AH342" s="542" t="e">
        <f>IF(NFI_Expiration=1,IF(#REF!&lt;VLOOKUP(Q$5,NFI,5,0),1,0)*Table_NFI[[#This Row],[Kitchen Set]],Table_NFI[Kitchen Set])</f>
        <v>#REF!</v>
      </c>
      <c r="AI342" s="542" t="e">
        <f>IF(NFI_Expiration=1,IF(#REF!&lt;VLOOKUP(R$5,NFI,5,0),1,0)*Table_NFI[[#This Row],[Clothes Kit]],Table_NFI[Clothes Kit])</f>
        <v>#REF!</v>
      </c>
      <c r="AJ342" s="542" t="e">
        <f>IF(NFI_Expiration=1,IF(#REF!&lt;VLOOKUP(S$5,NFI,5,0),1,0)*Table_NFI[[#This Row],[Plastic Bucket]],Table_NFI[Plastic Bucket])</f>
        <v>#REF!</v>
      </c>
      <c r="AK342" s="542" t="e">
        <f>IF(NFI_Expiration=1,IF(#REF!&lt;VLOOKUP(T$5,NFI,5,0),1,0)*Table_NFI[[#This Row],[Plastic Mat]],Table_NFI[Plastic Mat])*IF(Table_NFI[[#This Row],[Distribution Date]]&gt;"2014-04-01",1,2.5)</f>
        <v>#REF!</v>
      </c>
      <c r="AL342" s="542" t="e">
        <f>IF(NFI_Expiration=1,IF(#REF!&lt;VLOOKUP(U$5,NFI,5,0),1,0)*Table_NFI[[#This Row],[Winter Clothes Adult]],Table_NFI[Winter Clothes Adult])</f>
        <v>#REF!</v>
      </c>
      <c r="AM342" s="542"/>
      <c r="AN342" s="542"/>
      <c r="AO342" s="542"/>
      <c r="AP342" s="542">
        <f>IF(Table_NFI[[#This Row],[Winter Clothes Adult]]+Table_NFI[[#This Row],[Winter Clothes Children]]+Table_NFI[[#This Row],[Winter Items Other]]+Table_NFI[[#This Row],[Winter Blanket]]&gt;0,1,0)</f>
        <v>0</v>
      </c>
      <c r="AQ342" s="542"/>
      <c r="AR342" s="542"/>
      <c r="AS342" s="542"/>
      <c r="AT342" s="205" t="str">
        <f>IFERROR(VLOOKUP(Table_NFI[[#This Row],[Location]],CL,2,0),"")</f>
        <v>MMR015CMP218</v>
      </c>
      <c r="AU342" s="183"/>
    </row>
    <row r="343" spans="2:47" x14ac:dyDescent="0.3">
      <c r="B343" s="540">
        <v>43311</v>
      </c>
      <c r="C343" s="540" t="str">
        <f>MONTH(Table_NFI[[#This Row],[Distribution Date]]) &amp; "/" &amp; YEAR(Table_NFI[[#This Row],[Distribution Date]])</f>
        <v>7/2018</v>
      </c>
      <c r="D343" s="198" t="s">
        <v>420</v>
      </c>
      <c r="E343" s="198" t="s">
        <v>424</v>
      </c>
      <c r="F343" s="198" t="s">
        <v>506</v>
      </c>
      <c r="G343" s="197" t="s">
        <v>297</v>
      </c>
      <c r="H343" s="177" t="s">
        <v>759</v>
      </c>
      <c r="I343" s="183"/>
      <c r="J343" s="541"/>
      <c r="K343" s="541"/>
      <c r="L343" s="541"/>
      <c r="M343" s="541"/>
      <c r="N343" s="541"/>
      <c r="O343" s="541"/>
      <c r="P343" s="541">
        <v>15</v>
      </c>
      <c r="Q343" s="541"/>
      <c r="R343" s="541"/>
      <c r="S343" s="541"/>
      <c r="T343" s="541">
        <v>25</v>
      </c>
      <c r="U343" s="541"/>
      <c r="V343" s="541"/>
      <c r="W343" s="541"/>
      <c r="X343" s="541"/>
      <c r="Y343" s="541"/>
      <c r="Z343" s="541"/>
      <c r="AA343" s="541"/>
      <c r="AB343" s="541"/>
      <c r="AC343" s="542" t="e">
        <f>IF(NFI_Expiration=1,IF(#REF!&lt;VLOOKUP(L$5,NFI,5,0),1,0)*Table_NFI[[#This Row],[NFI Core Kit]],Table_NFI[NFI Core Kit])</f>
        <v>#REF!</v>
      </c>
      <c r="AD343" s="542" t="e">
        <f>IF(NFI_Expiration=1,IF(#REF!&lt;VLOOKUP(M$5,NFI,5,0),1,0)*Table_NFI[[#This Row],[Sanitary Kit]],Table_NFI[Sanitary Kit])</f>
        <v>#REF!</v>
      </c>
      <c r="AE343" s="542" t="e">
        <f>IF(NFI_Expiration=1,IF(#REF!&lt;VLOOKUP(N$5,NFI,5,0),1,0)*Table_NFI[[#This Row],[Mosquito net]],Table_NFI[Mosquito net])</f>
        <v>#REF!</v>
      </c>
      <c r="AF343" s="542" t="e">
        <f>IF(NFI_Expiration=1,IF(#REF!&lt;VLOOKUP(O$5,NFI,5,0),1,0)*Table_NFI[[#This Row],[Tarpaulin]],Table_NFI[[#This Row],[Tarpaulin]])</f>
        <v>#REF!</v>
      </c>
      <c r="AG343" s="542" t="e">
        <f>IF(NFI_Expiration=1,IF(#REF!&lt;VLOOKUP(P$5,NFI,5,0),1,0)*Table_NFI[[#This Row],[Blanket]],Table_NFI[[#This Row],[Blanket]])</f>
        <v>#REF!</v>
      </c>
      <c r="AH343" s="542" t="e">
        <f>IF(NFI_Expiration=1,IF(#REF!&lt;VLOOKUP(Q$5,NFI,5,0),1,0)*Table_NFI[[#This Row],[Kitchen Set]],Table_NFI[Kitchen Set])</f>
        <v>#REF!</v>
      </c>
      <c r="AI343" s="542" t="e">
        <f>IF(NFI_Expiration=1,IF(#REF!&lt;VLOOKUP(R$5,NFI,5,0),1,0)*Table_NFI[[#This Row],[Clothes Kit]],Table_NFI[Clothes Kit])</f>
        <v>#REF!</v>
      </c>
      <c r="AJ343" s="542" t="e">
        <f>IF(NFI_Expiration=1,IF(#REF!&lt;VLOOKUP(S$5,NFI,5,0),1,0)*Table_NFI[[#This Row],[Plastic Bucket]],Table_NFI[Plastic Bucket])</f>
        <v>#REF!</v>
      </c>
      <c r="AK343" s="542" t="e">
        <f>IF(NFI_Expiration=1,IF(#REF!&lt;VLOOKUP(T$5,NFI,5,0),1,0)*Table_NFI[[#This Row],[Plastic Mat]],Table_NFI[Plastic Mat])*IF(Table_NFI[[#This Row],[Distribution Date]]&gt;"2014-04-01",1,2.5)</f>
        <v>#REF!</v>
      </c>
      <c r="AL343" s="542" t="e">
        <f>IF(NFI_Expiration=1,IF(#REF!&lt;VLOOKUP(U$5,NFI,5,0),1,0)*Table_NFI[[#This Row],[Winter Clothes Adult]],Table_NFI[Winter Clothes Adult])</f>
        <v>#REF!</v>
      </c>
      <c r="AM343" s="542"/>
      <c r="AN343" s="542"/>
      <c r="AO343" s="542"/>
      <c r="AP343" s="542">
        <f>IF(Table_NFI[[#This Row],[Winter Clothes Adult]]+Table_NFI[[#This Row],[Winter Clothes Children]]+Table_NFI[[#This Row],[Winter Items Other]]+Table_NFI[[#This Row],[Winter Blanket]]&gt;0,1,0)</f>
        <v>0</v>
      </c>
      <c r="AQ343" s="542"/>
      <c r="AR343" s="542"/>
      <c r="AS343" s="542"/>
      <c r="AT343" s="205" t="str">
        <f>IFERROR(VLOOKUP(Table_NFI[[#This Row],[Location]],CL,2,0),"")</f>
        <v>MMR015CMP014</v>
      </c>
      <c r="AU343" s="183"/>
    </row>
    <row r="344" spans="2:47" x14ac:dyDescent="0.3">
      <c r="B344" s="540">
        <v>43311</v>
      </c>
      <c r="C344" s="540" t="str">
        <f>MONTH(Table_NFI[[#This Row],[Distribution Date]]) &amp; "/" &amp; YEAR(Table_NFI[[#This Row],[Distribution Date]])</f>
        <v>7/2018</v>
      </c>
      <c r="D344" s="198" t="s">
        <v>420</v>
      </c>
      <c r="E344" s="198" t="s">
        <v>424</v>
      </c>
      <c r="F344" s="198" t="s">
        <v>506</v>
      </c>
      <c r="G344" s="197" t="s">
        <v>166</v>
      </c>
      <c r="H344" s="177" t="s">
        <v>167</v>
      </c>
      <c r="I344" s="183"/>
      <c r="J344" s="541"/>
      <c r="K344" s="541"/>
      <c r="L344" s="541"/>
      <c r="M344" s="541"/>
      <c r="N344" s="541"/>
      <c r="O344" s="541"/>
      <c r="P344" s="541">
        <v>20</v>
      </c>
      <c r="Q344" s="541"/>
      <c r="R344" s="541"/>
      <c r="S344" s="541"/>
      <c r="T344" s="541">
        <v>24</v>
      </c>
      <c r="U344" s="541"/>
      <c r="V344" s="541"/>
      <c r="W344" s="541"/>
      <c r="X344" s="541"/>
      <c r="Y344" s="541"/>
      <c r="Z344" s="541"/>
      <c r="AA344" s="541"/>
      <c r="AB344" s="541"/>
      <c r="AC344" s="542" t="e">
        <f>IF(NFI_Expiration=1,IF(#REF!&lt;VLOOKUP(L$5,NFI,5,0),1,0)*Table_NFI[[#This Row],[NFI Core Kit]],Table_NFI[NFI Core Kit])</f>
        <v>#REF!</v>
      </c>
      <c r="AD344" s="542" t="e">
        <f>IF(NFI_Expiration=1,IF(#REF!&lt;VLOOKUP(M$5,NFI,5,0),1,0)*Table_NFI[[#This Row],[Sanitary Kit]],Table_NFI[Sanitary Kit])</f>
        <v>#REF!</v>
      </c>
      <c r="AE344" s="542" t="e">
        <f>IF(NFI_Expiration=1,IF(#REF!&lt;VLOOKUP(N$5,NFI,5,0),1,0)*Table_NFI[[#This Row],[Mosquito net]],Table_NFI[Mosquito net])</f>
        <v>#REF!</v>
      </c>
      <c r="AF344" s="542" t="e">
        <f>IF(NFI_Expiration=1,IF(#REF!&lt;VLOOKUP(O$5,NFI,5,0),1,0)*Table_NFI[[#This Row],[Tarpaulin]],Table_NFI[[#This Row],[Tarpaulin]])</f>
        <v>#REF!</v>
      </c>
      <c r="AG344" s="542" t="e">
        <f>IF(NFI_Expiration=1,IF(#REF!&lt;VLOOKUP(P$5,NFI,5,0),1,0)*Table_NFI[[#This Row],[Blanket]],Table_NFI[[#This Row],[Blanket]])</f>
        <v>#REF!</v>
      </c>
      <c r="AH344" s="542" t="e">
        <f>IF(NFI_Expiration=1,IF(#REF!&lt;VLOOKUP(Q$5,NFI,5,0),1,0)*Table_NFI[[#This Row],[Kitchen Set]],Table_NFI[Kitchen Set])</f>
        <v>#REF!</v>
      </c>
      <c r="AI344" s="542" t="e">
        <f>IF(NFI_Expiration=1,IF(#REF!&lt;VLOOKUP(R$5,NFI,5,0),1,0)*Table_NFI[[#This Row],[Clothes Kit]],Table_NFI[Clothes Kit])</f>
        <v>#REF!</v>
      </c>
      <c r="AJ344" s="542" t="e">
        <f>IF(NFI_Expiration=1,IF(#REF!&lt;VLOOKUP(S$5,NFI,5,0),1,0)*Table_NFI[[#This Row],[Plastic Bucket]],Table_NFI[Plastic Bucket])</f>
        <v>#REF!</v>
      </c>
      <c r="AK344" s="542" t="e">
        <f>IF(NFI_Expiration=1,IF(#REF!&lt;VLOOKUP(T$5,NFI,5,0),1,0)*Table_NFI[[#This Row],[Plastic Mat]],Table_NFI[Plastic Mat])*IF(Table_NFI[[#This Row],[Distribution Date]]&gt;"2014-04-01",1,2.5)</f>
        <v>#REF!</v>
      </c>
      <c r="AL344" s="542" t="e">
        <f>IF(NFI_Expiration=1,IF(#REF!&lt;VLOOKUP(U$5,NFI,5,0),1,0)*Table_NFI[[#This Row],[Winter Clothes Adult]],Table_NFI[Winter Clothes Adult])</f>
        <v>#REF!</v>
      </c>
      <c r="AM344" s="542"/>
      <c r="AN344" s="542"/>
      <c r="AO344" s="542"/>
      <c r="AP344" s="542">
        <f>IF(Table_NFI[[#This Row],[Winter Clothes Adult]]+Table_NFI[[#This Row],[Winter Clothes Children]]+Table_NFI[[#This Row],[Winter Items Other]]+Table_NFI[[#This Row],[Winter Blanket]]&gt;0,1,0)</f>
        <v>0</v>
      </c>
      <c r="AQ344" s="542"/>
      <c r="AR344" s="542"/>
      <c r="AS344" s="542"/>
      <c r="AT344" s="205" t="str">
        <f>IFERROR(VLOOKUP(Table_NFI[[#This Row],[Location]],CL,2,0),"")</f>
        <v>MMR015CMP009</v>
      </c>
      <c r="AU344" s="183"/>
    </row>
    <row r="345" spans="2:47" x14ac:dyDescent="0.3">
      <c r="B345" s="540">
        <v>43311</v>
      </c>
      <c r="C345" s="540" t="str">
        <f>MONTH(Table_NFI[[#This Row],[Distribution Date]]) &amp; "/" &amp; YEAR(Table_NFI[[#This Row],[Distribution Date]])</f>
        <v>7/2018</v>
      </c>
      <c r="D345" s="198" t="s">
        <v>420</v>
      </c>
      <c r="E345" s="198" t="s">
        <v>424</v>
      </c>
      <c r="F345" s="198" t="s">
        <v>506</v>
      </c>
      <c r="G345" s="197" t="s">
        <v>146</v>
      </c>
      <c r="H345" s="177" t="s">
        <v>1241</v>
      </c>
      <c r="I345" s="183"/>
      <c r="J345" s="541"/>
      <c r="K345" s="541"/>
      <c r="L345" s="541"/>
      <c r="M345" s="541"/>
      <c r="N345" s="541"/>
      <c r="O345" s="541"/>
      <c r="P345" s="541">
        <v>10</v>
      </c>
      <c r="Q345" s="541"/>
      <c r="R345" s="541"/>
      <c r="S345" s="541"/>
      <c r="T345" s="541">
        <v>13</v>
      </c>
      <c r="U345" s="541"/>
      <c r="V345" s="541"/>
      <c r="W345" s="541"/>
      <c r="X345" s="541"/>
      <c r="Y345" s="541"/>
      <c r="Z345" s="541"/>
      <c r="AA345" s="541"/>
      <c r="AB345" s="541"/>
      <c r="AC345" s="542" t="e">
        <f>IF(NFI_Expiration=1,IF(#REF!&lt;VLOOKUP(L$5,NFI,5,0),1,0)*Table_NFI[[#This Row],[NFI Core Kit]],Table_NFI[NFI Core Kit])</f>
        <v>#REF!</v>
      </c>
      <c r="AD345" s="542" t="e">
        <f>IF(NFI_Expiration=1,IF(#REF!&lt;VLOOKUP(M$5,NFI,5,0),1,0)*Table_NFI[[#This Row],[Sanitary Kit]],Table_NFI[Sanitary Kit])</f>
        <v>#REF!</v>
      </c>
      <c r="AE345" s="542" t="e">
        <f>IF(NFI_Expiration=1,IF(#REF!&lt;VLOOKUP(N$5,NFI,5,0),1,0)*Table_NFI[[#This Row],[Mosquito net]],Table_NFI[Mosquito net])</f>
        <v>#REF!</v>
      </c>
      <c r="AF345" s="542" t="e">
        <f>IF(NFI_Expiration=1,IF(#REF!&lt;VLOOKUP(O$5,NFI,5,0),1,0)*Table_NFI[[#This Row],[Tarpaulin]],Table_NFI[[#This Row],[Tarpaulin]])</f>
        <v>#REF!</v>
      </c>
      <c r="AG345" s="542" t="e">
        <f>IF(NFI_Expiration=1,IF(#REF!&lt;VLOOKUP(P$5,NFI,5,0),1,0)*Table_NFI[[#This Row],[Blanket]],Table_NFI[[#This Row],[Blanket]])</f>
        <v>#REF!</v>
      </c>
      <c r="AH345" s="542" t="e">
        <f>IF(NFI_Expiration=1,IF(#REF!&lt;VLOOKUP(Q$5,NFI,5,0),1,0)*Table_NFI[[#This Row],[Kitchen Set]],Table_NFI[Kitchen Set])</f>
        <v>#REF!</v>
      </c>
      <c r="AI345" s="542" t="e">
        <f>IF(NFI_Expiration=1,IF(#REF!&lt;VLOOKUP(R$5,NFI,5,0),1,0)*Table_NFI[[#This Row],[Clothes Kit]],Table_NFI[Clothes Kit])</f>
        <v>#REF!</v>
      </c>
      <c r="AJ345" s="542" t="e">
        <f>IF(NFI_Expiration=1,IF(#REF!&lt;VLOOKUP(S$5,NFI,5,0),1,0)*Table_NFI[[#This Row],[Plastic Bucket]],Table_NFI[Plastic Bucket])</f>
        <v>#REF!</v>
      </c>
      <c r="AK345" s="542" t="e">
        <f>IF(NFI_Expiration=1,IF(#REF!&lt;VLOOKUP(T$5,NFI,5,0),1,0)*Table_NFI[[#This Row],[Plastic Mat]],Table_NFI[Plastic Mat])*IF(Table_NFI[[#This Row],[Distribution Date]]&gt;"2014-04-01",1,2.5)</f>
        <v>#REF!</v>
      </c>
      <c r="AL345" s="542" t="e">
        <f>IF(NFI_Expiration=1,IF(#REF!&lt;VLOOKUP(U$5,NFI,5,0),1,0)*Table_NFI[[#This Row],[Winter Clothes Adult]],Table_NFI[Winter Clothes Adult])</f>
        <v>#REF!</v>
      </c>
      <c r="AM345" s="542"/>
      <c r="AN345" s="542"/>
      <c r="AO345" s="542"/>
      <c r="AP345" s="542">
        <f>IF(Table_NFI[[#This Row],[Winter Clothes Adult]]+Table_NFI[[#This Row],[Winter Clothes Children]]+Table_NFI[[#This Row],[Winter Items Other]]+Table_NFI[[#This Row],[Winter Blanket]]&gt;0,1,0)</f>
        <v>0</v>
      </c>
      <c r="AQ345" s="542"/>
      <c r="AR345" s="542"/>
      <c r="AS345" s="542"/>
      <c r="AT345" s="205" t="str">
        <f>IFERROR(VLOOKUP(Table_NFI[[#This Row],[Location]],CL,2,0),"")</f>
        <v>MMR015CMP246</v>
      </c>
      <c r="AU345" s="183"/>
    </row>
    <row r="346" spans="2:47" x14ac:dyDescent="0.3">
      <c r="B346" s="540">
        <v>43311</v>
      </c>
      <c r="C346" s="540" t="str">
        <f>MONTH(Table_NFI[[#This Row],[Distribution Date]]) &amp; "/" &amp; YEAR(Table_NFI[[#This Row],[Distribution Date]])</f>
        <v>7/2018</v>
      </c>
      <c r="D346" s="198" t="s">
        <v>420</v>
      </c>
      <c r="E346" s="198" t="s">
        <v>424</v>
      </c>
      <c r="F346" s="198" t="s">
        <v>506</v>
      </c>
      <c r="G346" s="197" t="s">
        <v>237</v>
      </c>
      <c r="H346" s="198" t="s">
        <v>1766</v>
      </c>
      <c r="I346" s="183"/>
      <c r="J346" s="541"/>
      <c r="K346" s="541"/>
      <c r="L346" s="541"/>
      <c r="M346" s="541"/>
      <c r="N346" s="541"/>
      <c r="O346" s="541"/>
      <c r="P346" s="541"/>
      <c r="Q346" s="541">
        <v>35</v>
      </c>
      <c r="R346" s="541"/>
      <c r="S346" s="541">
        <v>28</v>
      </c>
      <c r="T346" s="541">
        <v>40</v>
      </c>
      <c r="U346" s="541"/>
      <c r="V346" s="541"/>
      <c r="W346" s="541"/>
      <c r="X346" s="541"/>
      <c r="Y346" s="541"/>
      <c r="Z346" s="541"/>
      <c r="AA346" s="541"/>
      <c r="AB346" s="541"/>
      <c r="AC346" s="542" t="e">
        <f>IF(NFI_Expiration=1,IF(#REF!&lt;VLOOKUP(L$5,NFI,5,0),1,0)*Table_NFI[[#This Row],[NFI Core Kit]],Table_NFI[NFI Core Kit])</f>
        <v>#REF!</v>
      </c>
      <c r="AD346" s="542" t="e">
        <f>IF(NFI_Expiration=1,IF(#REF!&lt;VLOOKUP(M$5,NFI,5,0),1,0)*Table_NFI[[#This Row],[Sanitary Kit]],Table_NFI[Sanitary Kit])</f>
        <v>#REF!</v>
      </c>
      <c r="AE346" s="542" t="e">
        <f>IF(NFI_Expiration=1,IF(#REF!&lt;VLOOKUP(N$5,NFI,5,0),1,0)*Table_NFI[[#This Row],[Mosquito net]],Table_NFI[Mosquito net])</f>
        <v>#REF!</v>
      </c>
      <c r="AF346" s="542" t="e">
        <f>IF(NFI_Expiration=1,IF(#REF!&lt;VLOOKUP(O$5,NFI,5,0),1,0)*Table_NFI[[#This Row],[Tarpaulin]],Table_NFI[[#This Row],[Tarpaulin]])</f>
        <v>#REF!</v>
      </c>
      <c r="AG346" s="542" t="e">
        <f>IF(NFI_Expiration=1,IF(#REF!&lt;VLOOKUP(P$5,NFI,5,0),1,0)*Table_NFI[[#This Row],[Blanket]],Table_NFI[[#This Row],[Blanket]])</f>
        <v>#REF!</v>
      </c>
      <c r="AH346" s="542" t="e">
        <f>IF(NFI_Expiration=1,IF(#REF!&lt;VLOOKUP(Q$5,NFI,5,0),1,0)*Table_NFI[[#This Row],[Kitchen Set]],Table_NFI[Kitchen Set])</f>
        <v>#REF!</v>
      </c>
      <c r="AI346" s="542" t="e">
        <f>IF(NFI_Expiration=1,IF(#REF!&lt;VLOOKUP(R$5,NFI,5,0),1,0)*Table_NFI[[#This Row],[Clothes Kit]],Table_NFI[Clothes Kit])</f>
        <v>#REF!</v>
      </c>
      <c r="AJ346" s="542" t="e">
        <f>IF(NFI_Expiration=1,IF(#REF!&lt;VLOOKUP(S$5,NFI,5,0),1,0)*Table_NFI[[#This Row],[Plastic Bucket]],Table_NFI[Plastic Bucket])</f>
        <v>#REF!</v>
      </c>
      <c r="AK346" s="542" t="e">
        <f>IF(NFI_Expiration=1,IF(#REF!&lt;VLOOKUP(T$5,NFI,5,0),1,0)*Table_NFI[[#This Row],[Plastic Mat]],Table_NFI[Plastic Mat])*IF(Table_NFI[[#This Row],[Distribution Date]]&gt;"2014-04-01",1,2.5)</f>
        <v>#REF!</v>
      </c>
      <c r="AL346" s="542" t="e">
        <f>IF(NFI_Expiration=1,IF(#REF!&lt;VLOOKUP(U$5,NFI,5,0),1,0)*Table_NFI[[#This Row],[Winter Clothes Adult]],Table_NFI[Winter Clothes Adult])</f>
        <v>#REF!</v>
      </c>
      <c r="AM346" s="542"/>
      <c r="AN346" s="542"/>
      <c r="AO346" s="542"/>
      <c r="AP346" s="542">
        <f>IF(Table_NFI[[#This Row],[Winter Clothes Adult]]+Table_NFI[[#This Row],[Winter Clothes Children]]+Table_NFI[[#This Row],[Winter Items Other]]+Table_NFI[[#This Row],[Winter Blanket]]&gt;0,1,0)</f>
        <v>0</v>
      </c>
      <c r="AQ346" s="542"/>
      <c r="AR346" s="542"/>
      <c r="AS346" s="542"/>
      <c r="AT346" s="205" t="str">
        <f>IFERROR(VLOOKUP(Table_NFI[[#This Row],[Location]],CL,2,0),"")</f>
        <v/>
      </c>
      <c r="AU346" s="183"/>
    </row>
    <row r="347" spans="2:47" x14ac:dyDescent="0.3">
      <c r="B347" s="540">
        <v>43311</v>
      </c>
      <c r="C347" s="540" t="str">
        <f>MONTH(Table_NFI[[#This Row],[Distribution Date]]) &amp; "/" &amp; YEAR(Table_NFI[[#This Row],[Distribution Date]])</f>
        <v>7/2018</v>
      </c>
      <c r="D347" s="198" t="s">
        <v>420</v>
      </c>
      <c r="E347" s="198" t="s">
        <v>424</v>
      </c>
      <c r="F347" s="198" t="s">
        <v>506</v>
      </c>
      <c r="G347" s="197" t="s">
        <v>146</v>
      </c>
      <c r="H347" s="198" t="s">
        <v>1767</v>
      </c>
      <c r="I347" s="183"/>
      <c r="J347" s="541"/>
      <c r="K347" s="541"/>
      <c r="L347" s="541"/>
      <c r="M347" s="541"/>
      <c r="N347" s="541">
        <v>2</v>
      </c>
      <c r="O347" s="541">
        <v>1</v>
      </c>
      <c r="P347" s="541"/>
      <c r="Q347" s="541">
        <v>14</v>
      </c>
      <c r="R347" s="541"/>
      <c r="S347" s="541"/>
      <c r="T347" s="541">
        <v>32</v>
      </c>
      <c r="U347" s="541"/>
      <c r="V347" s="541"/>
      <c r="W347" s="541"/>
      <c r="X347" s="541"/>
      <c r="Y347" s="541">
        <v>15</v>
      </c>
      <c r="Z347" s="541"/>
      <c r="AA347" s="541"/>
      <c r="AB347" s="541"/>
      <c r="AC347" s="542" t="e">
        <f>IF(NFI_Expiration=1,IF(#REF!&lt;VLOOKUP(L$5,NFI,5,0),1,0)*Table_NFI[[#This Row],[NFI Core Kit]],Table_NFI[NFI Core Kit])</f>
        <v>#REF!</v>
      </c>
      <c r="AD347" s="542" t="e">
        <f>IF(NFI_Expiration=1,IF(#REF!&lt;VLOOKUP(M$5,NFI,5,0),1,0)*Table_NFI[[#This Row],[Sanitary Kit]],Table_NFI[Sanitary Kit])</f>
        <v>#REF!</v>
      </c>
      <c r="AE347" s="542" t="e">
        <f>IF(NFI_Expiration=1,IF(#REF!&lt;VLOOKUP(N$5,NFI,5,0),1,0)*Table_NFI[[#This Row],[Mosquito net]],Table_NFI[Mosquito net])</f>
        <v>#REF!</v>
      </c>
      <c r="AF347" s="542" t="e">
        <f>IF(NFI_Expiration=1,IF(#REF!&lt;VLOOKUP(O$5,NFI,5,0),1,0)*Table_NFI[[#This Row],[Tarpaulin]],Table_NFI[[#This Row],[Tarpaulin]])</f>
        <v>#REF!</v>
      </c>
      <c r="AG347" s="542" t="e">
        <f>IF(NFI_Expiration=1,IF(#REF!&lt;VLOOKUP(P$5,NFI,5,0),1,0)*Table_NFI[[#This Row],[Blanket]],Table_NFI[[#This Row],[Blanket]])</f>
        <v>#REF!</v>
      </c>
      <c r="AH347" s="542" t="e">
        <f>IF(NFI_Expiration=1,IF(#REF!&lt;VLOOKUP(Q$5,NFI,5,0),1,0)*Table_NFI[[#This Row],[Kitchen Set]],Table_NFI[Kitchen Set])</f>
        <v>#REF!</v>
      </c>
      <c r="AI347" s="542" t="e">
        <f>IF(NFI_Expiration=1,IF(#REF!&lt;VLOOKUP(R$5,NFI,5,0),1,0)*Table_NFI[[#This Row],[Clothes Kit]],Table_NFI[Clothes Kit])</f>
        <v>#REF!</v>
      </c>
      <c r="AJ347" s="542" t="e">
        <f>IF(NFI_Expiration=1,IF(#REF!&lt;VLOOKUP(S$5,NFI,5,0),1,0)*Table_NFI[[#This Row],[Plastic Bucket]],Table_NFI[Plastic Bucket])</f>
        <v>#REF!</v>
      </c>
      <c r="AK347" s="542" t="e">
        <f>IF(NFI_Expiration=1,IF(#REF!&lt;VLOOKUP(T$5,NFI,5,0),1,0)*Table_NFI[[#This Row],[Plastic Mat]],Table_NFI[Plastic Mat])*IF(Table_NFI[[#This Row],[Distribution Date]]&gt;"2014-04-01",1,2.5)</f>
        <v>#REF!</v>
      </c>
      <c r="AL347" s="542" t="e">
        <f>IF(NFI_Expiration=1,IF(#REF!&lt;VLOOKUP(U$5,NFI,5,0),1,0)*Table_NFI[[#This Row],[Winter Clothes Adult]],Table_NFI[Winter Clothes Adult])</f>
        <v>#REF!</v>
      </c>
      <c r="AM347" s="542"/>
      <c r="AN347" s="542"/>
      <c r="AO347" s="542"/>
      <c r="AP347" s="542">
        <f>IF(Table_NFI[[#This Row],[Winter Clothes Adult]]+Table_NFI[[#This Row],[Winter Clothes Children]]+Table_NFI[[#This Row],[Winter Items Other]]+Table_NFI[[#This Row],[Winter Blanket]]&gt;0,1,0)</f>
        <v>0</v>
      </c>
      <c r="AQ347" s="542"/>
      <c r="AR347" s="542"/>
      <c r="AS347" s="542"/>
      <c r="AT347" s="205" t="str">
        <f>IFERROR(VLOOKUP(Table_NFI[[#This Row],[Location]],CL,2,0),"")</f>
        <v/>
      </c>
      <c r="AU347" s="183"/>
    </row>
    <row r="348" spans="2:47" x14ac:dyDescent="0.3">
      <c r="B348" s="540">
        <v>43311</v>
      </c>
      <c r="C348" s="540" t="str">
        <f>MONTH(Table_NFI[[#This Row],[Distribution Date]]) &amp; "/" &amp; YEAR(Table_NFI[[#This Row],[Distribution Date]])</f>
        <v>7/2018</v>
      </c>
      <c r="D348" s="198" t="s">
        <v>420</v>
      </c>
      <c r="E348" s="198" t="s">
        <v>424</v>
      </c>
      <c r="F348" s="198" t="s">
        <v>506</v>
      </c>
      <c r="G348" s="197" t="s">
        <v>146</v>
      </c>
      <c r="H348" s="177" t="s">
        <v>1573</v>
      </c>
      <c r="I348" s="183"/>
      <c r="J348" s="541"/>
      <c r="K348" s="541"/>
      <c r="L348" s="541"/>
      <c r="M348" s="541"/>
      <c r="N348" s="541"/>
      <c r="O348" s="541"/>
      <c r="P348" s="541">
        <v>10</v>
      </c>
      <c r="Q348" s="541"/>
      <c r="R348" s="541"/>
      <c r="S348" s="541"/>
      <c r="T348" s="541">
        <v>28</v>
      </c>
      <c r="U348" s="541"/>
      <c r="V348" s="541"/>
      <c r="W348" s="541"/>
      <c r="X348" s="541"/>
      <c r="Y348" s="541"/>
      <c r="Z348" s="541"/>
      <c r="AA348" s="541"/>
      <c r="AB348" s="541"/>
      <c r="AC348" s="542" t="e">
        <f>IF(NFI_Expiration=1,IF(#REF!&lt;VLOOKUP(L$5,NFI,5,0),1,0)*Table_NFI[[#This Row],[NFI Core Kit]],Table_NFI[NFI Core Kit])</f>
        <v>#REF!</v>
      </c>
      <c r="AD348" s="542" t="e">
        <f>IF(NFI_Expiration=1,IF(#REF!&lt;VLOOKUP(M$5,NFI,5,0),1,0)*Table_NFI[[#This Row],[Sanitary Kit]],Table_NFI[Sanitary Kit])</f>
        <v>#REF!</v>
      </c>
      <c r="AE348" s="542" t="e">
        <f>IF(NFI_Expiration=1,IF(#REF!&lt;VLOOKUP(N$5,NFI,5,0),1,0)*Table_NFI[[#This Row],[Mosquito net]],Table_NFI[Mosquito net])</f>
        <v>#REF!</v>
      </c>
      <c r="AF348" s="542" t="e">
        <f>IF(NFI_Expiration=1,IF(#REF!&lt;VLOOKUP(O$5,NFI,5,0),1,0)*Table_NFI[[#This Row],[Tarpaulin]],Table_NFI[[#This Row],[Tarpaulin]])</f>
        <v>#REF!</v>
      </c>
      <c r="AG348" s="542" t="e">
        <f>IF(NFI_Expiration=1,IF(#REF!&lt;VLOOKUP(P$5,NFI,5,0),1,0)*Table_NFI[[#This Row],[Blanket]],Table_NFI[[#This Row],[Blanket]])</f>
        <v>#REF!</v>
      </c>
      <c r="AH348" s="542" t="e">
        <f>IF(NFI_Expiration=1,IF(#REF!&lt;VLOOKUP(Q$5,NFI,5,0),1,0)*Table_NFI[[#This Row],[Kitchen Set]],Table_NFI[Kitchen Set])</f>
        <v>#REF!</v>
      </c>
      <c r="AI348" s="542" t="e">
        <f>IF(NFI_Expiration=1,IF(#REF!&lt;VLOOKUP(R$5,NFI,5,0),1,0)*Table_NFI[[#This Row],[Clothes Kit]],Table_NFI[Clothes Kit])</f>
        <v>#REF!</v>
      </c>
      <c r="AJ348" s="542" t="e">
        <f>IF(NFI_Expiration=1,IF(#REF!&lt;VLOOKUP(S$5,NFI,5,0),1,0)*Table_NFI[[#This Row],[Plastic Bucket]],Table_NFI[Plastic Bucket])</f>
        <v>#REF!</v>
      </c>
      <c r="AK348" s="542" t="e">
        <f>IF(NFI_Expiration=1,IF(#REF!&lt;VLOOKUP(T$5,NFI,5,0),1,0)*Table_NFI[[#This Row],[Plastic Mat]],Table_NFI[Plastic Mat])*IF(Table_NFI[[#This Row],[Distribution Date]]&gt;"2014-04-01",1,2.5)</f>
        <v>#REF!</v>
      </c>
      <c r="AL348" s="542" t="e">
        <f>IF(NFI_Expiration=1,IF(#REF!&lt;VLOOKUP(U$5,NFI,5,0),1,0)*Table_NFI[[#This Row],[Winter Clothes Adult]],Table_NFI[Winter Clothes Adult])</f>
        <v>#REF!</v>
      </c>
      <c r="AM348" s="542"/>
      <c r="AN348" s="542"/>
      <c r="AO348" s="542"/>
      <c r="AP348" s="542">
        <f>IF(Table_NFI[[#This Row],[Winter Clothes Adult]]+Table_NFI[[#This Row],[Winter Clothes Children]]+Table_NFI[[#This Row],[Winter Items Other]]+Table_NFI[[#This Row],[Winter Blanket]]&gt;0,1,0)</f>
        <v>0</v>
      </c>
      <c r="AQ348" s="542"/>
      <c r="AR348" s="542"/>
      <c r="AS348" s="542"/>
      <c r="AT348" s="205" t="str">
        <f>IFERROR(VLOOKUP(Table_NFI[[#This Row],[Location]],CL,2,0),"")</f>
        <v>MMR015CMP225</v>
      </c>
      <c r="AU348" s="183"/>
    </row>
    <row r="349" spans="2:47" x14ac:dyDescent="0.3">
      <c r="B349" s="540">
        <v>43311</v>
      </c>
      <c r="C349" s="540" t="str">
        <f>MONTH(Table_NFI[[#This Row],[Distribution Date]]) &amp; "/" &amp; YEAR(Table_NFI[[#This Row],[Distribution Date]])</f>
        <v>7/2018</v>
      </c>
      <c r="D349" s="198" t="s">
        <v>420</v>
      </c>
      <c r="E349" s="198" t="s">
        <v>424</v>
      </c>
      <c r="F349" s="198" t="s">
        <v>506</v>
      </c>
      <c r="G349" s="197" t="s">
        <v>230</v>
      </c>
      <c r="H349" s="177" t="s">
        <v>716</v>
      </c>
      <c r="I349" s="183"/>
      <c r="J349" s="541"/>
      <c r="K349" s="541"/>
      <c r="L349" s="541"/>
      <c r="M349" s="541"/>
      <c r="N349" s="541">
        <v>76</v>
      </c>
      <c r="O349" s="541">
        <v>1</v>
      </c>
      <c r="P349" s="541">
        <v>153</v>
      </c>
      <c r="Q349" s="541"/>
      <c r="R349" s="541"/>
      <c r="S349" s="541"/>
      <c r="T349" s="541">
        <v>77</v>
      </c>
      <c r="U349" s="541">
        <v>156</v>
      </c>
      <c r="V349" s="541"/>
      <c r="W349" s="541"/>
      <c r="X349" s="541"/>
      <c r="Y349" s="541"/>
      <c r="Z349" s="541"/>
      <c r="AA349" s="541"/>
      <c r="AB349" s="541"/>
      <c r="AC349" s="542" t="e">
        <f>IF(NFI_Expiration=1,IF(#REF!&lt;VLOOKUP(L$5,NFI,5,0),1,0)*Table_NFI[[#This Row],[NFI Core Kit]],Table_NFI[NFI Core Kit])</f>
        <v>#REF!</v>
      </c>
      <c r="AD349" s="542" t="e">
        <f>IF(NFI_Expiration=1,IF(#REF!&lt;VLOOKUP(M$5,NFI,5,0),1,0)*Table_NFI[[#This Row],[Sanitary Kit]],Table_NFI[Sanitary Kit])</f>
        <v>#REF!</v>
      </c>
      <c r="AE349" s="542" t="e">
        <f>IF(NFI_Expiration=1,IF(#REF!&lt;VLOOKUP(N$5,NFI,5,0),1,0)*Table_NFI[[#This Row],[Mosquito net]],Table_NFI[Mosquito net])</f>
        <v>#REF!</v>
      </c>
      <c r="AF349" s="542" t="e">
        <f>IF(NFI_Expiration=1,IF(#REF!&lt;VLOOKUP(O$5,NFI,5,0),1,0)*Table_NFI[[#This Row],[Tarpaulin]],Table_NFI[[#This Row],[Tarpaulin]])</f>
        <v>#REF!</v>
      </c>
      <c r="AG349" s="542" t="e">
        <f>IF(NFI_Expiration=1,IF(#REF!&lt;VLOOKUP(P$5,NFI,5,0),1,0)*Table_NFI[[#This Row],[Blanket]],Table_NFI[[#This Row],[Blanket]])</f>
        <v>#REF!</v>
      </c>
      <c r="AH349" s="542" t="e">
        <f>IF(NFI_Expiration=1,IF(#REF!&lt;VLOOKUP(Q$5,NFI,5,0),1,0)*Table_NFI[[#This Row],[Kitchen Set]],Table_NFI[Kitchen Set])</f>
        <v>#REF!</v>
      </c>
      <c r="AI349" s="542" t="e">
        <f>IF(NFI_Expiration=1,IF(#REF!&lt;VLOOKUP(R$5,NFI,5,0),1,0)*Table_NFI[[#This Row],[Clothes Kit]],Table_NFI[Clothes Kit])</f>
        <v>#REF!</v>
      </c>
      <c r="AJ349" s="542" t="e">
        <f>IF(NFI_Expiration=1,IF(#REF!&lt;VLOOKUP(S$5,NFI,5,0),1,0)*Table_NFI[[#This Row],[Plastic Bucket]],Table_NFI[Plastic Bucket])</f>
        <v>#REF!</v>
      </c>
      <c r="AK349" s="542" t="e">
        <f>IF(NFI_Expiration=1,IF(#REF!&lt;VLOOKUP(T$5,NFI,5,0),1,0)*Table_NFI[[#This Row],[Plastic Mat]],Table_NFI[Plastic Mat])*IF(Table_NFI[[#This Row],[Distribution Date]]&gt;"2014-04-01",1,2.5)</f>
        <v>#REF!</v>
      </c>
      <c r="AL349" s="542" t="e">
        <f>IF(NFI_Expiration=1,IF(#REF!&lt;VLOOKUP(U$5,NFI,5,0),1,0)*Table_NFI[[#This Row],[Winter Clothes Adult]],Table_NFI[Winter Clothes Adult])</f>
        <v>#REF!</v>
      </c>
      <c r="AM349" s="542"/>
      <c r="AN349" s="542"/>
      <c r="AO349" s="542"/>
      <c r="AP349" s="542">
        <f>IF(Table_NFI[[#This Row],[Winter Clothes Adult]]+Table_NFI[[#This Row],[Winter Clothes Children]]+Table_NFI[[#This Row],[Winter Items Other]]+Table_NFI[[#This Row],[Winter Blanket]]&gt;0,1,0)</f>
        <v>1</v>
      </c>
      <c r="AQ349" s="542"/>
      <c r="AR349" s="542"/>
      <c r="AS349" s="542"/>
      <c r="AT349" s="205" t="str">
        <f>IFERROR(VLOOKUP(Table_NFI[[#This Row],[Location]],CL,2,0),"")</f>
        <v>MMR015CMP247</v>
      </c>
      <c r="AU349" s="183"/>
    </row>
    <row r="350" spans="2:47" x14ac:dyDescent="0.3">
      <c r="B350" s="540">
        <v>43311</v>
      </c>
      <c r="C350" s="540" t="str">
        <f>MONTH(Table_NFI[[#This Row],[Distribution Date]]) &amp; "/" &amp; YEAR(Table_NFI[[#This Row],[Distribution Date]])</f>
        <v>7/2018</v>
      </c>
      <c r="D350" s="198" t="s">
        <v>420</v>
      </c>
      <c r="E350" s="198" t="s">
        <v>424</v>
      </c>
      <c r="F350" s="198" t="s">
        <v>506</v>
      </c>
      <c r="G350" s="197" t="s">
        <v>288</v>
      </c>
      <c r="H350" s="177" t="s">
        <v>917</v>
      </c>
      <c r="I350" s="183"/>
      <c r="J350" s="541"/>
      <c r="K350" s="541"/>
      <c r="L350" s="541"/>
      <c r="M350" s="541"/>
      <c r="N350" s="541">
        <v>58</v>
      </c>
      <c r="O350" s="541"/>
      <c r="P350" s="541">
        <v>115</v>
      </c>
      <c r="Q350" s="541"/>
      <c r="R350" s="541"/>
      <c r="S350" s="541">
        <v>115</v>
      </c>
      <c r="T350" s="541">
        <v>77</v>
      </c>
      <c r="U350" s="541"/>
      <c r="V350" s="541"/>
      <c r="W350" s="541"/>
      <c r="X350" s="541"/>
      <c r="Y350" s="541"/>
      <c r="Z350" s="541"/>
      <c r="AA350" s="541"/>
      <c r="AB350" s="541"/>
      <c r="AC350" s="542" t="e">
        <f>IF(NFI_Expiration=1,IF(#REF!&lt;VLOOKUP(L$5,NFI,5,0),1,0)*Table_NFI[[#This Row],[NFI Core Kit]],Table_NFI[NFI Core Kit])</f>
        <v>#REF!</v>
      </c>
      <c r="AD350" s="542" t="e">
        <f>IF(NFI_Expiration=1,IF(#REF!&lt;VLOOKUP(M$5,NFI,5,0),1,0)*Table_NFI[[#This Row],[Sanitary Kit]],Table_NFI[Sanitary Kit])</f>
        <v>#REF!</v>
      </c>
      <c r="AE350" s="542" t="e">
        <f>IF(NFI_Expiration=1,IF(#REF!&lt;VLOOKUP(N$5,NFI,5,0),1,0)*Table_NFI[[#This Row],[Mosquito net]],Table_NFI[Mosquito net])</f>
        <v>#REF!</v>
      </c>
      <c r="AF350" s="542" t="e">
        <f>IF(NFI_Expiration=1,IF(#REF!&lt;VLOOKUP(O$5,NFI,5,0),1,0)*Table_NFI[[#This Row],[Tarpaulin]],Table_NFI[[#This Row],[Tarpaulin]])</f>
        <v>#REF!</v>
      </c>
      <c r="AG350" s="542" t="e">
        <f>IF(NFI_Expiration=1,IF(#REF!&lt;VLOOKUP(P$5,NFI,5,0),1,0)*Table_NFI[[#This Row],[Blanket]],Table_NFI[[#This Row],[Blanket]])</f>
        <v>#REF!</v>
      </c>
      <c r="AH350" s="542" t="e">
        <f>IF(NFI_Expiration=1,IF(#REF!&lt;VLOOKUP(Q$5,NFI,5,0),1,0)*Table_NFI[[#This Row],[Kitchen Set]],Table_NFI[Kitchen Set])</f>
        <v>#REF!</v>
      </c>
      <c r="AI350" s="542" t="e">
        <f>IF(NFI_Expiration=1,IF(#REF!&lt;VLOOKUP(R$5,NFI,5,0),1,0)*Table_NFI[[#This Row],[Clothes Kit]],Table_NFI[Clothes Kit])</f>
        <v>#REF!</v>
      </c>
      <c r="AJ350" s="542" t="e">
        <f>IF(NFI_Expiration=1,IF(#REF!&lt;VLOOKUP(S$5,NFI,5,0),1,0)*Table_NFI[[#This Row],[Plastic Bucket]],Table_NFI[Plastic Bucket])</f>
        <v>#REF!</v>
      </c>
      <c r="AK350" s="542" t="e">
        <f>IF(NFI_Expiration=1,IF(#REF!&lt;VLOOKUP(T$5,NFI,5,0),1,0)*Table_NFI[[#This Row],[Plastic Mat]],Table_NFI[Plastic Mat])*IF(Table_NFI[[#This Row],[Distribution Date]]&gt;"2014-04-01",1,2.5)</f>
        <v>#REF!</v>
      </c>
      <c r="AL350" s="542" t="e">
        <f>IF(NFI_Expiration=1,IF(#REF!&lt;VLOOKUP(U$5,NFI,5,0),1,0)*Table_NFI[[#This Row],[Winter Clothes Adult]],Table_NFI[Winter Clothes Adult])</f>
        <v>#REF!</v>
      </c>
      <c r="AM350" s="542"/>
      <c r="AN350" s="542"/>
      <c r="AO350" s="542"/>
      <c r="AP350" s="542">
        <f>IF(Table_NFI[[#This Row],[Winter Clothes Adult]]+Table_NFI[[#This Row],[Winter Clothes Children]]+Table_NFI[[#This Row],[Winter Items Other]]+Table_NFI[[#This Row],[Winter Blanket]]&gt;0,1,0)</f>
        <v>0</v>
      </c>
      <c r="AQ350" s="542"/>
      <c r="AR350" s="542"/>
      <c r="AS350" s="542"/>
      <c r="AT350" s="205" t="str">
        <f>IFERROR(VLOOKUP(Table_NFI[[#This Row],[Location]],CL,2,0),"")</f>
        <v>MMR015CMP215</v>
      </c>
      <c r="AU350" s="183"/>
    </row>
    <row r="351" spans="2:47" x14ac:dyDescent="0.3">
      <c r="B351" s="540">
        <v>43311</v>
      </c>
      <c r="C351" s="540" t="str">
        <f>MONTH(Table_NFI[[#This Row],[Distribution Date]]) &amp; "/" &amp; YEAR(Table_NFI[[#This Row],[Distribution Date]])</f>
        <v>7/2018</v>
      </c>
      <c r="D351" s="198" t="s">
        <v>420</v>
      </c>
      <c r="E351" s="198" t="s">
        <v>424</v>
      </c>
      <c r="F351" s="198" t="s">
        <v>506</v>
      </c>
      <c r="G351" s="197" t="s">
        <v>288</v>
      </c>
      <c r="H351" s="177" t="s">
        <v>291</v>
      </c>
      <c r="I351" s="183"/>
      <c r="J351" s="541"/>
      <c r="K351" s="541"/>
      <c r="L351" s="541"/>
      <c r="M351" s="541"/>
      <c r="N351" s="541">
        <v>80</v>
      </c>
      <c r="O351" s="541">
        <v>17</v>
      </c>
      <c r="P351" s="541">
        <v>76</v>
      </c>
      <c r="Q351" s="541"/>
      <c r="R351" s="541"/>
      <c r="S351" s="541">
        <v>63</v>
      </c>
      <c r="T351" s="541"/>
      <c r="U351" s="541"/>
      <c r="V351" s="541"/>
      <c r="W351" s="541"/>
      <c r="X351" s="541"/>
      <c r="Y351" s="541">
        <v>15</v>
      </c>
      <c r="Z351" s="541"/>
      <c r="AA351" s="541"/>
      <c r="AB351" s="541"/>
      <c r="AC351" s="542" t="e">
        <f>IF(NFI_Expiration=1,IF(#REF!&lt;VLOOKUP(L$5,NFI,5,0),1,0)*Table_NFI[[#This Row],[NFI Core Kit]],Table_NFI[NFI Core Kit])</f>
        <v>#REF!</v>
      </c>
      <c r="AD351" s="542" t="e">
        <f>IF(NFI_Expiration=1,IF(#REF!&lt;VLOOKUP(M$5,NFI,5,0),1,0)*Table_NFI[[#This Row],[Sanitary Kit]],Table_NFI[Sanitary Kit])</f>
        <v>#REF!</v>
      </c>
      <c r="AE351" s="542" t="e">
        <f>IF(NFI_Expiration=1,IF(#REF!&lt;VLOOKUP(N$5,NFI,5,0),1,0)*Table_NFI[[#This Row],[Mosquito net]],Table_NFI[Mosquito net])</f>
        <v>#REF!</v>
      </c>
      <c r="AF351" s="542" t="e">
        <f>IF(NFI_Expiration=1,IF(#REF!&lt;VLOOKUP(O$5,NFI,5,0),1,0)*Table_NFI[[#This Row],[Tarpaulin]],Table_NFI[[#This Row],[Tarpaulin]])</f>
        <v>#REF!</v>
      </c>
      <c r="AG351" s="542" t="e">
        <f>IF(NFI_Expiration=1,IF(#REF!&lt;VLOOKUP(P$5,NFI,5,0),1,0)*Table_NFI[[#This Row],[Blanket]],Table_NFI[[#This Row],[Blanket]])</f>
        <v>#REF!</v>
      </c>
      <c r="AH351" s="542" t="e">
        <f>IF(NFI_Expiration=1,IF(#REF!&lt;VLOOKUP(Q$5,NFI,5,0),1,0)*Table_NFI[[#This Row],[Kitchen Set]],Table_NFI[Kitchen Set])</f>
        <v>#REF!</v>
      </c>
      <c r="AI351" s="542" t="e">
        <f>IF(NFI_Expiration=1,IF(#REF!&lt;VLOOKUP(R$5,NFI,5,0),1,0)*Table_NFI[[#This Row],[Clothes Kit]],Table_NFI[Clothes Kit])</f>
        <v>#REF!</v>
      </c>
      <c r="AJ351" s="542" t="e">
        <f>IF(NFI_Expiration=1,IF(#REF!&lt;VLOOKUP(S$5,NFI,5,0),1,0)*Table_NFI[[#This Row],[Plastic Bucket]],Table_NFI[Plastic Bucket])</f>
        <v>#REF!</v>
      </c>
      <c r="AK351" s="542" t="e">
        <f>IF(NFI_Expiration=1,IF(#REF!&lt;VLOOKUP(T$5,NFI,5,0),1,0)*Table_NFI[[#This Row],[Plastic Mat]],Table_NFI[Plastic Mat])*IF(Table_NFI[[#This Row],[Distribution Date]]&gt;"2014-04-01",1,2.5)</f>
        <v>#REF!</v>
      </c>
      <c r="AL351" s="542" t="e">
        <f>IF(NFI_Expiration=1,IF(#REF!&lt;VLOOKUP(U$5,NFI,5,0),1,0)*Table_NFI[[#This Row],[Winter Clothes Adult]],Table_NFI[Winter Clothes Adult])</f>
        <v>#REF!</v>
      </c>
      <c r="AM351" s="542"/>
      <c r="AN351" s="542"/>
      <c r="AO351" s="542"/>
      <c r="AP351" s="542">
        <f>IF(Table_NFI[[#This Row],[Winter Clothes Adult]]+Table_NFI[[#This Row],[Winter Clothes Children]]+Table_NFI[[#This Row],[Winter Items Other]]+Table_NFI[[#This Row],[Winter Blanket]]&gt;0,1,0)</f>
        <v>0</v>
      </c>
      <c r="AQ351" s="542"/>
      <c r="AR351" s="542"/>
      <c r="AS351" s="542"/>
      <c r="AT351" s="205" t="str">
        <f>IFERROR(VLOOKUP(Table_NFI[[#This Row],[Location]],CL,2,0),"")</f>
        <v>MMR015CMP004</v>
      </c>
      <c r="AU351" s="183"/>
    </row>
    <row r="352" spans="2:47" x14ac:dyDescent="0.3">
      <c r="B352" s="540">
        <v>43311</v>
      </c>
      <c r="C352" s="540" t="str">
        <f>MONTH(Table_NFI[[#This Row],[Distribution Date]]) &amp; "/" &amp; YEAR(Table_NFI[[#This Row],[Distribution Date]])</f>
        <v>7/2018</v>
      </c>
      <c r="D352" s="198" t="s">
        <v>420</v>
      </c>
      <c r="E352" s="198" t="s">
        <v>424</v>
      </c>
      <c r="F352" s="198" t="s">
        <v>378</v>
      </c>
      <c r="G352" s="197" t="s">
        <v>151</v>
      </c>
      <c r="H352" s="177" t="s">
        <v>160</v>
      </c>
      <c r="I352" s="183"/>
      <c r="J352" s="541"/>
      <c r="K352" s="541"/>
      <c r="L352" s="541"/>
      <c r="M352" s="541"/>
      <c r="N352" s="541">
        <v>66</v>
      </c>
      <c r="O352" s="541">
        <v>4</v>
      </c>
      <c r="P352" s="541">
        <v>61</v>
      </c>
      <c r="Q352" s="541"/>
      <c r="R352" s="541"/>
      <c r="S352" s="541"/>
      <c r="T352" s="541">
        <v>177</v>
      </c>
      <c r="U352" s="541">
        <v>128</v>
      </c>
      <c r="V352" s="541"/>
      <c r="W352" s="541"/>
      <c r="X352" s="541"/>
      <c r="Y352" s="541"/>
      <c r="Z352" s="541"/>
      <c r="AA352" s="541"/>
      <c r="AB352" s="541"/>
      <c r="AC352" s="542" t="e">
        <f>IF(NFI_Expiration=1,IF(#REF!&lt;VLOOKUP(L$5,NFI,5,0),1,0)*Table_NFI[[#This Row],[NFI Core Kit]],Table_NFI[NFI Core Kit])</f>
        <v>#REF!</v>
      </c>
      <c r="AD352" s="542" t="e">
        <f>IF(NFI_Expiration=1,IF(#REF!&lt;VLOOKUP(M$5,NFI,5,0),1,0)*Table_NFI[[#This Row],[Sanitary Kit]],Table_NFI[Sanitary Kit])</f>
        <v>#REF!</v>
      </c>
      <c r="AE352" s="542" t="e">
        <f>IF(NFI_Expiration=1,IF(#REF!&lt;VLOOKUP(N$5,NFI,5,0),1,0)*Table_NFI[[#This Row],[Mosquito net]],Table_NFI[Mosquito net])</f>
        <v>#REF!</v>
      </c>
      <c r="AF352" s="542" t="e">
        <f>IF(NFI_Expiration=1,IF(#REF!&lt;VLOOKUP(O$5,NFI,5,0),1,0)*Table_NFI[[#This Row],[Tarpaulin]],Table_NFI[[#This Row],[Tarpaulin]])</f>
        <v>#REF!</v>
      </c>
      <c r="AG352" s="542" t="e">
        <f>IF(NFI_Expiration=1,IF(#REF!&lt;VLOOKUP(P$5,NFI,5,0),1,0)*Table_NFI[[#This Row],[Blanket]],Table_NFI[[#This Row],[Blanket]])</f>
        <v>#REF!</v>
      </c>
      <c r="AH352" s="542" t="e">
        <f>IF(NFI_Expiration=1,IF(#REF!&lt;VLOOKUP(Q$5,NFI,5,0),1,0)*Table_NFI[[#This Row],[Kitchen Set]],Table_NFI[Kitchen Set])</f>
        <v>#REF!</v>
      </c>
      <c r="AI352" s="542" t="e">
        <f>IF(NFI_Expiration=1,IF(#REF!&lt;VLOOKUP(R$5,NFI,5,0),1,0)*Table_NFI[[#This Row],[Clothes Kit]],Table_NFI[Clothes Kit])</f>
        <v>#REF!</v>
      </c>
      <c r="AJ352" s="542" t="e">
        <f>IF(NFI_Expiration=1,IF(#REF!&lt;VLOOKUP(S$5,NFI,5,0),1,0)*Table_NFI[[#This Row],[Plastic Bucket]],Table_NFI[Plastic Bucket])</f>
        <v>#REF!</v>
      </c>
      <c r="AK352" s="542" t="e">
        <f>IF(NFI_Expiration=1,IF(#REF!&lt;VLOOKUP(T$5,NFI,5,0),1,0)*Table_NFI[[#This Row],[Plastic Mat]],Table_NFI[Plastic Mat])*IF(Table_NFI[[#This Row],[Distribution Date]]&gt;"2014-04-01",1,2.5)</f>
        <v>#REF!</v>
      </c>
      <c r="AL352" s="542" t="e">
        <f>IF(NFI_Expiration=1,IF(#REF!&lt;VLOOKUP(U$5,NFI,5,0),1,0)*Table_NFI[[#This Row],[Winter Clothes Adult]],Table_NFI[Winter Clothes Adult])</f>
        <v>#REF!</v>
      </c>
      <c r="AM352" s="542"/>
      <c r="AN352" s="542"/>
      <c r="AO352" s="542"/>
      <c r="AP352" s="542">
        <f>IF(Table_NFI[[#This Row],[Winter Clothes Adult]]+Table_NFI[[#This Row],[Winter Clothes Children]]+Table_NFI[[#This Row],[Winter Items Other]]+Table_NFI[[#This Row],[Winter Blanket]]&gt;0,1,0)</f>
        <v>1</v>
      </c>
      <c r="AQ352" s="542"/>
      <c r="AR352" s="542"/>
      <c r="AS352" s="542"/>
      <c r="AT352" s="205" t="str">
        <f>IFERROR(VLOOKUP(Table_NFI[[#This Row],[Location]],CL,2,0),"")</f>
        <v>MMR001CMP133</v>
      </c>
      <c r="AU352" s="183"/>
    </row>
    <row r="353" spans="2:47" x14ac:dyDescent="0.3">
      <c r="B353" s="540">
        <v>43311</v>
      </c>
      <c r="C353" s="540" t="str">
        <f>MONTH(Table_NFI[[#This Row],[Distribution Date]]) &amp; "/" &amp; YEAR(Table_NFI[[#This Row],[Distribution Date]])</f>
        <v>7/2018</v>
      </c>
      <c r="D353" s="198" t="s">
        <v>420</v>
      </c>
      <c r="E353" s="198" t="s">
        <v>424</v>
      </c>
      <c r="F353" s="198" t="s">
        <v>378</v>
      </c>
      <c r="G353" s="197" t="s">
        <v>151</v>
      </c>
      <c r="H353" s="177" t="s">
        <v>938</v>
      </c>
      <c r="I353" s="183"/>
      <c r="J353" s="541"/>
      <c r="K353" s="541"/>
      <c r="L353" s="541">
        <v>25</v>
      </c>
      <c r="M353" s="541"/>
      <c r="N353" s="541">
        <v>78</v>
      </c>
      <c r="O353" s="541"/>
      <c r="P353" s="541">
        <v>156</v>
      </c>
      <c r="Q353" s="541"/>
      <c r="R353" s="541"/>
      <c r="S353" s="541"/>
      <c r="T353" s="541">
        <v>82</v>
      </c>
      <c r="U353" s="541">
        <v>155</v>
      </c>
      <c r="V353" s="541"/>
      <c r="W353" s="541"/>
      <c r="X353" s="541"/>
      <c r="Y353" s="541"/>
      <c r="Z353" s="541"/>
      <c r="AA353" s="541"/>
      <c r="AB353" s="541"/>
      <c r="AC353" s="542" t="e">
        <f>IF(NFI_Expiration=1,IF(#REF!&lt;VLOOKUP(L$5,NFI,5,0),1,0)*Table_NFI[[#This Row],[NFI Core Kit]],Table_NFI[NFI Core Kit])</f>
        <v>#REF!</v>
      </c>
      <c r="AD353" s="542" t="e">
        <f>IF(NFI_Expiration=1,IF(#REF!&lt;VLOOKUP(M$5,NFI,5,0),1,0)*Table_NFI[[#This Row],[Sanitary Kit]],Table_NFI[Sanitary Kit])</f>
        <v>#REF!</v>
      </c>
      <c r="AE353" s="542" t="e">
        <f>IF(NFI_Expiration=1,IF(#REF!&lt;VLOOKUP(N$5,NFI,5,0),1,0)*Table_NFI[[#This Row],[Mosquito net]],Table_NFI[Mosquito net])</f>
        <v>#REF!</v>
      </c>
      <c r="AF353" s="542" t="e">
        <f>IF(NFI_Expiration=1,IF(#REF!&lt;VLOOKUP(O$5,NFI,5,0),1,0)*Table_NFI[[#This Row],[Tarpaulin]],Table_NFI[[#This Row],[Tarpaulin]])</f>
        <v>#REF!</v>
      </c>
      <c r="AG353" s="542" t="e">
        <f>IF(NFI_Expiration=1,IF(#REF!&lt;VLOOKUP(P$5,NFI,5,0),1,0)*Table_NFI[[#This Row],[Blanket]],Table_NFI[[#This Row],[Blanket]])</f>
        <v>#REF!</v>
      </c>
      <c r="AH353" s="542" t="e">
        <f>IF(NFI_Expiration=1,IF(#REF!&lt;VLOOKUP(Q$5,NFI,5,0),1,0)*Table_NFI[[#This Row],[Kitchen Set]],Table_NFI[Kitchen Set])</f>
        <v>#REF!</v>
      </c>
      <c r="AI353" s="542" t="e">
        <f>IF(NFI_Expiration=1,IF(#REF!&lt;VLOOKUP(R$5,NFI,5,0),1,0)*Table_NFI[[#This Row],[Clothes Kit]],Table_NFI[Clothes Kit])</f>
        <v>#REF!</v>
      </c>
      <c r="AJ353" s="542" t="e">
        <f>IF(NFI_Expiration=1,IF(#REF!&lt;VLOOKUP(S$5,NFI,5,0),1,0)*Table_NFI[[#This Row],[Plastic Bucket]],Table_NFI[Plastic Bucket])</f>
        <v>#REF!</v>
      </c>
      <c r="AK353" s="542" t="e">
        <f>IF(NFI_Expiration=1,IF(#REF!&lt;VLOOKUP(T$5,NFI,5,0),1,0)*Table_NFI[[#This Row],[Plastic Mat]],Table_NFI[Plastic Mat])*IF(Table_NFI[[#This Row],[Distribution Date]]&gt;"2014-04-01",1,2.5)</f>
        <v>#REF!</v>
      </c>
      <c r="AL353" s="542" t="e">
        <f>IF(NFI_Expiration=1,IF(#REF!&lt;VLOOKUP(U$5,NFI,5,0),1,0)*Table_NFI[[#This Row],[Winter Clothes Adult]],Table_NFI[Winter Clothes Adult])</f>
        <v>#REF!</v>
      </c>
      <c r="AM353" s="542"/>
      <c r="AN353" s="542"/>
      <c r="AO353" s="542"/>
      <c r="AP353" s="542">
        <f>IF(Table_NFI[[#This Row],[Winter Clothes Adult]]+Table_NFI[[#This Row],[Winter Clothes Children]]+Table_NFI[[#This Row],[Winter Items Other]]+Table_NFI[[#This Row],[Winter Blanket]]&gt;0,1,0)</f>
        <v>1</v>
      </c>
      <c r="AQ353" s="542"/>
      <c r="AR353" s="542"/>
      <c r="AS353" s="542"/>
      <c r="AT353" s="205" t="str">
        <f>IFERROR(VLOOKUP(Table_NFI[[#This Row],[Location]],CL,2,0),"")</f>
        <v>MMR001CMP230</v>
      </c>
      <c r="AU353" s="183"/>
    </row>
    <row r="354" spans="2:47" x14ac:dyDescent="0.3">
      <c r="B354" s="540">
        <v>43311</v>
      </c>
      <c r="C354" s="540" t="str">
        <f>MONTH(Table_NFI[[#This Row],[Distribution Date]]) &amp; "/" &amp; YEAR(Table_NFI[[#This Row],[Distribution Date]])</f>
        <v>7/2018</v>
      </c>
      <c r="D354" s="198" t="s">
        <v>420</v>
      </c>
      <c r="E354" s="198" t="s">
        <v>424</v>
      </c>
      <c r="F354" s="198" t="s">
        <v>506</v>
      </c>
      <c r="G354" s="197" t="s">
        <v>230</v>
      </c>
      <c r="H354" s="177" t="s">
        <v>903</v>
      </c>
      <c r="I354" s="183"/>
      <c r="J354" s="541"/>
      <c r="K354" s="541"/>
      <c r="L354" s="541">
        <v>24</v>
      </c>
      <c r="M354" s="541"/>
      <c r="N354" s="541">
        <v>41</v>
      </c>
      <c r="O354" s="541"/>
      <c r="P354" s="541"/>
      <c r="Q354" s="541"/>
      <c r="R354" s="541"/>
      <c r="S354" s="541"/>
      <c r="T354" s="541">
        <v>55</v>
      </c>
      <c r="U354" s="541">
        <v>17</v>
      </c>
      <c r="V354" s="541"/>
      <c r="W354" s="541"/>
      <c r="X354" s="541"/>
      <c r="Y354" s="541"/>
      <c r="Z354" s="541"/>
      <c r="AA354" s="541"/>
      <c r="AB354" s="541"/>
      <c r="AC354" s="542" t="e">
        <f>IF(NFI_Expiration=1,IF(#REF!&lt;VLOOKUP(L$5,NFI,5,0),1,0)*Table_NFI[[#This Row],[NFI Core Kit]],Table_NFI[NFI Core Kit])</f>
        <v>#REF!</v>
      </c>
      <c r="AD354" s="542" t="e">
        <f>IF(NFI_Expiration=1,IF(#REF!&lt;VLOOKUP(M$5,NFI,5,0),1,0)*Table_NFI[[#This Row],[Sanitary Kit]],Table_NFI[Sanitary Kit])</f>
        <v>#REF!</v>
      </c>
      <c r="AE354" s="542" t="e">
        <f>IF(NFI_Expiration=1,IF(#REF!&lt;VLOOKUP(N$5,NFI,5,0),1,0)*Table_NFI[[#This Row],[Mosquito net]],Table_NFI[Mosquito net])</f>
        <v>#REF!</v>
      </c>
      <c r="AF354" s="542" t="e">
        <f>IF(NFI_Expiration=1,IF(#REF!&lt;VLOOKUP(O$5,NFI,5,0),1,0)*Table_NFI[[#This Row],[Tarpaulin]],Table_NFI[[#This Row],[Tarpaulin]])</f>
        <v>#REF!</v>
      </c>
      <c r="AG354" s="542" t="e">
        <f>IF(NFI_Expiration=1,IF(#REF!&lt;VLOOKUP(P$5,NFI,5,0),1,0)*Table_NFI[[#This Row],[Blanket]],Table_NFI[[#This Row],[Blanket]])</f>
        <v>#REF!</v>
      </c>
      <c r="AH354" s="542" t="e">
        <f>IF(NFI_Expiration=1,IF(#REF!&lt;VLOOKUP(Q$5,NFI,5,0),1,0)*Table_NFI[[#This Row],[Kitchen Set]],Table_NFI[Kitchen Set])</f>
        <v>#REF!</v>
      </c>
      <c r="AI354" s="542" t="e">
        <f>IF(NFI_Expiration=1,IF(#REF!&lt;VLOOKUP(R$5,NFI,5,0),1,0)*Table_NFI[[#This Row],[Clothes Kit]],Table_NFI[Clothes Kit])</f>
        <v>#REF!</v>
      </c>
      <c r="AJ354" s="542" t="e">
        <f>IF(NFI_Expiration=1,IF(#REF!&lt;VLOOKUP(S$5,NFI,5,0),1,0)*Table_NFI[[#This Row],[Plastic Bucket]],Table_NFI[Plastic Bucket])</f>
        <v>#REF!</v>
      </c>
      <c r="AK354" s="542" t="e">
        <f>IF(NFI_Expiration=1,IF(#REF!&lt;VLOOKUP(T$5,NFI,5,0),1,0)*Table_NFI[[#This Row],[Plastic Mat]],Table_NFI[Plastic Mat])*IF(Table_NFI[[#This Row],[Distribution Date]]&gt;"2014-04-01",1,2.5)</f>
        <v>#REF!</v>
      </c>
      <c r="AL354" s="542" t="e">
        <f>IF(NFI_Expiration=1,IF(#REF!&lt;VLOOKUP(U$5,NFI,5,0),1,0)*Table_NFI[[#This Row],[Winter Clothes Adult]],Table_NFI[Winter Clothes Adult])</f>
        <v>#REF!</v>
      </c>
      <c r="AM354" s="542"/>
      <c r="AN354" s="542"/>
      <c r="AO354" s="542"/>
      <c r="AP354" s="542">
        <f>IF(Table_NFI[[#This Row],[Winter Clothes Adult]]+Table_NFI[[#This Row],[Winter Clothes Children]]+Table_NFI[[#This Row],[Winter Items Other]]+Table_NFI[[#This Row],[Winter Blanket]]&gt;0,1,0)</f>
        <v>1</v>
      </c>
      <c r="AQ354" s="542"/>
      <c r="AR354" s="542"/>
      <c r="AS354" s="542"/>
      <c r="AT354" s="205" t="str">
        <f>IFERROR(VLOOKUP(Table_NFI[[#This Row],[Location]],CL,2,0),"")</f>
        <v>MMR015CMP213</v>
      </c>
      <c r="AU354" s="183"/>
    </row>
    <row r="355" spans="2:47" x14ac:dyDescent="0.3">
      <c r="B355" s="540">
        <v>43311</v>
      </c>
      <c r="C355" s="540" t="str">
        <f>MONTH(Table_NFI[[#This Row],[Distribution Date]]) &amp; "/" &amp; YEAR(Table_NFI[[#This Row],[Distribution Date]])</f>
        <v>7/2018</v>
      </c>
      <c r="D355" s="198" t="s">
        <v>420</v>
      </c>
      <c r="E355" s="198" t="s">
        <v>424</v>
      </c>
      <c r="F355" s="198" t="s">
        <v>506</v>
      </c>
      <c r="G355" s="197" t="s">
        <v>288</v>
      </c>
      <c r="H355" s="177" t="s">
        <v>289</v>
      </c>
      <c r="I355" s="183"/>
      <c r="J355" s="541"/>
      <c r="K355" s="541"/>
      <c r="L355" s="541">
        <v>67</v>
      </c>
      <c r="M355" s="541"/>
      <c r="N355" s="541">
        <v>68</v>
      </c>
      <c r="O355" s="541"/>
      <c r="P355" s="541"/>
      <c r="Q355" s="541"/>
      <c r="R355" s="541"/>
      <c r="S355" s="541"/>
      <c r="T355" s="541">
        <v>95</v>
      </c>
      <c r="U355" s="541"/>
      <c r="V355" s="541"/>
      <c r="W355" s="541"/>
      <c r="X355" s="541"/>
      <c r="Y355" s="541"/>
      <c r="Z355" s="541"/>
      <c r="AA355" s="541"/>
      <c r="AB355" s="541"/>
      <c r="AC355" s="542" t="e">
        <f>IF(NFI_Expiration=1,IF(#REF!&lt;VLOOKUP(L$5,NFI,5,0),1,0)*Table_NFI[[#This Row],[NFI Core Kit]],Table_NFI[NFI Core Kit])</f>
        <v>#REF!</v>
      </c>
      <c r="AD355" s="542" t="e">
        <f>IF(NFI_Expiration=1,IF(#REF!&lt;VLOOKUP(M$5,NFI,5,0),1,0)*Table_NFI[[#This Row],[Sanitary Kit]],Table_NFI[Sanitary Kit])</f>
        <v>#REF!</v>
      </c>
      <c r="AE355" s="542" t="e">
        <f>IF(NFI_Expiration=1,IF(#REF!&lt;VLOOKUP(N$5,NFI,5,0),1,0)*Table_NFI[[#This Row],[Mosquito net]],Table_NFI[Mosquito net])</f>
        <v>#REF!</v>
      </c>
      <c r="AF355" s="542" t="e">
        <f>IF(NFI_Expiration=1,IF(#REF!&lt;VLOOKUP(O$5,NFI,5,0),1,0)*Table_NFI[[#This Row],[Tarpaulin]],Table_NFI[[#This Row],[Tarpaulin]])</f>
        <v>#REF!</v>
      </c>
      <c r="AG355" s="542" t="e">
        <f>IF(NFI_Expiration=1,IF(#REF!&lt;VLOOKUP(P$5,NFI,5,0),1,0)*Table_NFI[[#This Row],[Blanket]],Table_NFI[[#This Row],[Blanket]])</f>
        <v>#REF!</v>
      </c>
      <c r="AH355" s="542" t="e">
        <f>IF(NFI_Expiration=1,IF(#REF!&lt;VLOOKUP(Q$5,NFI,5,0),1,0)*Table_NFI[[#This Row],[Kitchen Set]],Table_NFI[Kitchen Set])</f>
        <v>#REF!</v>
      </c>
      <c r="AI355" s="542" t="e">
        <f>IF(NFI_Expiration=1,IF(#REF!&lt;VLOOKUP(R$5,NFI,5,0),1,0)*Table_NFI[[#This Row],[Clothes Kit]],Table_NFI[Clothes Kit])</f>
        <v>#REF!</v>
      </c>
      <c r="AJ355" s="542" t="e">
        <f>IF(NFI_Expiration=1,IF(#REF!&lt;VLOOKUP(S$5,NFI,5,0),1,0)*Table_NFI[[#This Row],[Plastic Bucket]],Table_NFI[Plastic Bucket])</f>
        <v>#REF!</v>
      </c>
      <c r="AK355" s="542" t="e">
        <f>IF(NFI_Expiration=1,IF(#REF!&lt;VLOOKUP(T$5,NFI,5,0),1,0)*Table_NFI[[#This Row],[Plastic Mat]],Table_NFI[Plastic Mat])*IF(Table_NFI[[#This Row],[Distribution Date]]&gt;"2014-04-01",1,2.5)</f>
        <v>#REF!</v>
      </c>
      <c r="AL355" s="542" t="e">
        <f>IF(NFI_Expiration=1,IF(#REF!&lt;VLOOKUP(U$5,NFI,5,0),1,0)*Table_NFI[[#This Row],[Winter Clothes Adult]],Table_NFI[Winter Clothes Adult])</f>
        <v>#REF!</v>
      </c>
      <c r="AM355" s="542"/>
      <c r="AN355" s="542"/>
      <c r="AO355" s="542"/>
      <c r="AP355" s="542">
        <f>IF(Table_NFI[[#This Row],[Winter Clothes Adult]]+Table_NFI[[#This Row],[Winter Clothes Children]]+Table_NFI[[#This Row],[Winter Items Other]]+Table_NFI[[#This Row],[Winter Blanket]]&gt;0,1,0)</f>
        <v>0</v>
      </c>
      <c r="AQ355" s="542"/>
      <c r="AR355" s="542"/>
      <c r="AS355" s="542"/>
      <c r="AT355" s="205" t="str">
        <f>IFERROR(VLOOKUP(Table_NFI[[#This Row],[Location]],CL,2,0),"")</f>
        <v>MMR015CMP001</v>
      </c>
      <c r="AU355" s="183"/>
    </row>
    <row r="356" spans="2:47" x14ac:dyDescent="0.3">
      <c r="B356" s="540">
        <v>43311</v>
      </c>
      <c r="C356" s="540" t="str">
        <f>MONTH(Table_NFI[[#This Row],[Distribution Date]]) &amp; "/" &amp; YEAR(Table_NFI[[#This Row],[Distribution Date]])</f>
        <v>7/2018</v>
      </c>
      <c r="D356" s="198" t="s">
        <v>420</v>
      </c>
      <c r="E356" s="198" t="s">
        <v>424</v>
      </c>
      <c r="F356" s="198" t="s">
        <v>506</v>
      </c>
      <c r="G356" s="197" t="s">
        <v>288</v>
      </c>
      <c r="H356" s="177" t="s">
        <v>905</v>
      </c>
      <c r="I356" s="183"/>
      <c r="J356" s="541"/>
      <c r="K356" s="541"/>
      <c r="L356" s="541">
        <v>38</v>
      </c>
      <c r="M356" s="541"/>
      <c r="N356" s="541">
        <v>38</v>
      </c>
      <c r="O356" s="541"/>
      <c r="P356" s="541"/>
      <c r="Q356" s="541"/>
      <c r="R356" s="541"/>
      <c r="S356" s="541"/>
      <c r="T356" s="541">
        <v>54</v>
      </c>
      <c r="U356" s="541"/>
      <c r="V356" s="541"/>
      <c r="W356" s="541"/>
      <c r="X356" s="541"/>
      <c r="Y356" s="541"/>
      <c r="Z356" s="541"/>
      <c r="AA356" s="541"/>
      <c r="AB356" s="541"/>
      <c r="AC356" s="542" t="e">
        <f>IF(NFI_Expiration=1,IF(#REF!&lt;VLOOKUP(L$5,NFI,5,0),1,0)*Table_NFI[[#This Row],[NFI Core Kit]],Table_NFI[NFI Core Kit])</f>
        <v>#REF!</v>
      </c>
      <c r="AD356" s="542" t="e">
        <f>IF(NFI_Expiration=1,IF(#REF!&lt;VLOOKUP(M$5,NFI,5,0),1,0)*Table_NFI[[#This Row],[Sanitary Kit]],Table_NFI[Sanitary Kit])</f>
        <v>#REF!</v>
      </c>
      <c r="AE356" s="542" t="e">
        <f>IF(NFI_Expiration=1,IF(#REF!&lt;VLOOKUP(N$5,NFI,5,0),1,0)*Table_NFI[[#This Row],[Mosquito net]],Table_NFI[Mosquito net])</f>
        <v>#REF!</v>
      </c>
      <c r="AF356" s="542" t="e">
        <f>IF(NFI_Expiration=1,IF(#REF!&lt;VLOOKUP(O$5,NFI,5,0),1,0)*Table_NFI[[#This Row],[Tarpaulin]],Table_NFI[[#This Row],[Tarpaulin]])</f>
        <v>#REF!</v>
      </c>
      <c r="AG356" s="542" t="e">
        <f>IF(NFI_Expiration=1,IF(#REF!&lt;VLOOKUP(P$5,NFI,5,0),1,0)*Table_NFI[[#This Row],[Blanket]],Table_NFI[[#This Row],[Blanket]])</f>
        <v>#REF!</v>
      </c>
      <c r="AH356" s="542" t="e">
        <f>IF(NFI_Expiration=1,IF(#REF!&lt;VLOOKUP(Q$5,NFI,5,0),1,0)*Table_NFI[[#This Row],[Kitchen Set]],Table_NFI[Kitchen Set])</f>
        <v>#REF!</v>
      </c>
      <c r="AI356" s="542" t="e">
        <f>IF(NFI_Expiration=1,IF(#REF!&lt;VLOOKUP(R$5,NFI,5,0),1,0)*Table_NFI[[#This Row],[Clothes Kit]],Table_NFI[Clothes Kit])</f>
        <v>#REF!</v>
      </c>
      <c r="AJ356" s="542" t="e">
        <f>IF(NFI_Expiration=1,IF(#REF!&lt;VLOOKUP(S$5,NFI,5,0),1,0)*Table_NFI[[#This Row],[Plastic Bucket]],Table_NFI[Plastic Bucket])</f>
        <v>#REF!</v>
      </c>
      <c r="AK356" s="542" t="e">
        <f>IF(NFI_Expiration=1,IF(#REF!&lt;VLOOKUP(T$5,NFI,5,0),1,0)*Table_NFI[[#This Row],[Plastic Mat]],Table_NFI[Plastic Mat])*IF(Table_NFI[[#This Row],[Distribution Date]]&gt;"2014-04-01",1,2.5)</f>
        <v>#REF!</v>
      </c>
      <c r="AL356" s="542" t="e">
        <f>IF(NFI_Expiration=1,IF(#REF!&lt;VLOOKUP(U$5,NFI,5,0),1,0)*Table_NFI[[#This Row],[Winter Clothes Adult]],Table_NFI[Winter Clothes Adult])</f>
        <v>#REF!</v>
      </c>
      <c r="AM356" s="542"/>
      <c r="AN356" s="542"/>
      <c r="AO356" s="542"/>
      <c r="AP356" s="542">
        <f>IF(Table_NFI[[#This Row],[Winter Clothes Adult]]+Table_NFI[[#This Row],[Winter Clothes Children]]+Table_NFI[[#This Row],[Winter Items Other]]+Table_NFI[[#This Row],[Winter Blanket]]&gt;0,1,0)</f>
        <v>0</v>
      </c>
      <c r="AQ356" s="542"/>
      <c r="AR356" s="542"/>
      <c r="AS356" s="542"/>
      <c r="AT356" s="205" t="str">
        <f>IFERROR(VLOOKUP(Table_NFI[[#This Row],[Location]],CL,2,0),"")</f>
        <v>MMR015CMP214</v>
      </c>
      <c r="AU356" s="183"/>
    </row>
    <row r="357" spans="2:47" x14ac:dyDescent="0.3">
      <c r="B357" s="540">
        <v>43299</v>
      </c>
      <c r="C357" s="540" t="str">
        <f>MONTH(Table_NFI[[#This Row],[Distribution Date]]) &amp; "/" &amp; YEAR(Table_NFI[[#This Row],[Distribution Date]])</f>
        <v>7/2018</v>
      </c>
      <c r="D357" s="198" t="s">
        <v>1261</v>
      </c>
      <c r="E357" s="198" t="s">
        <v>1261</v>
      </c>
      <c r="F357" s="198" t="s">
        <v>378</v>
      </c>
      <c r="G357" s="198" t="s">
        <v>173</v>
      </c>
      <c r="H357" s="198" t="s">
        <v>1665</v>
      </c>
      <c r="I357" s="183"/>
      <c r="J357" s="541"/>
      <c r="K357" s="541"/>
      <c r="L357" s="541"/>
      <c r="M357" s="541"/>
      <c r="N357" s="541"/>
      <c r="O357" s="541"/>
      <c r="P357" s="541"/>
      <c r="Q357" s="541"/>
      <c r="R357" s="541"/>
      <c r="S357" s="541"/>
      <c r="T357" s="541">
        <v>125</v>
      </c>
      <c r="U357" s="541"/>
      <c r="V357" s="541"/>
      <c r="W357" s="541"/>
      <c r="X357" s="541"/>
      <c r="Y357" s="541"/>
      <c r="Z357" s="541"/>
      <c r="AA357" s="541"/>
      <c r="AB357" s="541"/>
      <c r="AC357" s="542" t="e">
        <f>IF(NFI_Expiration=1,IF(#REF!&lt;VLOOKUP(L$5,NFI,5,0),1,0)*Table_NFI[[#This Row],[NFI Core Kit]],Table_NFI[NFI Core Kit])</f>
        <v>#REF!</v>
      </c>
      <c r="AD357" s="542" t="e">
        <f>IF(NFI_Expiration=1,IF(#REF!&lt;VLOOKUP(M$5,NFI,5,0),1,0)*Table_NFI[[#This Row],[Sanitary Kit]],Table_NFI[Sanitary Kit])</f>
        <v>#REF!</v>
      </c>
      <c r="AE357" s="542" t="e">
        <f>IF(NFI_Expiration=1,IF(#REF!&lt;VLOOKUP(N$5,NFI,5,0),1,0)*Table_NFI[[#This Row],[Mosquito net]],Table_NFI[Mosquito net])</f>
        <v>#REF!</v>
      </c>
      <c r="AF357" s="542" t="e">
        <f>IF(NFI_Expiration=1,IF(#REF!&lt;VLOOKUP(O$5,NFI,5,0),1,0)*Table_NFI[[#This Row],[Tarpaulin]],Table_NFI[[#This Row],[Tarpaulin]])</f>
        <v>#REF!</v>
      </c>
      <c r="AG357" s="542" t="e">
        <f>IF(NFI_Expiration=1,IF(#REF!&lt;VLOOKUP(P$5,NFI,5,0),1,0)*Table_NFI[[#This Row],[Blanket]],Table_NFI[[#This Row],[Blanket]])</f>
        <v>#REF!</v>
      </c>
      <c r="AH357" s="542" t="e">
        <f>IF(NFI_Expiration=1,IF(#REF!&lt;VLOOKUP(Q$5,NFI,5,0),1,0)*Table_NFI[[#This Row],[Kitchen Set]],Table_NFI[Kitchen Set])</f>
        <v>#REF!</v>
      </c>
      <c r="AI357" s="542" t="e">
        <f>IF(NFI_Expiration=1,IF(#REF!&lt;VLOOKUP(R$5,NFI,5,0),1,0)*Table_NFI[[#This Row],[Clothes Kit]],Table_NFI[Clothes Kit])</f>
        <v>#REF!</v>
      </c>
      <c r="AJ357" s="542" t="e">
        <f>IF(NFI_Expiration=1,IF(#REF!&lt;VLOOKUP(S$5,NFI,5,0),1,0)*Table_NFI[[#This Row],[Plastic Bucket]],Table_NFI[Plastic Bucket])</f>
        <v>#REF!</v>
      </c>
      <c r="AK357" s="542" t="e">
        <f>IF(NFI_Expiration=1,IF(#REF!&lt;VLOOKUP(T$5,NFI,5,0),1,0)*Table_NFI[[#This Row],[Plastic Mat]],Table_NFI[Plastic Mat])*IF(Table_NFI[[#This Row],[Distribution Date]]&gt;"2014-04-01",1,2.5)</f>
        <v>#REF!</v>
      </c>
      <c r="AL357" s="542" t="e">
        <f>IF(NFI_Expiration=1,IF(#REF!&lt;VLOOKUP(U$5,NFI,5,0),1,0)*Table_NFI[[#This Row],[Winter Clothes Adult]],Table_NFI[Winter Clothes Adult])</f>
        <v>#REF!</v>
      </c>
      <c r="AM357" s="542"/>
      <c r="AN357" s="542"/>
      <c r="AO357" s="542"/>
      <c r="AP357" s="542">
        <f>IF(Table_NFI[[#This Row],[Winter Clothes Adult]]+Table_NFI[[#This Row],[Winter Clothes Children]]+Table_NFI[[#This Row],[Winter Items Other]]+Table_NFI[[#This Row],[Winter Blanket]]&gt;0,1,0)</f>
        <v>0</v>
      </c>
      <c r="AQ357" s="542"/>
      <c r="AR357" s="542"/>
      <c r="AS357" s="542"/>
      <c r="AT357" s="205" t="str">
        <f>IFERROR(VLOOKUP(Table_NFI[[#This Row],[Location]],CL,2,0),"")</f>
        <v>MMR001CMP260</v>
      </c>
      <c r="AU357" s="183"/>
    </row>
    <row r="358" spans="2:47" x14ac:dyDescent="0.3">
      <c r="B358" s="540">
        <v>43300</v>
      </c>
      <c r="C358" s="540" t="str">
        <f>MONTH(Table_NFI[[#This Row],[Distribution Date]]) &amp; "/" &amp; YEAR(Table_NFI[[#This Row],[Distribution Date]])</f>
        <v>7/2018</v>
      </c>
      <c r="D358" s="198" t="s">
        <v>1261</v>
      </c>
      <c r="E358" s="198" t="s">
        <v>1261</v>
      </c>
      <c r="F358" s="198" t="s">
        <v>378</v>
      </c>
      <c r="G358" s="197" t="s">
        <v>309</v>
      </c>
      <c r="H358" s="198" t="s">
        <v>1750</v>
      </c>
      <c r="I358" s="183"/>
      <c r="J358" s="541"/>
      <c r="K358" s="541"/>
      <c r="L358" s="541"/>
      <c r="M358" s="541"/>
      <c r="N358" s="541"/>
      <c r="O358" s="541"/>
      <c r="P358" s="541"/>
      <c r="Q358" s="541">
        <v>72</v>
      </c>
      <c r="R358" s="541"/>
      <c r="S358" s="541"/>
      <c r="T358" s="541"/>
      <c r="U358" s="541"/>
      <c r="V358" s="541"/>
      <c r="W358" s="541">
        <v>9</v>
      </c>
      <c r="X358" s="541"/>
      <c r="Y358" s="541"/>
      <c r="Z358" s="541"/>
      <c r="AA358" s="541"/>
      <c r="AB358" s="541"/>
      <c r="AC358" s="542" t="e">
        <f>IF(NFI_Expiration=1,IF(#REF!&lt;VLOOKUP(L$5,NFI,5,0),1,0)*Table_NFI[[#This Row],[NFI Core Kit]],Table_NFI[NFI Core Kit])</f>
        <v>#REF!</v>
      </c>
      <c r="AD358" s="542" t="e">
        <f>IF(NFI_Expiration=1,IF(#REF!&lt;VLOOKUP(M$5,NFI,5,0),1,0)*Table_NFI[[#This Row],[Sanitary Kit]],Table_NFI[Sanitary Kit])</f>
        <v>#REF!</v>
      </c>
      <c r="AE358" s="542" t="e">
        <f>IF(NFI_Expiration=1,IF(#REF!&lt;VLOOKUP(N$5,NFI,5,0),1,0)*Table_NFI[[#This Row],[Mosquito net]],Table_NFI[Mosquito net])</f>
        <v>#REF!</v>
      </c>
      <c r="AF358" s="542" t="e">
        <f>IF(NFI_Expiration=1,IF(#REF!&lt;VLOOKUP(O$5,NFI,5,0),1,0)*Table_NFI[[#This Row],[Tarpaulin]],Table_NFI[[#This Row],[Tarpaulin]])</f>
        <v>#REF!</v>
      </c>
      <c r="AG358" s="542" t="e">
        <f>IF(NFI_Expiration=1,IF(#REF!&lt;VLOOKUP(P$5,NFI,5,0),1,0)*Table_NFI[[#This Row],[Blanket]],Table_NFI[[#This Row],[Blanket]])</f>
        <v>#REF!</v>
      </c>
      <c r="AH358" s="542" t="e">
        <f>IF(NFI_Expiration=1,IF(#REF!&lt;VLOOKUP(Q$5,NFI,5,0),1,0)*Table_NFI[[#This Row],[Kitchen Set]],Table_NFI[Kitchen Set])</f>
        <v>#REF!</v>
      </c>
      <c r="AI358" s="542" t="e">
        <f>IF(NFI_Expiration=1,IF(#REF!&lt;VLOOKUP(R$5,NFI,5,0),1,0)*Table_NFI[[#This Row],[Clothes Kit]],Table_NFI[Clothes Kit])</f>
        <v>#REF!</v>
      </c>
      <c r="AJ358" s="542" t="e">
        <f>IF(NFI_Expiration=1,IF(#REF!&lt;VLOOKUP(S$5,NFI,5,0),1,0)*Table_NFI[[#This Row],[Plastic Bucket]],Table_NFI[Plastic Bucket])</f>
        <v>#REF!</v>
      </c>
      <c r="AK358" s="542" t="e">
        <f>IF(NFI_Expiration=1,IF(#REF!&lt;VLOOKUP(T$5,NFI,5,0),1,0)*Table_NFI[[#This Row],[Plastic Mat]],Table_NFI[Plastic Mat])*IF(Table_NFI[[#This Row],[Distribution Date]]&gt;"2014-04-01",1,2.5)</f>
        <v>#REF!</v>
      </c>
      <c r="AL358" s="542" t="e">
        <f>IF(NFI_Expiration=1,IF(#REF!&lt;VLOOKUP(U$5,NFI,5,0),1,0)*Table_NFI[[#This Row],[Winter Clothes Adult]],Table_NFI[Winter Clothes Adult])</f>
        <v>#REF!</v>
      </c>
      <c r="AM358" s="542"/>
      <c r="AN358" s="542"/>
      <c r="AO358" s="542"/>
      <c r="AP358" s="542">
        <f>IF(Table_NFI[[#This Row],[Winter Clothes Adult]]+Table_NFI[[#This Row],[Winter Clothes Children]]+Table_NFI[[#This Row],[Winter Items Other]]+Table_NFI[[#This Row],[Winter Blanket]]&gt;0,1,0)</f>
        <v>1</v>
      </c>
      <c r="AQ358" s="542"/>
      <c r="AR358" s="542"/>
      <c r="AS358" s="542"/>
      <c r="AT358" s="205" t="str">
        <f>IFERROR(VLOOKUP(Table_NFI[[#This Row],[Location]],CL,2,0),"")</f>
        <v>MMR001CMP269</v>
      </c>
      <c r="AU358" s="183"/>
    </row>
    <row r="359" spans="2:47" x14ac:dyDescent="0.3">
      <c r="B359" s="540">
        <v>43325</v>
      </c>
      <c r="C359" s="540" t="str">
        <f>MONTH(Table_NFI[[#This Row],[Distribution Date]]) &amp; "/" &amp; YEAR(Table_NFI[[#This Row],[Distribution Date]])</f>
        <v>8/2018</v>
      </c>
      <c r="D359" s="198" t="s">
        <v>420</v>
      </c>
      <c r="E359" s="198" t="s">
        <v>462</v>
      </c>
      <c r="F359" s="198" t="s">
        <v>378</v>
      </c>
      <c r="G359" s="197" t="s">
        <v>309</v>
      </c>
      <c r="H359" s="306" t="s">
        <v>337</v>
      </c>
      <c r="I359" s="183"/>
      <c r="J359" s="541"/>
      <c r="K359" s="541"/>
      <c r="L359" s="541"/>
      <c r="M359" s="541"/>
      <c r="N359" s="541"/>
      <c r="O359" s="541">
        <v>19</v>
      </c>
      <c r="P359" s="541"/>
      <c r="Q359" s="541"/>
      <c r="R359" s="541"/>
      <c r="S359" s="541"/>
      <c r="T359" s="541"/>
      <c r="U359" s="541"/>
      <c r="V359" s="541"/>
      <c r="W359" s="541"/>
      <c r="X359" s="541"/>
      <c r="Y359" s="541"/>
      <c r="Z359" s="541"/>
      <c r="AA359" s="541"/>
      <c r="AB359" s="541"/>
      <c r="AC359" s="542" t="e">
        <f>IF(NFI_Expiration=1,IF(#REF!&lt;VLOOKUP(L$5,NFI,5,0),1,0)*Table_NFI[[#This Row],[NFI Core Kit]],Table_NFI[NFI Core Kit])</f>
        <v>#REF!</v>
      </c>
      <c r="AD359" s="542" t="e">
        <f>IF(NFI_Expiration=1,IF(#REF!&lt;VLOOKUP(M$5,NFI,5,0),1,0)*Table_NFI[[#This Row],[Sanitary Kit]],Table_NFI[Sanitary Kit])</f>
        <v>#REF!</v>
      </c>
      <c r="AE359" s="542" t="e">
        <f>IF(NFI_Expiration=1,IF(#REF!&lt;VLOOKUP(N$5,NFI,5,0),1,0)*Table_NFI[[#This Row],[Mosquito net]],Table_NFI[Mosquito net])</f>
        <v>#REF!</v>
      </c>
      <c r="AF359" s="542" t="e">
        <f>IF(NFI_Expiration=1,IF(#REF!&lt;VLOOKUP(O$5,NFI,5,0),1,0)*Table_NFI[[#This Row],[Tarpaulin]],Table_NFI[[#This Row],[Tarpaulin]])</f>
        <v>#REF!</v>
      </c>
      <c r="AG359" s="542" t="e">
        <f>IF(NFI_Expiration=1,IF(#REF!&lt;VLOOKUP(P$5,NFI,5,0),1,0)*Table_NFI[[#This Row],[Blanket]],Table_NFI[[#This Row],[Blanket]])</f>
        <v>#REF!</v>
      </c>
      <c r="AH359" s="542" t="e">
        <f>IF(NFI_Expiration=1,IF(#REF!&lt;VLOOKUP(Q$5,NFI,5,0),1,0)*Table_NFI[[#This Row],[Kitchen Set]],Table_NFI[Kitchen Set])</f>
        <v>#REF!</v>
      </c>
      <c r="AI359" s="542" t="e">
        <f>IF(NFI_Expiration=1,IF(#REF!&lt;VLOOKUP(R$5,NFI,5,0),1,0)*Table_NFI[[#This Row],[Clothes Kit]],Table_NFI[Clothes Kit])</f>
        <v>#REF!</v>
      </c>
      <c r="AJ359" s="542" t="e">
        <f>IF(NFI_Expiration=1,IF(#REF!&lt;VLOOKUP(S$5,NFI,5,0),1,0)*Table_NFI[[#This Row],[Plastic Bucket]],Table_NFI[Plastic Bucket])</f>
        <v>#REF!</v>
      </c>
      <c r="AK359" s="542" t="e">
        <f>IF(NFI_Expiration=1,IF(#REF!&lt;VLOOKUP(T$5,NFI,5,0),1,0)*Table_NFI[[#This Row],[Plastic Mat]],Table_NFI[Plastic Mat])*IF(Table_NFI[[#This Row],[Distribution Date]]&gt;"2014-04-01",1,2.5)</f>
        <v>#REF!</v>
      </c>
      <c r="AL359" s="542" t="e">
        <f>IF(NFI_Expiration=1,IF(#REF!&lt;VLOOKUP(U$5,NFI,5,0),1,0)*Table_NFI[[#This Row],[Winter Clothes Adult]],Table_NFI[Winter Clothes Adult])</f>
        <v>#REF!</v>
      </c>
      <c r="AM359" s="542"/>
      <c r="AN359" s="542"/>
      <c r="AO359" s="542"/>
      <c r="AP359" s="542">
        <f>IF(Table_NFI[[#This Row],[Winter Clothes Adult]]+Table_NFI[[#This Row],[Winter Clothes Children]]+Table_NFI[[#This Row],[Winter Items Other]]+Table_NFI[[#This Row],[Winter Blanket]]&gt;0,1,0)</f>
        <v>0</v>
      </c>
      <c r="AQ359" s="542"/>
      <c r="AR359" s="542"/>
      <c r="AS359" s="542"/>
      <c r="AT359" s="205" t="str">
        <f>IFERROR(VLOOKUP(Table_NFI[[#This Row],[Location]],CL,2,0),"")</f>
        <v>MMR001CMP030</v>
      </c>
      <c r="AU359" s="183"/>
    </row>
    <row r="360" spans="2:47" x14ac:dyDescent="0.3">
      <c r="B360" s="540">
        <v>43325</v>
      </c>
      <c r="C360" s="540" t="str">
        <f>MONTH(Table_NFI[[#This Row],[Distribution Date]]) &amp; "/" &amp; YEAR(Table_NFI[[#This Row],[Distribution Date]])</f>
        <v>8/2018</v>
      </c>
      <c r="D360" s="198" t="s">
        <v>420</v>
      </c>
      <c r="E360" s="198" t="s">
        <v>462</v>
      </c>
      <c r="F360" s="198" t="s">
        <v>378</v>
      </c>
      <c r="G360" s="197" t="s">
        <v>237</v>
      </c>
      <c r="H360" s="177" t="s">
        <v>278</v>
      </c>
      <c r="I360" s="183"/>
      <c r="J360" s="541"/>
      <c r="K360" s="541"/>
      <c r="L360" s="541"/>
      <c r="M360" s="541"/>
      <c r="N360" s="541"/>
      <c r="O360" s="541">
        <v>1</v>
      </c>
      <c r="P360" s="541"/>
      <c r="Q360" s="541"/>
      <c r="R360" s="541"/>
      <c r="S360" s="541"/>
      <c r="T360" s="541"/>
      <c r="U360" s="541"/>
      <c r="V360" s="541"/>
      <c r="W360" s="541"/>
      <c r="X360" s="541"/>
      <c r="Y360" s="541"/>
      <c r="Z360" s="541"/>
      <c r="AA360" s="541"/>
      <c r="AB360" s="541"/>
      <c r="AC360" s="542" t="e">
        <f>IF(NFI_Expiration=1,IF(#REF!&lt;VLOOKUP(L$5,NFI,5,0),1,0)*Table_NFI[[#This Row],[NFI Core Kit]],Table_NFI[NFI Core Kit])</f>
        <v>#REF!</v>
      </c>
      <c r="AD360" s="542" t="e">
        <f>IF(NFI_Expiration=1,IF(#REF!&lt;VLOOKUP(M$5,NFI,5,0),1,0)*Table_NFI[[#This Row],[Sanitary Kit]],Table_NFI[Sanitary Kit])</f>
        <v>#REF!</v>
      </c>
      <c r="AE360" s="542" t="e">
        <f>IF(NFI_Expiration=1,IF(#REF!&lt;VLOOKUP(N$5,NFI,5,0),1,0)*Table_NFI[[#This Row],[Mosquito net]],Table_NFI[Mosquito net])</f>
        <v>#REF!</v>
      </c>
      <c r="AF360" s="542" t="e">
        <f>IF(NFI_Expiration=1,IF(#REF!&lt;VLOOKUP(O$5,NFI,5,0),1,0)*Table_NFI[[#This Row],[Tarpaulin]],Table_NFI[[#This Row],[Tarpaulin]])</f>
        <v>#REF!</v>
      </c>
      <c r="AG360" s="542" t="e">
        <f>IF(NFI_Expiration=1,IF(#REF!&lt;VLOOKUP(P$5,NFI,5,0),1,0)*Table_NFI[[#This Row],[Blanket]],Table_NFI[[#This Row],[Blanket]])</f>
        <v>#REF!</v>
      </c>
      <c r="AH360" s="542" t="e">
        <f>IF(NFI_Expiration=1,IF(#REF!&lt;VLOOKUP(Q$5,NFI,5,0),1,0)*Table_NFI[[#This Row],[Kitchen Set]],Table_NFI[Kitchen Set])</f>
        <v>#REF!</v>
      </c>
      <c r="AI360" s="542" t="e">
        <f>IF(NFI_Expiration=1,IF(#REF!&lt;VLOOKUP(R$5,NFI,5,0),1,0)*Table_NFI[[#This Row],[Clothes Kit]],Table_NFI[Clothes Kit])</f>
        <v>#REF!</v>
      </c>
      <c r="AJ360" s="542" t="e">
        <f>IF(NFI_Expiration=1,IF(#REF!&lt;VLOOKUP(S$5,NFI,5,0),1,0)*Table_NFI[[#This Row],[Plastic Bucket]],Table_NFI[Plastic Bucket])</f>
        <v>#REF!</v>
      </c>
      <c r="AK360" s="542" t="e">
        <f>IF(NFI_Expiration=1,IF(#REF!&lt;VLOOKUP(T$5,NFI,5,0),1,0)*Table_NFI[[#This Row],[Plastic Mat]],Table_NFI[Plastic Mat])*IF(Table_NFI[[#This Row],[Distribution Date]]&gt;"2014-04-01",1,2.5)</f>
        <v>#REF!</v>
      </c>
      <c r="AL360" s="542" t="e">
        <f>IF(NFI_Expiration=1,IF(#REF!&lt;VLOOKUP(U$5,NFI,5,0),1,0)*Table_NFI[[#This Row],[Winter Clothes Adult]],Table_NFI[Winter Clothes Adult])</f>
        <v>#REF!</v>
      </c>
      <c r="AM360" s="542"/>
      <c r="AN360" s="542"/>
      <c r="AO360" s="542"/>
      <c r="AP360" s="542">
        <f>IF(Table_NFI[[#This Row],[Winter Clothes Adult]]+Table_NFI[[#This Row],[Winter Clothes Children]]+Table_NFI[[#This Row],[Winter Items Other]]+Table_NFI[[#This Row],[Winter Blanket]]&gt;0,1,0)</f>
        <v>0</v>
      </c>
      <c r="AQ360" s="542"/>
      <c r="AR360" s="542"/>
      <c r="AS360" s="542"/>
      <c r="AT360" s="205" t="str">
        <f>IFERROR(VLOOKUP(Table_NFI[[#This Row],[Location]],CL,2,0),"")</f>
        <v>MMR001CMP007</v>
      </c>
      <c r="AU360" s="183"/>
    </row>
  </sheetData>
  <mergeCells count="11">
    <mergeCell ref="B4:E4"/>
    <mergeCell ref="B2:L2"/>
    <mergeCell ref="B3:L3"/>
    <mergeCell ref="M2:U2"/>
    <mergeCell ref="V2:AD2"/>
    <mergeCell ref="AE2:AM2"/>
    <mergeCell ref="AN2:AU2"/>
    <mergeCell ref="M3:U3"/>
    <mergeCell ref="V3:AD3"/>
    <mergeCell ref="AE3:AM3"/>
    <mergeCell ref="AN3:AU3"/>
  </mergeCells>
  <conditionalFormatting sqref="AT53:AT114">
    <cfRule type="containsText" dxfId="30" priority="68" operator="containsText" text="close">
      <formula>NOT(ISERROR(SEARCH("close",AT53)))</formula>
    </cfRule>
    <cfRule type="containsText" dxfId="29"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formula1>OFFSET(TCL_T1,MATCH(G6,TCL_T,0)-1,1,COUNTIF(TCL_T,G6),1)</formula1>
    </dataValidation>
    <dataValidation type="list" showInputMessage="1" showErrorMessage="1" sqref="G76 G41 G44:G53 G68 G78:G87 G39 G57 G62 G64:G66 G90:G95 G97:G167 G176:G210 G6:G8 G212:G356 G358:G360">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customWidth="1"/>
    <col min="19" max="19" width="21.44140625" customWidth="1"/>
    <col min="20" max="20" width="21.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926</v>
      </c>
      <c r="C1" s="120" t="s">
        <v>507</v>
      </c>
      <c r="D1" s="120" t="s">
        <v>0</v>
      </c>
      <c r="E1" s="120" t="s">
        <v>2</v>
      </c>
      <c r="F1" s="120" t="s">
        <v>927</v>
      </c>
      <c r="G1" s="120" t="s">
        <v>862</v>
      </c>
      <c r="H1" s="120" t="s">
        <v>863</v>
      </c>
      <c r="I1" s="120" t="s">
        <v>864</v>
      </c>
      <c r="J1" s="120" t="s">
        <v>928</v>
      </c>
      <c r="K1" s="120" t="s">
        <v>930</v>
      </c>
      <c r="L1" s="120" t="s">
        <v>929</v>
      </c>
      <c r="M1" s="121" t="s">
        <v>937</v>
      </c>
      <c r="N1" s="122" t="s">
        <v>934</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799</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936</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204</v>
      </c>
      <c r="F6" s="7">
        <f ca="1">OFFSET(CampList[Total],MATCH(Table10[[#This Row],[Pcode]],CampList[CP_Pcode],0)-1,0,1,1)</f>
        <v>837</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408</v>
      </c>
      <c r="K6" s="106">
        <f ca="1">MAX(Table10[[#This Row],[HH]]*VLOOKUP("Winter Clothes Children ",NFI,6)-Table10[[#This Row],[Winter Clothes Children ]],0)</f>
        <v>204</v>
      </c>
      <c r="L6" s="106">
        <f ca="1">MAX(Table10[[#This Row],[HH]]*VLOOKUP("Winter Items Other ",NFI,6)-Table10[[#This Row],[Winter Items Other ]],0)</f>
        <v>204</v>
      </c>
      <c r="M6" s="114" t="str">
        <f>IF(OR(Table10[[#This Row],[Winter Clothes Adult ]]&lt;&gt;0,Table10[[#This Row],[Winter Clothes Children ]]&lt;&gt;0,Table10[[#This Row],[Winter Items Other ]]&lt;&gt;0),"No","")</f>
        <v/>
      </c>
      <c r="N6" s="115">
        <f>COUNTIF(A:A,Table10[[#This Row],[Pcode]])-1</f>
        <v>0</v>
      </c>
    </row>
    <row r="7" spans="1:20" x14ac:dyDescent="0.3">
      <c r="A7" s="102" t="s">
        <v>876</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986</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868</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82</v>
      </c>
      <c r="F11" s="7">
        <f ca="1">OFFSET(CampList[Total],MATCH(Table10[[#This Row],[Pcode]],CampList[CP_Pcode],0)-1,0,1,1)</f>
        <v>518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164</v>
      </c>
      <c r="K11" s="106">
        <f ca="1">MAX(Table10[[#This Row],[HH]]*VLOOKUP("Winter Clothes Children ",NFI,6)-Table10[[#This Row],[Winter Clothes Children ]],0)</f>
        <v>82</v>
      </c>
      <c r="L11" s="106">
        <f ca="1">MAX(Table10[[#This Row],[HH]]*VLOOKUP("Winter Items Other ",NFI,6)-Table10[[#This Row],[Winter Items Other ]],0)</f>
        <v>82</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124</v>
      </c>
      <c r="F12" s="7">
        <f ca="1">OFFSET(CampList[Total],MATCH(Table10[[#This Row],[Pcode]],CampList[CP_Pcode],0)-1,0,1,1)</f>
        <v>471</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248</v>
      </c>
      <c r="K12" s="106">
        <f ca="1">MAX(Table10[[#This Row],[HH]]*VLOOKUP("Winter Clothes Children ",NFI,6)-Table10[[#This Row],[Winter Clothes Children ]],0)</f>
        <v>124</v>
      </c>
      <c r="L12" s="106">
        <f ca="1">MAX(Table10[[#This Row],[HH]]*VLOOKUP("Winter Items Other ",NFI,6)-Table10[[#This Row],[Winter Items Other ]],0)</f>
        <v>124</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182</v>
      </c>
      <c r="F13" s="7">
        <f ca="1">OFFSET(CampList[Total],MATCH(Table10[[#This Row],[Pcode]],CampList[CP_Pcode],0)-1,0,1,1)</f>
        <v>1027</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364</v>
      </c>
      <c r="K13" s="106">
        <f ca="1">MAX(Table10[[#This Row],[HH]]*VLOOKUP("Winter Clothes Children ",NFI,6)-Table10[[#This Row],[Winter Clothes Children ]],0)</f>
        <v>182</v>
      </c>
      <c r="L13" s="106">
        <f ca="1">MAX(Table10[[#This Row],[HH]]*VLOOKUP("Winter Items Other ",NFI,6)-Table10[[#This Row],[Winter Items Other ]],0)</f>
        <v>182</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3547</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41</v>
      </c>
      <c r="F15" s="7">
        <f ca="1">OFFSET(CampList[Total],MATCH(Table10[[#This Row],[Pcode]],CampList[CP_Pcode],0)-1,0,1,1)</f>
        <v>231</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82</v>
      </c>
      <c r="K15" s="106">
        <f ca="1">MAX(Table10[[#This Row],[HH]]*VLOOKUP("Winter Clothes Children ",NFI,6)-Table10[[#This Row],[Winter Clothes Children ]],0)</f>
        <v>41</v>
      </c>
      <c r="L15" s="106">
        <f ca="1">MAX(Table10[[#This Row],[HH]]*VLOOKUP("Winter Items Other ",NFI,6)-Table10[[#This Row],[Winter Items Other ]],0)</f>
        <v>41</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4" t="s">
        <v>931</v>
      </c>
      <c r="S16" s="304" t="s">
        <v>932</v>
      </c>
      <c r="T16" s="304" t="s">
        <v>933</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1544</v>
      </c>
      <c r="R17" s="162" t="e">
        <v>#N/A</v>
      </c>
      <c r="S17" s="162" t="e">
        <v>#N/A</v>
      </c>
      <c r="T17" s="16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362</v>
      </c>
      <c r="F18" s="7">
        <f ca="1">OFFSET(CampList[Total],MATCH(Table10[[#This Row],[Pcode]],CampList[CP_Pcode],0)-1,0,1,1)</f>
        <v>1718</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724</v>
      </c>
      <c r="K18" s="106">
        <f ca="1">MAX(Table10[[#This Row],[HH]]*VLOOKUP("Winter Clothes Children ",NFI,6)-Table10[[#This Row],[Winter Clothes Children ]],0)</f>
        <v>362</v>
      </c>
      <c r="L18" s="106">
        <f ca="1">MAX(Table10[[#This Row],[HH]]*VLOOKUP("Winter Items Other ",NFI,6)-Table10[[#This Row],[Winter Items Other ]],0)</f>
        <v>362</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3">
      <c r="A19" s="102" t="s">
        <v>889</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535</v>
      </c>
      <c r="F20" s="7">
        <f ca="1">OFFSET(CampList[Total],MATCH(Table10[[#This Row],[Pcode]],CampList[CP_Pcode],0)-1,0,1,1)</f>
        <v>2490</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1070</v>
      </c>
      <c r="K20" s="106">
        <f ca="1">MAX(Table10[[#This Row],[HH]]*VLOOKUP("Winter Clothes Children ",NFI,6)-Table10[[#This Row],[Winter Clothes Children ]],0)</f>
        <v>535</v>
      </c>
      <c r="L20" s="106">
        <f ca="1">MAX(Table10[[#This Row],[HH]]*VLOOKUP("Winter Items Other ",NFI,6)-Table10[[#This Row],[Winter Items Other ]],0)</f>
        <v>535</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3648</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1491</v>
      </c>
      <c r="F23" s="7">
        <f ca="1">OFFSET(CampList[Total],MATCH(Table10[[#This Row],[Pcode]],CampList[CP_Pcode],0)-1,0,1,1)</f>
        <v>8574</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2982</v>
      </c>
      <c r="K23" s="106">
        <f ca="1">MAX(Table10[[#This Row],[HH]]*VLOOKUP("Winter Clothes Children ",NFI,6)-Table10[[#This Row],[Winter Clothes Children ]],0)</f>
        <v>1491</v>
      </c>
      <c r="L23" s="106">
        <f ca="1">MAX(Table10[[#This Row],[HH]]*VLOOKUP("Winter Items Other ",NFI,6)-Table10[[#This Row],[Winter Items Other ]],0)</f>
        <v>1491</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411</v>
      </c>
      <c r="F29" s="7">
        <f ca="1">OFFSET(CampList[Total],MATCH(Table10[[#This Row],[Pcode]],CampList[CP_Pcode],0)-1,0,1,1)</f>
        <v>1545</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822</v>
      </c>
      <c r="K29" s="106">
        <f ca="1">MAX(Table10[[#This Row],[HH]]*VLOOKUP("Winter Clothes Children ",NFI,6)-Table10[[#This Row],[Winter Clothes Children ]],0)</f>
        <v>411</v>
      </c>
      <c r="L29" s="106">
        <f ca="1">MAX(Table10[[#This Row],[HH]]*VLOOKUP("Winter Items Other ",NFI,6)-Table10[[#This Row],[Winter Items Other ]],0)</f>
        <v>411</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176</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237</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641</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203</v>
      </c>
      <c r="F34" s="7">
        <f ca="1">OFFSET(CampList[Total],MATCH(Table10[[#This Row],[Pcode]],CampList[CP_Pcode],0)-1,0,1,1)</f>
        <v>1138</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406</v>
      </c>
      <c r="K34" s="106">
        <f ca="1">MAX(Table10[[#This Row],[HH]]*VLOOKUP("Winter Clothes Children ",NFI,6)-Table10[[#This Row],[Winter Clothes Children ]],0)</f>
        <v>203</v>
      </c>
      <c r="L34" s="106">
        <f ca="1">MAX(Table10[[#This Row],[HH]]*VLOOKUP("Winter Items Other ",NFI,6)-Table10[[#This Row],[Winter Items Other ]],0)</f>
        <v>203</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432</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300</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893</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53</v>
      </c>
      <c r="F42" s="7">
        <f ca="1">OFFSET(CampList[Total],MATCH(Table10[[#This Row],[Pcode]],CampList[CP_Pcode],0)-1,0,1,1)</f>
        <v>256</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106</v>
      </c>
      <c r="K42" s="106">
        <f ca="1">MAX(Table10[[#This Row],[HH]]*VLOOKUP("Winter Clothes Children ",NFI,6)-Table10[[#This Row],[Winter Clothes Children ]],0)</f>
        <v>53</v>
      </c>
      <c r="L42" s="106">
        <f ca="1">MAX(Table10[[#This Row],[HH]]*VLOOKUP("Winter Items Other ",NFI,6)-Table10[[#This Row],[Winter Items Other ]],0)</f>
        <v>53</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132</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267</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114</v>
      </c>
      <c r="K45" s="106">
        <f ca="1">MAX(Table10[[#This Row],[HH]]*VLOOKUP("Winter Clothes Children ",NFI,6)-Table10[[#This Row],[Winter Clothes Children ]],0)</f>
        <v>57</v>
      </c>
      <c r="L45" s="106">
        <f ca="1">MAX(Table10[[#This Row],[HH]]*VLOOKUP("Winter Items Other ",NFI,6)-Table10[[#This Row],[Winter Items Other ]],0)</f>
        <v>57</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204</v>
      </c>
      <c r="F46" s="7">
        <f ca="1">OFFSET(CampList[Total],MATCH(Table10[[#This Row],[Pcode]],CampList[CP_Pcode],0)-1,0,1,1)</f>
        <v>1023</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408</v>
      </c>
      <c r="K46" s="106">
        <f ca="1">MAX(Table10[[#This Row],[HH]]*VLOOKUP("Winter Clothes Children ",NFI,6)-Table10[[#This Row],[Winter Clothes Children ]],0)</f>
        <v>204</v>
      </c>
      <c r="L46" s="106">
        <f ca="1">MAX(Table10[[#This Row],[HH]]*VLOOKUP("Winter Items Other ",NFI,6)-Table10[[#This Row],[Winter Items Other ]],0)</f>
        <v>204</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174</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373</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67</v>
      </c>
      <c r="F51" s="7">
        <f ca="1">OFFSET(CampList[Total],MATCH(Table10[[#This Row],[Pcode]],CampList[CP_Pcode],0)-1,0,1,1)</f>
        <v>343</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134</v>
      </c>
      <c r="K51" s="106">
        <f ca="1">MAX(Table10[[#This Row],[HH]]*VLOOKUP("Winter Clothes Children ",NFI,6)-Table10[[#This Row],[Winter Clothes Children ]],0)</f>
        <v>67</v>
      </c>
      <c r="L51" s="106">
        <f ca="1">MAX(Table10[[#This Row],[HH]]*VLOOKUP("Winter Items Other ",NFI,6)-Table10[[#This Row],[Winter Items Other ]],0)</f>
        <v>67</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42</v>
      </c>
      <c r="F52" s="7">
        <f ca="1">OFFSET(CampList[Total],MATCH(Table10[[#This Row],[Pcode]],CampList[CP_Pcode],0)-1,0,1,1)</f>
        <v>215</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84</v>
      </c>
      <c r="K52" s="106">
        <f ca="1">MAX(Table10[[#This Row],[HH]]*VLOOKUP("Winter Clothes Children ",NFI,6)-Table10[[#This Row],[Winter Clothes Children ]],0)</f>
        <v>42</v>
      </c>
      <c r="L52" s="106">
        <f ca="1">MAX(Table10[[#This Row],[HH]]*VLOOKUP("Winter Items Other ",NFI,6)-Table10[[#This Row],[Winter Items Other ]],0)</f>
        <v>42</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40</v>
      </c>
      <c r="F53" s="7">
        <f ca="1">OFFSET(CampList[Total],MATCH(Table10[[#This Row],[Pcode]],CampList[CP_Pcode],0)-1,0,1,1)</f>
        <v>170</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80</v>
      </c>
      <c r="K53" s="106">
        <f ca="1">MAX(Table10[[#This Row],[HH]]*VLOOKUP("Winter Clothes Children ",NFI,6)-Table10[[#This Row],[Winter Clothes Children ]],0)</f>
        <v>40</v>
      </c>
      <c r="L53" s="106">
        <f ca="1">MAX(Table10[[#This Row],[HH]]*VLOOKUP("Winter Items Other ",NFI,6)-Table10[[#This Row],[Winter Items Other ]],0)</f>
        <v>40</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336</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1161</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374</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51</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226</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377</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187</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447</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916</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106</v>
      </c>
      <c r="F77" s="106">
        <f ca="1">OFFSET(CampList[Total],MATCH(Table10[[#This Row],[Pcode]],CampList[CP_Pcode],0)-1,0,1,1)</f>
        <v>514</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212</v>
      </c>
      <c r="K77" s="106">
        <f ca="1">MAX(Table10[[#This Row],[HH]]*VLOOKUP("Winter Clothes Children ",NFI,6)-Table10[[#This Row],[Winter Clothes Children ]],0)</f>
        <v>106</v>
      </c>
      <c r="L77" s="106">
        <f ca="1">MAX(Table10[[#This Row],[HH]]*VLOOKUP("Winter Items Other ",NFI,6)-Table10[[#This Row],[Winter Items Other ]],0)</f>
        <v>106</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41</v>
      </c>
      <c r="F78" s="106">
        <f ca="1">OFFSET(CampList[Total],MATCH(Table10[[#This Row],[Pcode]],CampList[CP_Pcode],0)-1,0,1,1)</f>
        <v>225</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82</v>
      </c>
      <c r="K78" s="106">
        <f ca="1">MAX(Table10[[#This Row],[HH]]*VLOOKUP("Winter Clothes Children ",NFI,6)-Table10[[#This Row],[Winter Clothes Children ]],0)</f>
        <v>41</v>
      </c>
      <c r="L78" s="106">
        <f ca="1">MAX(Table10[[#This Row],[HH]]*VLOOKUP("Winter Items Other ",NFI,6)-Table10[[#This Row],[Winter Items Other ]],0)</f>
        <v>41</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575</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209</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71</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108</v>
      </c>
      <c r="F88" s="106">
        <f ca="1">OFFSET(CampList[Total],MATCH(Table10[[#This Row],[Pcode]],CampList[CP_Pcode],0)-1,0,1,1)</f>
        <v>603</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216</v>
      </c>
      <c r="K88" s="106">
        <f ca="1">MAX(Table10[[#This Row],[HH]]*VLOOKUP("Winter Clothes Children ",NFI,6)-Table10[[#This Row],[Winter Clothes Children ]],0)</f>
        <v>108</v>
      </c>
      <c r="L88" s="106">
        <f ca="1">MAX(Table10[[#This Row],[HH]]*VLOOKUP("Winter Items Other ",NFI,6)-Table10[[#This Row],[Winter Items Other ]],0)</f>
        <v>108</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701</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11</v>
      </c>
      <c r="F91" s="106">
        <f ca="1">OFFSET(CampList[Total],MATCH(Table10[[#This Row],[Pcode]],CampList[CP_Pcode],0)-1,0,1,1)</f>
        <v>55</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22</v>
      </c>
      <c r="K91" s="106">
        <f ca="1">MAX(Table10[[#This Row],[HH]]*VLOOKUP("Winter Clothes Children ",NFI,6)-Table10[[#This Row],[Winter Clothes Children ]],0)</f>
        <v>11</v>
      </c>
      <c r="L91" s="106">
        <f ca="1">MAX(Table10[[#This Row],[HH]]*VLOOKUP("Winter Items Other ",NFI,6)-Table10[[#This Row],[Winter Items Other ]],0)</f>
        <v>11</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774</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31</v>
      </c>
      <c r="F93" s="106">
        <f ca="1">OFFSET(CampList[Total],MATCH(Table10[[#This Row],[Pcode]],CampList[CP_Pcode],0)-1,0,1,1)</f>
        <v>181</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62</v>
      </c>
      <c r="K93" s="106">
        <f ca="1">MAX(Table10[[#This Row],[HH]]*VLOOKUP("Winter Clothes Children ",NFI,6)-Table10[[#This Row],[Winter Clothes Children ]],0)</f>
        <v>31</v>
      </c>
      <c r="L93" s="106">
        <f ca="1">MAX(Table10[[#This Row],[HH]]*VLOOKUP("Winter Items Other ",NFI,6)-Table10[[#This Row],[Winter Items Other ]],0)</f>
        <v>31</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2039</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335</v>
      </c>
      <c r="F96" s="106">
        <f ca="1">OFFSET(CampList[Total],MATCH(Table10[[#This Row],[Pcode]],CampList[CP_Pcode],0)-1,0,1,1)</f>
        <v>1774</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670</v>
      </c>
      <c r="K96" s="106">
        <f ca="1">MAX(Table10[[#This Row],[HH]]*VLOOKUP("Winter Clothes Children ",NFI,6)-Table10[[#This Row],[Winter Clothes Children ]],0)</f>
        <v>335</v>
      </c>
      <c r="L96" s="106">
        <f ca="1">MAX(Table10[[#This Row],[HH]]*VLOOKUP("Winter Items Other ",NFI,6)-Table10[[#This Row],[Winter Items Other ]],0)</f>
        <v>335</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523</v>
      </c>
      <c r="F97" s="106">
        <f ca="1">OFFSET(CampList[Total],MATCH(Table10[[#This Row],[Pcode]],CampList[CP_Pcode],0)-1,0,1,1)</f>
        <v>2768</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1046</v>
      </c>
      <c r="K97" s="106">
        <f ca="1">MAX(Table10[[#This Row],[HH]]*VLOOKUP("Winter Clothes Children ",NFI,6)-Table10[[#This Row],[Winter Clothes Children ]],0)</f>
        <v>523</v>
      </c>
      <c r="L97" s="106">
        <f ca="1">MAX(Table10[[#This Row],[HH]]*VLOOKUP("Winter Items Other ",NFI,6)-Table10[[#This Row],[Winter Items Other ]],0)</f>
        <v>523</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234</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433</v>
      </c>
      <c r="F99" s="106">
        <f ca="1">OFFSET(CampList[Total],MATCH(Table10[[#This Row],[Pcode]],CampList[CP_Pcode],0)-1,0,1,1)</f>
        <v>1857</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866</v>
      </c>
      <c r="K99" s="106">
        <f ca="1">MAX(Table10[[#This Row],[HH]]*VLOOKUP("Winter Clothes Children ",NFI,6)-Table10[[#This Row],[Winter Clothes Children ]],0)</f>
        <v>433</v>
      </c>
      <c r="L99" s="106">
        <f ca="1">MAX(Table10[[#This Row],[HH]]*VLOOKUP("Winter Items Other ",NFI,6)-Table10[[#This Row],[Winter Items Other ]],0)</f>
        <v>433</v>
      </c>
      <c r="M99" s="114" t="str">
        <f>IF(OR(Table10[[#This Row],[Winter Clothes Adult ]]&lt;&gt;0,Table10[[#This Row],[Winter Clothes Children ]]&lt;&gt;0,Table10[[#This Row],[Winter Items Other ]]&lt;&gt;0),"No","")</f>
        <v/>
      </c>
      <c r="N99" s="115">
        <f>COUNTIF(A:A,Table10[[#This Row],[Pcode]])-1</f>
        <v>0</v>
      </c>
    </row>
    <row r="100" spans="1:14" x14ac:dyDescent="0.3">
      <c r="A100" s="102" t="s">
        <v>846</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169</v>
      </c>
      <c r="F100" s="106">
        <f ca="1">OFFSET(CampList[Total],MATCH(Table10[[#This Row],[Pcode]],CampList[CP_Pcode],0)-1,0,1,1)</f>
        <v>804</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338</v>
      </c>
      <c r="K100" s="106">
        <f ca="1">MAX(Table10[[#This Row],[HH]]*VLOOKUP("Winter Clothes Children ",NFI,6)-Table10[[#This Row],[Winter Clothes Children ]],0)</f>
        <v>169</v>
      </c>
      <c r="L100" s="106">
        <f ca="1">MAX(Table10[[#This Row],[HH]]*VLOOKUP("Winter Items Other ",NFI,6)-Table10[[#This Row],[Winter Items Other ]],0)</f>
        <v>169</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62</v>
      </c>
      <c r="F101" s="106">
        <f ca="1">OFFSET(CampList[Total],MATCH(Table10[[#This Row],[Pcode]],CampList[CP_Pcode],0)-1,0,1,1)</f>
        <v>306</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124</v>
      </c>
      <c r="K101" s="106">
        <f ca="1">MAX(Table10[[#This Row],[HH]]*VLOOKUP("Winter Clothes Children ",NFI,6)-Table10[[#This Row],[Winter Clothes Children ]],0)</f>
        <v>62</v>
      </c>
      <c r="L101" s="106">
        <f ca="1">MAX(Table10[[#This Row],[HH]]*VLOOKUP("Winter Items Other ",NFI,6)-Table10[[#This Row],[Winter Items Other ]],0)</f>
        <v>62</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1389</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593</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653</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442</v>
      </c>
      <c r="F107" s="106">
        <f ca="1">OFFSET(CampList[Total],MATCH(Table10[[#This Row],[Pcode]],CampList[CP_Pcode],0)-1,0,1,1)</f>
        <v>2301</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884</v>
      </c>
      <c r="K107" s="106">
        <f ca="1">MAX(Table10[[#This Row],[HH]]*VLOOKUP("Winter Clothes Children ",NFI,6)-Table10[[#This Row],[Winter Clothes Children ]],0)</f>
        <v>442</v>
      </c>
      <c r="L107" s="106">
        <f ca="1">MAX(Table10[[#This Row],[HH]]*VLOOKUP("Winter Items Other ",NFI,6)-Table10[[#This Row],[Winter Items Other ]],0)</f>
        <v>442</v>
      </c>
      <c r="M107" s="114" t="str">
        <f>IF(OR(Table10[[#This Row],[Winter Clothes Adult ]]&lt;&gt;0,Table10[[#This Row],[Winter Clothes Children ]]&lt;&gt;0,Table10[[#This Row],[Winter Items Other ]]&lt;&gt;0),"No","")</f>
        <v/>
      </c>
      <c r="N107" s="115">
        <f>COUNTIF(A:A,Table10[[#This Row],[Pcode]])-1</f>
        <v>0</v>
      </c>
    </row>
    <row r="108" spans="1:14" x14ac:dyDescent="0.3">
      <c r="A108" s="102" t="s">
        <v>912</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151</v>
      </c>
      <c r="F108" s="106">
        <f ca="1">OFFSET(CampList[Total],MATCH(Table10[[#This Row],[Pcode]],CampList[CP_Pcode],0)-1,0,1,1)</f>
        <v>729</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302</v>
      </c>
      <c r="K108" s="106">
        <f ca="1">MAX(Table10[[#This Row],[HH]]*VLOOKUP("Winter Clothes Children ",NFI,6)-Table10[[#This Row],[Winter Clothes Children ]],0)</f>
        <v>151</v>
      </c>
      <c r="L108" s="106">
        <f ca="1">MAX(Table10[[#This Row],[HH]]*VLOOKUP("Winter Items Other ",NFI,6)-Table10[[#This Row],[Winter Items Other ]],0)</f>
        <v>151</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189</v>
      </c>
      <c r="F112" s="106">
        <f ca="1">OFFSET(CampList[Total],MATCH(Table10[[#This Row],[Pcode]],CampList[CP_Pcode],0)-1,0,1,1)</f>
        <v>840</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378</v>
      </c>
      <c r="K112" s="106">
        <f ca="1">MAX(Table10[[#This Row],[HH]]*VLOOKUP("Winter Clothes Children ",NFI,6)-Table10[[#This Row],[Winter Clothes Children ]],0)</f>
        <v>189</v>
      </c>
      <c r="L112" s="106">
        <f ca="1">MAX(Table10[[#This Row],[HH]]*VLOOKUP("Winter Items Other ",NFI,6)-Table10[[#This Row],[Winter Items Other ]],0)</f>
        <v>189</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121</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2001</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904</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41</v>
      </c>
      <c r="F118" s="106">
        <f ca="1">OFFSET(CampList[Total],MATCH(Table10[[#This Row],[Pcode]],CampList[CP_Pcode],0)-1,0,1,1)</f>
        <v>190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82</v>
      </c>
      <c r="K118" s="106">
        <f ca="1">MAX(Table10[[#This Row],[HH]]*VLOOKUP("Winter Clothes Children ",NFI,6)-Table10[[#This Row],[Winter Clothes Children ]],0)</f>
        <v>41</v>
      </c>
      <c r="L118" s="106">
        <f ca="1">MAX(Table10[[#This Row],[HH]]*VLOOKUP("Winter Items Other ",NFI,6)-Table10[[#This Row],[Winter Items Other ]],0)</f>
        <v>41</v>
      </c>
      <c r="M118" s="114" t="str">
        <f>IF(OR(Table10[[#This Row],[Winter Clothes Adult ]]&lt;&gt;0,Table10[[#This Row],[Winter Clothes Children ]]&lt;&gt;0,Table10[[#This Row],[Winter Items Other ]]&lt;&gt;0),"No","")</f>
        <v/>
      </c>
      <c r="N118" s="115">
        <f>COUNTIF(A:A,Table10[[#This Row],[Pcode]])-1</f>
        <v>0</v>
      </c>
    </row>
    <row r="119" spans="1:14" x14ac:dyDescent="0.3">
      <c r="A119" s="102" t="s">
        <v>914</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86</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906</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195</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910</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115</v>
      </c>
      <c r="F125" s="106">
        <f ca="1">OFFSET(CampList[Total],MATCH(Table10[[#This Row],[Pcode]],CampList[CP_Pcode],0)-1,0,1,1)</f>
        <v>547</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230</v>
      </c>
      <c r="K125" s="106">
        <f ca="1">MAX(Table10[[#This Row],[HH]]*VLOOKUP("Winter Clothes Children ",NFI,6)-Table10[[#This Row],[Winter Clothes Children ]],0)</f>
        <v>115</v>
      </c>
      <c r="L125" s="106">
        <f ca="1">MAX(Table10[[#This Row],[HH]]*VLOOKUP("Winter Items Other ",NFI,6)-Table10[[#This Row],[Winter Items Other ]],0)</f>
        <v>115</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314</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76</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50</v>
      </c>
      <c r="F128" s="106">
        <f ca="1">OFFSET(CampList[Total],MATCH(Table10[[#This Row],[Pcode]],CampList[CP_Pcode],0)-1,0,1,1)</f>
        <v>237</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100</v>
      </c>
      <c r="K128" s="106">
        <f ca="1">MAX(Table10[[#This Row],[HH]]*VLOOKUP("Winter Clothes Children ",NFI,6)-Table10[[#This Row],[Winter Clothes Children ]],0)</f>
        <v>50</v>
      </c>
      <c r="L128" s="106">
        <f ca="1">MAX(Table10[[#This Row],[HH]]*VLOOKUP("Winter Items Other ",NFI,6)-Table10[[#This Row],[Winter Items Other ]],0)</f>
        <v>50</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20</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40</v>
      </c>
      <c r="K132" s="106">
        <f ca="1">MAX(Table10[[#This Row],[HH]]*VLOOKUP("Winter Clothes Children ",NFI,6)-Table10[[#This Row],[Winter Clothes Children ]],0)</f>
        <v>20</v>
      </c>
      <c r="L132" s="106">
        <f ca="1">MAX(Table10[[#This Row],[HH]]*VLOOKUP("Winter Items Other ",NFI,6)-Table10[[#This Row],[Winter Items Other ]],0)</f>
        <v>20</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26</v>
      </c>
      <c r="F133" s="106">
        <f ca="1">OFFSET(CampList[Total],MATCH(Table10[[#This Row],[Pcode]],CampList[CP_Pcode],0)-1,0,1,1)</f>
        <v>117</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52</v>
      </c>
      <c r="K133" s="106">
        <f ca="1">MAX(Table10[[#This Row],[HH]]*VLOOKUP("Winter Clothes Children ",NFI,6)-Table10[[#This Row],[Winter Clothes Children ]],0)</f>
        <v>26</v>
      </c>
      <c r="L133" s="106">
        <f ca="1">MAX(Table10[[#This Row],[HH]]*VLOOKUP("Winter Items Other ",NFI,6)-Table10[[#This Row],[Winter Items Other ]],0)</f>
        <v>26</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803</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148</v>
      </c>
      <c r="F137" s="106">
        <f ca="1">OFFSET(CampList[Total],MATCH(Table10[[#This Row],[Pcode]],CampList[CP_Pcode],0)-1,0,1,1)</f>
        <v>747</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296</v>
      </c>
      <c r="K137" s="106">
        <f ca="1">MAX(Table10[[#This Row],[HH]]*VLOOKUP("Winter Clothes Children ",NFI,6)-Table10[[#This Row],[Winter Clothes Children ]],0)</f>
        <v>148</v>
      </c>
      <c r="L137" s="106">
        <f ca="1">MAX(Table10[[#This Row],[HH]]*VLOOKUP("Winter Items Other ",NFI,6)-Table10[[#This Row],[Winter Items Other ]],0)</f>
        <v>148</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122</v>
      </c>
      <c r="F139" s="106">
        <f ca="1">OFFSET(CampList[Total],MATCH(Table10[[#This Row],[Pcode]],CampList[CP_Pcode],0)-1,0,1,1)</f>
        <v>515</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244</v>
      </c>
      <c r="K139" s="106">
        <f ca="1">MAX(Table10[[#This Row],[HH]]*VLOOKUP("Winter Clothes Children ",NFI,6)-Table10[[#This Row],[Winter Clothes Children ]],0)</f>
        <v>122</v>
      </c>
      <c r="L139" s="106">
        <f ca="1">MAX(Table10[[#This Row],[HH]]*VLOOKUP("Winter Items Other ",NFI,6)-Table10[[#This Row],[Winter Items Other ]],0)</f>
        <v>122</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35</v>
      </c>
      <c r="F141" s="106">
        <f ca="1">OFFSET(CampList[Total],MATCH(Table10[[#This Row],[Pcode]],CampList[CP_Pcode],0)-1,0,1,1)</f>
        <v>185</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70</v>
      </c>
      <c r="K141" s="106">
        <f ca="1">MAX(Table10[[#This Row],[HH]]*VLOOKUP("Winter Clothes Children ",NFI,6)-Table10[[#This Row],[Winter Clothes Children ]],0)</f>
        <v>35</v>
      </c>
      <c r="L141" s="106">
        <f ca="1">MAX(Table10[[#This Row],[HH]]*VLOOKUP("Winter Items Other ",NFI,6)-Table10[[#This Row],[Winter Items Other ]],0)</f>
        <v>35</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3702</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113</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91</v>
      </c>
      <c r="F148" s="106">
        <f ca="1">OFFSET(CampList[Total],MATCH(Table10[[#This Row],[Pcode]],CampList[CP_Pcode],0)-1,0,1,1)</f>
        <v>344</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182</v>
      </c>
      <c r="K148" s="106">
        <f ca="1">MAX(Table10[[#This Row],[HH]]*VLOOKUP("Winter Clothes Children ",NFI,6)-Table10[[#This Row],[Winter Clothes Children ]],0)</f>
        <v>91</v>
      </c>
      <c r="L148" s="106">
        <f ca="1">MAX(Table10[[#This Row],[HH]]*VLOOKUP("Winter Items Other ",NFI,6)-Table10[[#This Row],[Winter Items Other ]],0)</f>
        <v>91</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546</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433</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55</v>
      </c>
      <c r="F156" s="106">
        <f ca="1">OFFSET(CampList[Total],MATCH(Table10[[#This Row],[Pcode]],CampList[CP_Pcode],0)-1,0,1,1)</f>
        <v>262</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110</v>
      </c>
      <c r="K156" s="106">
        <f ca="1">MAX(Table10[[#This Row],[HH]]*VLOOKUP("Winter Clothes Children ",NFI,6)-Table10[[#This Row],[Winter Clothes Children ]],0)</f>
        <v>55</v>
      </c>
      <c r="L156" s="106">
        <f ca="1">MAX(Table10[[#This Row],[HH]]*VLOOKUP("Winter Items Other ",NFI,6)-Table10[[#This Row],[Winter Items Other ]],0)</f>
        <v>55</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177</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242</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187</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3">
      <c r="A161" s="102" t="s">
        <v>874</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66</v>
      </c>
      <c r="F162" s="106">
        <f ca="1">OFFSET(CampList[Total],MATCH(Table10[[#This Row],[Pcode]],CampList[CP_Pcode],0)-1,0,1,1)</f>
        <v>274</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132</v>
      </c>
      <c r="K162" s="106">
        <f ca="1">MAX(Table10[[#This Row],[HH]]*VLOOKUP("Winter Clothes Children ",NFI,6)-Table10[[#This Row],[Winter Clothes Children ]],0)</f>
        <v>66</v>
      </c>
      <c r="L162" s="106">
        <f ca="1">MAX(Table10[[#This Row],[HH]]*VLOOKUP("Winter Items Other ",NFI,6)-Table10[[#This Row],[Winter Items Other ]],0)</f>
        <v>66</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1426</v>
      </c>
      <c r="F165" s="106">
        <f ca="1">OFFSET(CampList[Total],MATCH(Table10[[#This Row],[Pcode]],CampList[CP_Pcode],0)-1,0,1,1)</f>
        <v>7119</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2852</v>
      </c>
      <c r="K165" s="106">
        <f ca="1">MAX(Table10[[#This Row],[HH]]*VLOOKUP("Winter Clothes Children ",NFI,6)-Table10[[#This Row],[Winter Clothes Children ]],0)</f>
        <v>1426</v>
      </c>
      <c r="L165" s="106">
        <f ca="1">MAX(Table10[[#This Row],[HH]]*VLOOKUP("Winter Items Other ",NFI,6)-Table10[[#This Row],[Winter Items Other ]],0)</f>
        <v>1426</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13</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26</v>
      </c>
      <c r="K167" s="106">
        <f ca="1">MAX(Table10[[#This Row],[HH]]*VLOOKUP("Winter Clothes Children ",NFI,6)-Table10[[#This Row],[Winter Clothes Children ]],0)</f>
        <v>13</v>
      </c>
      <c r="L167" s="106">
        <f ca="1">MAX(Table10[[#This Row],[HH]]*VLOOKUP("Winter Items Other ",NFI,6)-Table10[[#This Row],[Winter Items Other ]],0)</f>
        <v>13</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68</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996</v>
      </c>
      <c r="C1" s="81" t="s">
        <v>997</v>
      </c>
    </row>
    <row r="2" spans="1:5" x14ac:dyDescent="0.3">
      <c r="A2" s="39" t="s">
        <v>236</v>
      </c>
      <c r="B2" s="70" t="s">
        <v>611</v>
      </c>
      <c r="C2" s="74">
        <v>3.1341427522963001</v>
      </c>
      <c r="E2" s="191" t="s">
        <v>13</v>
      </c>
    </row>
    <row r="3" spans="1:5" x14ac:dyDescent="0.3">
      <c r="A3" s="39" t="s">
        <v>267</v>
      </c>
      <c r="B3" s="70" t="s">
        <v>611</v>
      </c>
      <c r="C3" s="74">
        <v>3.8820329084732199</v>
      </c>
      <c r="E3" s="192" t="s">
        <v>376</v>
      </c>
    </row>
    <row r="4" spans="1:5" x14ac:dyDescent="0.3">
      <c r="A4" s="39" t="s">
        <v>249</v>
      </c>
      <c r="B4" s="70" t="s">
        <v>611</v>
      </c>
      <c r="C4" s="74">
        <v>2.30454782591254</v>
      </c>
      <c r="E4" s="191" t="s">
        <v>957</v>
      </c>
    </row>
    <row r="5" spans="1:5" x14ac:dyDescent="0.3">
      <c r="A5" s="39" t="s">
        <v>247</v>
      </c>
      <c r="B5" s="70" t="s">
        <v>611</v>
      </c>
      <c r="C5" s="74">
        <v>3.3637010801853577</v>
      </c>
      <c r="E5" s="192" t="s">
        <v>1045</v>
      </c>
    </row>
    <row r="6" spans="1:5" x14ac:dyDescent="0.3">
      <c r="A6" s="39" t="s">
        <v>273</v>
      </c>
      <c r="B6" s="70" t="s">
        <v>611</v>
      </c>
      <c r="C6" s="74">
        <v>2.0123527499589278</v>
      </c>
      <c r="E6" s="191" t="s">
        <v>1056</v>
      </c>
    </row>
    <row r="7" spans="1:5" x14ac:dyDescent="0.3">
      <c r="A7" s="39" t="s">
        <v>275</v>
      </c>
      <c r="B7" s="70" t="s">
        <v>611</v>
      </c>
      <c r="C7" s="74">
        <v>2.9133254097712102</v>
      </c>
      <c r="E7" s="194" t="s">
        <v>1057</v>
      </c>
    </row>
    <row r="8" spans="1:5" x14ac:dyDescent="0.3">
      <c r="A8" s="39" t="s">
        <v>277</v>
      </c>
      <c r="B8" s="70" t="s">
        <v>611</v>
      </c>
      <c r="C8" s="74">
        <v>4.9021696969220816</v>
      </c>
      <c r="E8" s="193" t="s">
        <v>1067</v>
      </c>
    </row>
    <row r="9" spans="1:5" x14ac:dyDescent="0.3">
      <c r="A9" s="71" t="s">
        <v>259</v>
      </c>
      <c r="B9" s="70" t="s">
        <v>611</v>
      </c>
      <c r="C9" s="74">
        <v>5.4145379230647226</v>
      </c>
      <c r="E9" s="194" t="s">
        <v>1069</v>
      </c>
    </row>
    <row r="10" spans="1:5" x14ac:dyDescent="0.3">
      <c r="A10" s="71" t="s">
        <v>279</v>
      </c>
      <c r="B10" s="70" t="s">
        <v>611</v>
      </c>
      <c r="C10" s="74">
        <v>6.6198004689728469</v>
      </c>
      <c r="E10" s="191" t="s">
        <v>1134</v>
      </c>
    </row>
    <row r="11" spans="1:5" x14ac:dyDescent="0.3">
      <c r="A11" s="39" t="s">
        <v>244</v>
      </c>
      <c r="B11" s="70" t="s">
        <v>611</v>
      </c>
      <c r="C11" s="74">
        <v>1.1985969617964649</v>
      </c>
      <c r="E11" s="194" t="s">
        <v>942</v>
      </c>
    </row>
    <row r="12" spans="1:5" x14ac:dyDescent="0.3">
      <c r="A12" s="39" t="s">
        <v>245</v>
      </c>
      <c r="B12" s="70" t="s">
        <v>611</v>
      </c>
      <c r="C12" s="74">
        <v>1.3510454549069482</v>
      </c>
      <c r="E12" s="191" t="s">
        <v>1044</v>
      </c>
    </row>
    <row r="13" spans="1:5" x14ac:dyDescent="0.3">
      <c r="A13" s="39" t="s">
        <v>242</v>
      </c>
      <c r="B13" s="70" t="s">
        <v>611</v>
      </c>
      <c r="C13" s="74">
        <v>1.5295244799681529</v>
      </c>
      <c r="E13" s="192" t="s">
        <v>1083</v>
      </c>
    </row>
    <row r="14" spans="1:5" x14ac:dyDescent="0.3">
      <c r="A14" s="39" t="s">
        <v>255</v>
      </c>
      <c r="B14" s="70" t="s">
        <v>611</v>
      </c>
      <c r="C14" s="74">
        <v>2.8164250706222882</v>
      </c>
      <c r="E14" s="193" t="s">
        <v>1121</v>
      </c>
    </row>
    <row r="15" spans="1:5" x14ac:dyDescent="0.3">
      <c r="A15" s="39" t="s">
        <v>283</v>
      </c>
      <c r="B15" s="70" t="s">
        <v>611</v>
      </c>
      <c r="C15" s="74">
        <v>4.262018365878137</v>
      </c>
      <c r="E15" s="194" t="s">
        <v>1122</v>
      </c>
    </row>
    <row r="16" spans="1:5" x14ac:dyDescent="0.3">
      <c r="A16" s="39" t="s">
        <v>239</v>
      </c>
      <c r="B16" s="70" t="s">
        <v>611</v>
      </c>
      <c r="C16" s="74">
        <v>3.3602711423118103</v>
      </c>
      <c r="E16" s="193" t="s">
        <v>1123</v>
      </c>
    </row>
    <row r="17" spans="1:5" x14ac:dyDescent="0.3">
      <c r="A17" s="39" t="s">
        <v>257</v>
      </c>
      <c r="B17" s="70" t="s">
        <v>635</v>
      </c>
      <c r="C17" s="74">
        <v>3.3362307375127798</v>
      </c>
      <c r="E17" s="194" t="s">
        <v>1124</v>
      </c>
    </row>
    <row r="18" spans="1:5" x14ac:dyDescent="0.3">
      <c r="A18" s="39" t="s">
        <v>265</v>
      </c>
      <c r="B18" s="70" t="s">
        <v>611</v>
      </c>
      <c r="C18" s="74">
        <v>1.3751794210741128</v>
      </c>
      <c r="E18" s="193" t="s">
        <v>1125</v>
      </c>
    </row>
    <row r="19" spans="1:5" x14ac:dyDescent="0.3">
      <c r="A19" s="39" t="s">
        <v>251</v>
      </c>
      <c r="B19" s="70" t="s">
        <v>611</v>
      </c>
      <c r="C19" s="74">
        <v>2.4647367211404561</v>
      </c>
      <c r="E19" s="194" t="s">
        <v>1126</v>
      </c>
    </row>
    <row r="20" spans="1:5" x14ac:dyDescent="0.3">
      <c r="A20" s="39" t="s">
        <v>253</v>
      </c>
      <c r="B20" s="70" t="s">
        <v>611</v>
      </c>
      <c r="C20" s="74">
        <v>1.8563710010113432</v>
      </c>
      <c r="E20" s="193" t="s">
        <v>1127</v>
      </c>
    </row>
    <row r="21" spans="1:5" x14ac:dyDescent="0.3">
      <c r="A21" s="39" t="s">
        <v>261</v>
      </c>
      <c r="B21" s="70" t="s">
        <v>611</v>
      </c>
      <c r="C21" s="74">
        <v>10.744749696609457</v>
      </c>
      <c r="E21" s="194" t="s">
        <v>1128</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1012</v>
      </c>
      <c r="C40" s="74">
        <v>9.3609732231189877</v>
      </c>
    </row>
    <row r="41" spans="1:3" x14ac:dyDescent="0.3">
      <c r="A41" s="39" t="s">
        <v>30</v>
      </c>
      <c r="B41" s="70" t="s">
        <v>731</v>
      </c>
      <c r="C41" s="74">
        <v>0.15809623370782155</v>
      </c>
    </row>
    <row r="42" spans="1:3" x14ac:dyDescent="0.3">
      <c r="A42" s="39" t="s">
        <v>29</v>
      </c>
      <c r="B42" s="70" t="s">
        <v>999</v>
      </c>
      <c r="C42" s="74">
        <v>19.834999342466848</v>
      </c>
    </row>
    <row r="43" spans="1:3" x14ac:dyDescent="0.3">
      <c r="A43" s="39" t="s">
        <v>33</v>
      </c>
      <c r="B43" s="70" t="s">
        <v>999</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1009</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1009</v>
      </c>
      <c r="C59" s="74">
        <v>19.860265975801305</v>
      </c>
    </row>
    <row r="60" spans="1:3" x14ac:dyDescent="0.3">
      <c r="A60" s="75" t="s">
        <v>220</v>
      </c>
      <c r="B60" s="70" t="s">
        <v>1009</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1003</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960</v>
      </c>
      <c r="C74" s="74">
        <v>1.7021273757523427</v>
      </c>
    </row>
    <row r="75" spans="1:3" x14ac:dyDescent="0.3">
      <c r="A75" s="39" t="s">
        <v>99</v>
      </c>
      <c r="B75" s="70" t="s">
        <v>1000</v>
      </c>
      <c r="C75" s="74">
        <v>0.79577754007276646</v>
      </c>
    </row>
    <row r="76" spans="1:3" x14ac:dyDescent="0.3">
      <c r="A76" s="39" t="s">
        <v>107</v>
      </c>
      <c r="B76" s="70" t="s">
        <v>1000</v>
      </c>
      <c r="C76" s="74">
        <v>2.9334852607184256</v>
      </c>
    </row>
    <row r="77" spans="1:3" x14ac:dyDescent="0.3">
      <c r="A77" s="39" t="s">
        <v>139</v>
      </c>
      <c r="B77" s="70" t="s">
        <v>1000</v>
      </c>
      <c r="C77" s="74">
        <v>1.5942018764815451</v>
      </c>
    </row>
    <row r="78" spans="1:3" x14ac:dyDescent="0.3">
      <c r="A78" s="39" t="s">
        <v>71</v>
      </c>
      <c r="B78" s="70" t="s">
        <v>1000</v>
      </c>
      <c r="C78" s="74">
        <v>4.4704963044882238</v>
      </c>
    </row>
    <row r="79" spans="1:3" x14ac:dyDescent="0.3">
      <c r="A79" s="39" t="s">
        <v>354</v>
      </c>
      <c r="B79" s="70" t="s">
        <v>1013</v>
      </c>
      <c r="C79" s="74">
        <v>32.827754639406997</v>
      </c>
    </row>
    <row r="80" spans="1:3" x14ac:dyDescent="0.3">
      <c r="A80" s="39" t="s">
        <v>332</v>
      </c>
      <c r="B80" s="70" t="s">
        <v>1013</v>
      </c>
      <c r="C80" s="74">
        <v>18.198335991626355</v>
      </c>
    </row>
    <row r="81" spans="1:3" x14ac:dyDescent="0.3">
      <c r="A81" s="39" t="s">
        <v>334</v>
      </c>
      <c r="B81" s="70" t="s">
        <v>1013</v>
      </c>
      <c r="C81" s="74">
        <v>21.287604662770121</v>
      </c>
    </row>
    <row r="82" spans="1:3" x14ac:dyDescent="0.3">
      <c r="A82" s="71" t="s">
        <v>350</v>
      </c>
      <c r="B82" s="70" t="s">
        <v>1008</v>
      </c>
      <c r="C82" s="74">
        <v>1.7420415164460403</v>
      </c>
    </row>
    <row r="83" spans="1:3" x14ac:dyDescent="0.3">
      <c r="A83" s="71" t="s">
        <v>313</v>
      </c>
      <c r="B83" s="70" t="s">
        <v>1008</v>
      </c>
      <c r="C83" s="74">
        <v>1.857513522619473</v>
      </c>
    </row>
    <row r="84" spans="1:3" x14ac:dyDescent="0.3">
      <c r="A84" s="39" t="s">
        <v>320</v>
      </c>
      <c r="B84" s="70" t="s">
        <v>1008</v>
      </c>
      <c r="C84" s="74">
        <v>28.888856599204185</v>
      </c>
    </row>
    <row r="85" spans="1:3" x14ac:dyDescent="0.3">
      <c r="A85" s="39" t="s">
        <v>343</v>
      </c>
      <c r="B85" s="70" t="s">
        <v>1008</v>
      </c>
      <c r="C85" s="74">
        <v>20.599512012485512</v>
      </c>
    </row>
    <row r="86" spans="1:3" x14ac:dyDescent="0.3">
      <c r="A86" s="39" t="s">
        <v>195</v>
      </c>
      <c r="B86" s="70" t="s">
        <v>1008</v>
      </c>
      <c r="C86" s="74">
        <v>7.985347533011188</v>
      </c>
    </row>
    <row r="87" spans="1:3" x14ac:dyDescent="0.3">
      <c r="A87" s="39" t="s">
        <v>193</v>
      </c>
      <c r="B87" s="70" t="s">
        <v>1008</v>
      </c>
      <c r="C87" s="74">
        <v>10.953347686331073</v>
      </c>
    </row>
    <row r="88" spans="1:3" x14ac:dyDescent="0.3">
      <c r="A88" s="39" t="s">
        <v>191</v>
      </c>
      <c r="B88" s="70" t="s">
        <v>1009</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1004</v>
      </c>
      <c r="C91" s="74">
        <v>19.796407430638478</v>
      </c>
    </row>
    <row r="92" spans="1:3" x14ac:dyDescent="0.3">
      <c r="A92" s="39" t="s">
        <v>214</v>
      </c>
      <c r="B92" s="70" t="s">
        <v>693</v>
      </c>
      <c r="C92" s="74">
        <v>20.558236360788097</v>
      </c>
    </row>
    <row r="93" spans="1:3" x14ac:dyDescent="0.3">
      <c r="A93" s="39" t="s">
        <v>153</v>
      </c>
      <c r="B93" s="70" t="s">
        <v>1004</v>
      </c>
      <c r="C93" s="74">
        <v>10.509375400480517</v>
      </c>
    </row>
    <row r="94" spans="1:3" x14ac:dyDescent="0.3">
      <c r="A94" s="39" t="s">
        <v>159</v>
      </c>
      <c r="B94" s="70" t="s">
        <v>1004</v>
      </c>
      <c r="C94" s="74">
        <v>9.3704379947870464</v>
      </c>
    </row>
    <row r="95" spans="1:3" x14ac:dyDescent="0.3">
      <c r="A95" s="39" t="s">
        <v>155</v>
      </c>
      <c r="B95" s="70" t="s">
        <v>1004</v>
      </c>
      <c r="C95" s="74">
        <v>9.5650381623500511</v>
      </c>
    </row>
    <row r="96" spans="1:3" x14ac:dyDescent="0.3">
      <c r="A96" s="39" t="s">
        <v>157</v>
      </c>
      <c r="B96" s="70" t="s">
        <v>1004</v>
      </c>
      <c r="C96" s="74">
        <v>12.392289083396149</v>
      </c>
    </row>
    <row r="97" spans="1:3" x14ac:dyDescent="0.3">
      <c r="A97" s="39" t="s">
        <v>87</v>
      </c>
      <c r="B97" s="70" t="s">
        <v>1001</v>
      </c>
      <c r="C97" s="74">
        <v>1.1537462444167914</v>
      </c>
    </row>
    <row r="98" spans="1:3" x14ac:dyDescent="0.3">
      <c r="A98" s="71" t="s">
        <v>338</v>
      </c>
      <c r="B98" s="70" t="s">
        <v>1013</v>
      </c>
      <c r="C98" s="74">
        <v>34.344689881690819</v>
      </c>
    </row>
    <row r="99" spans="1:3" x14ac:dyDescent="0.3">
      <c r="A99" s="39" t="s">
        <v>285</v>
      </c>
      <c r="B99" s="70" t="s">
        <v>1007</v>
      </c>
      <c r="C99" s="74">
        <v>16.668825701583572</v>
      </c>
    </row>
    <row r="100" spans="1:3" x14ac:dyDescent="0.3">
      <c r="A100" s="39" t="s">
        <v>352</v>
      </c>
      <c r="B100" s="70" t="s">
        <v>1013</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1000</v>
      </c>
      <c r="C103" s="74">
        <v>0.75842119772531946</v>
      </c>
    </row>
    <row r="104" spans="1:3" x14ac:dyDescent="0.3">
      <c r="A104" s="39" t="s">
        <v>119</v>
      </c>
      <c r="B104" s="70" t="s">
        <v>1000</v>
      </c>
      <c r="C104" s="74">
        <v>6.3039408411778268</v>
      </c>
    </row>
    <row r="105" spans="1:3" x14ac:dyDescent="0.3">
      <c r="A105" s="39" t="s">
        <v>51</v>
      </c>
      <c r="B105" s="70" t="s">
        <v>1000</v>
      </c>
      <c r="C105" s="74">
        <v>5.184483270539272</v>
      </c>
    </row>
    <row r="106" spans="1:3" x14ac:dyDescent="0.3">
      <c r="A106" s="39" t="s">
        <v>75</v>
      </c>
      <c r="B106" s="70" t="s">
        <v>1000</v>
      </c>
      <c r="C106" s="74">
        <v>4.8862832644478198</v>
      </c>
    </row>
    <row r="107" spans="1:3" x14ac:dyDescent="0.3">
      <c r="A107" s="39" t="s">
        <v>40</v>
      </c>
      <c r="B107" s="70" t="s">
        <v>1000</v>
      </c>
      <c r="C107" s="74">
        <v>4.1842484710239098</v>
      </c>
    </row>
    <row r="108" spans="1:3" x14ac:dyDescent="0.3">
      <c r="A108" s="39" t="s">
        <v>61</v>
      </c>
      <c r="B108" s="70" t="s">
        <v>1000</v>
      </c>
      <c r="C108" s="74">
        <v>6.4753396248436657</v>
      </c>
    </row>
    <row r="109" spans="1:3" x14ac:dyDescent="0.3">
      <c r="A109" s="39" t="s">
        <v>89</v>
      </c>
      <c r="B109" s="70" t="s">
        <v>1000</v>
      </c>
      <c r="C109" s="74">
        <v>6.7094919928483892</v>
      </c>
    </row>
    <row r="110" spans="1:3" x14ac:dyDescent="0.3">
      <c r="A110" s="39" t="s">
        <v>117</v>
      </c>
      <c r="B110" s="70" t="s">
        <v>1000</v>
      </c>
      <c r="C110" s="74">
        <v>6.2085564346706201</v>
      </c>
    </row>
    <row r="111" spans="1:3" x14ac:dyDescent="0.3">
      <c r="A111" s="39" t="s">
        <v>123</v>
      </c>
      <c r="B111" s="70" t="s">
        <v>1000</v>
      </c>
      <c r="C111" s="74">
        <v>7.419312682373878</v>
      </c>
    </row>
    <row r="112" spans="1:3" x14ac:dyDescent="0.3">
      <c r="A112" s="39" t="s">
        <v>125</v>
      </c>
      <c r="B112" s="70" t="s">
        <v>1000</v>
      </c>
      <c r="C112" s="74">
        <v>4.6754712546149264</v>
      </c>
    </row>
    <row r="113" spans="1:3" x14ac:dyDescent="0.3">
      <c r="A113" s="39" t="s">
        <v>57</v>
      </c>
      <c r="B113" s="70" t="s">
        <v>1001</v>
      </c>
      <c r="C113" s="74">
        <v>23.222739740353646</v>
      </c>
    </row>
    <row r="114" spans="1:3" x14ac:dyDescent="0.3">
      <c r="A114" s="39" t="s">
        <v>42</v>
      </c>
      <c r="B114" s="70" t="s">
        <v>1000</v>
      </c>
      <c r="C114" s="74">
        <v>0.66733171900141897</v>
      </c>
    </row>
    <row r="115" spans="1:3" x14ac:dyDescent="0.3">
      <c r="A115" s="39" t="s">
        <v>45</v>
      </c>
      <c r="B115" s="70" t="s">
        <v>1000</v>
      </c>
      <c r="C115" s="74">
        <v>0.56771790814545575</v>
      </c>
    </row>
    <row r="116" spans="1:3" x14ac:dyDescent="0.3">
      <c r="A116" s="39" t="s">
        <v>46</v>
      </c>
      <c r="B116" s="70" t="s">
        <v>1000</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1009</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1008</v>
      </c>
      <c r="C126" s="74">
        <v>2.3307568207764655</v>
      </c>
    </row>
    <row r="127" spans="1:3" x14ac:dyDescent="0.3">
      <c r="A127" s="75" t="s">
        <v>789</v>
      </c>
      <c r="B127" s="70" t="s">
        <v>999</v>
      </c>
      <c r="C127" s="74">
        <v>0.18710270881855062</v>
      </c>
    </row>
    <row r="128" spans="1:3" x14ac:dyDescent="0.3">
      <c r="A128" s="39" t="s">
        <v>812</v>
      </c>
      <c r="B128" s="70" t="s">
        <v>590</v>
      </c>
      <c r="C128" s="74">
        <v>17.731070777343263</v>
      </c>
    </row>
    <row r="129" spans="1:3" x14ac:dyDescent="0.3">
      <c r="A129" s="75" t="s">
        <v>816</v>
      </c>
      <c r="B129" s="70" t="s">
        <v>1014</v>
      </c>
      <c r="C129" s="74">
        <v>1.7005689699647599</v>
      </c>
    </row>
    <row r="130" spans="1:3" x14ac:dyDescent="0.3">
      <c r="A130" s="75" t="s">
        <v>820</v>
      </c>
      <c r="B130" s="70" t="s">
        <v>1014</v>
      </c>
      <c r="C130" s="74">
        <v>1.136583238544624</v>
      </c>
    </row>
    <row r="131" spans="1:3" x14ac:dyDescent="0.3">
      <c r="A131" s="39" t="s">
        <v>846</v>
      </c>
      <c r="B131" s="70" t="s">
        <v>1001</v>
      </c>
      <c r="C131" s="74">
        <v>12.257552920582597</v>
      </c>
    </row>
    <row r="132" spans="1:3" x14ac:dyDescent="0.3">
      <c r="A132" s="39" t="s">
        <v>876</v>
      </c>
      <c r="B132" s="70" t="s">
        <v>998</v>
      </c>
      <c r="C132" s="74">
        <v>0</v>
      </c>
    </row>
    <row r="133" spans="1:3" x14ac:dyDescent="0.3">
      <c r="A133" s="35" t="s">
        <v>889</v>
      </c>
      <c r="B133" s="70" t="s">
        <v>1004</v>
      </c>
      <c r="C133" s="74">
        <v>19.631786732140053</v>
      </c>
    </row>
    <row r="134" spans="1:3" x14ac:dyDescent="0.3">
      <c r="A134" s="76" t="s">
        <v>893</v>
      </c>
      <c r="B134" s="70" t="s">
        <v>1014</v>
      </c>
      <c r="C134" s="74">
        <v>4.789460146835963</v>
      </c>
    </row>
    <row r="135" spans="1:3" x14ac:dyDescent="0.3">
      <c r="A135" s="39" t="s">
        <v>912</v>
      </c>
      <c r="B135" s="70" t="s">
        <v>1004</v>
      </c>
      <c r="C135" s="74">
        <v>10.527586947557506</v>
      </c>
    </row>
    <row r="136" spans="1:3" x14ac:dyDescent="0.3">
      <c r="A136" s="39" t="s">
        <v>916</v>
      </c>
      <c r="B136" s="70" t="s">
        <v>1000</v>
      </c>
      <c r="C136" s="74">
        <v>0.19374952337076978</v>
      </c>
    </row>
    <row r="137" spans="1:3" s="305" customFormat="1" x14ac:dyDescent="0.3">
      <c r="A137" s="197" t="s">
        <v>957</v>
      </c>
      <c r="B137" s="70" t="s">
        <v>1000</v>
      </c>
      <c r="C137" s="74">
        <v>10</v>
      </c>
    </row>
    <row r="138" spans="1:3" s="305" customFormat="1" x14ac:dyDescent="0.3">
      <c r="A138" s="197" t="s">
        <v>986</v>
      </c>
      <c r="B138" s="70" t="s">
        <v>1007</v>
      </c>
      <c r="C138" s="74">
        <v>0</v>
      </c>
    </row>
    <row r="139" spans="1:3" s="305" customFormat="1" x14ac:dyDescent="0.3">
      <c r="A139" s="197" t="s">
        <v>987</v>
      </c>
      <c r="B139" s="70" t="s">
        <v>960</v>
      </c>
      <c r="C139" s="74">
        <v>0</v>
      </c>
    </row>
    <row r="140" spans="1:3" s="305" customFormat="1" x14ac:dyDescent="0.3">
      <c r="A140" s="197" t="s">
        <v>1045</v>
      </c>
      <c r="B140" s="70" t="s">
        <v>740</v>
      </c>
      <c r="C140" s="74">
        <v>0</v>
      </c>
    </row>
    <row r="141" spans="1:3" s="305" customFormat="1" x14ac:dyDescent="0.3">
      <c r="A141" s="197" t="s">
        <v>1055</v>
      </c>
      <c r="B141" s="70" t="s">
        <v>570</v>
      </c>
      <c r="C141" s="74">
        <v>5</v>
      </c>
    </row>
    <row r="142" spans="1:3" s="305" customFormat="1" x14ac:dyDescent="0.3">
      <c r="A142" s="197" t="s">
        <v>1056</v>
      </c>
      <c r="B142" s="70" t="s">
        <v>570</v>
      </c>
      <c r="C142" s="74">
        <v>5</v>
      </c>
    </row>
    <row r="143" spans="1:3" s="305" customFormat="1" x14ac:dyDescent="0.3">
      <c r="A143" s="198" t="s">
        <v>1057</v>
      </c>
      <c r="B143" s="70" t="s">
        <v>570</v>
      </c>
      <c r="C143" s="74">
        <v>0.75</v>
      </c>
    </row>
    <row r="144" spans="1:3" s="305" customFormat="1" x14ac:dyDescent="0.3">
      <c r="A144" s="198" t="s">
        <v>1067</v>
      </c>
      <c r="B144" s="70" t="s">
        <v>748</v>
      </c>
      <c r="C144" s="74"/>
    </row>
    <row r="145" spans="1:3" s="305" customFormat="1" x14ac:dyDescent="0.3">
      <c r="A145" s="198" t="s">
        <v>1069</v>
      </c>
      <c r="B145" s="70" t="s">
        <v>748</v>
      </c>
      <c r="C145" s="74"/>
    </row>
    <row r="146" spans="1:3" s="305" customFormat="1" x14ac:dyDescent="0.3">
      <c r="A146" s="199" t="s">
        <v>1081</v>
      </c>
      <c r="B146" s="35" t="s">
        <v>1009</v>
      </c>
      <c r="C146" s="196">
        <v>0</v>
      </c>
    </row>
    <row r="147" spans="1:3" s="305" customFormat="1" x14ac:dyDescent="0.3">
      <c r="A147" s="199" t="s">
        <v>1134</v>
      </c>
      <c r="B147" s="35" t="s">
        <v>1000</v>
      </c>
      <c r="C147" s="196"/>
    </row>
    <row r="148" spans="1:3" s="305" customFormat="1" x14ac:dyDescent="0.3">
      <c r="A148" s="183" t="s">
        <v>1160</v>
      </c>
      <c r="B148" s="70" t="s">
        <v>1000</v>
      </c>
      <c r="C148" s="74"/>
    </row>
    <row r="149" spans="1:3" s="305" customFormat="1" x14ac:dyDescent="0.3">
      <c r="A149" s="183" t="s">
        <v>1161</v>
      </c>
      <c r="B149" s="70" t="s">
        <v>1000</v>
      </c>
      <c r="C149" s="74"/>
    </row>
    <row r="150" spans="1:3" s="305" customFormat="1" x14ac:dyDescent="0.3">
      <c r="A150" s="183" t="s">
        <v>1162</v>
      </c>
      <c r="B150" s="70" t="s">
        <v>1000</v>
      </c>
      <c r="C150" s="74"/>
    </row>
    <row r="151" spans="1:3" s="305" customFormat="1" x14ac:dyDescent="0.3">
      <c r="A151" s="183" t="s">
        <v>1163</v>
      </c>
      <c r="B151" s="70" t="s">
        <v>1000</v>
      </c>
      <c r="C151" s="74"/>
    </row>
    <row r="152" spans="1:3" s="305" customFormat="1" x14ac:dyDescent="0.3">
      <c r="A152" s="183" t="s">
        <v>1164</v>
      </c>
      <c r="B152" s="70" t="s">
        <v>1000</v>
      </c>
      <c r="C152" s="196"/>
    </row>
    <row r="153" spans="1:3" s="305" customFormat="1" x14ac:dyDescent="0.3">
      <c r="A153" s="70" t="s">
        <v>1652</v>
      </c>
      <c r="B153" s="70" t="s">
        <v>1673</v>
      </c>
      <c r="C153" s="74">
        <v>0.4</v>
      </c>
    </row>
    <row r="154" spans="1:3" s="305" customFormat="1" x14ac:dyDescent="0.3">
      <c r="A154" s="70" t="s">
        <v>1653</v>
      </c>
      <c r="B154" s="70" t="s">
        <v>1673</v>
      </c>
      <c r="C154" s="74">
        <v>0.4</v>
      </c>
    </row>
    <row r="155" spans="1:3" s="305" customFormat="1" x14ac:dyDescent="0.3">
      <c r="A155" s="70" t="s">
        <v>1654</v>
      </c>
      <c r="B155" s="70" t="s">
        <v>1673</v>
      </c>
      <c r="C155" s="74">
        <v>0.4</v>
      </c>
    </row>
    <row r="156" spans="1:3" s="305" customFormat="1" x14ac:dyDescent="0.3">
      <c r="A156" s="70" t="s">
        <v>1655</v>
      </c>
      <c r="B156" s="70" t="s">
        <v>1673</v>
      </c>
      <c r="C156" s="74">
        <v>0.4</v>
      </c>
    </row>
    <row r="157" spans="1:3" s="305" customFormat="1" x14ac:dyDescent="0.3">
      <c r="A157" s="70" t="s">
        <v>1656</v>
      </c>
      <c r="B157" s="70" t="s">
        <v>611</v>
      </c>
      <c r="C157" s="74">
        <v>8</v>
      </c>
    </row>
    <row r="158" spans="1:3" s="305" customFormat="1" x14ac:dyDescent="0.3">
      <c r="A158" s="307" t="s">
        <v>1657</v>
      </c>
      <c r="B158" s="70" t="s">
        <v>611</v>
      </c>
      <c r="C158" s="74">
        <v>27</v>
      </c>
    </row>
    <row r="159" spans="1:3" s="305" customFormat="1" x14ac:dyDescent="0.3">
      <c r="A159" s="307" t="s">
        <v>302</v>
      </c>
      <c r="B159" s="70" t="s">
        <v>1691</v>
      </c>
      <c r="C159" s="74"/>
    </row>
    <row r="160" spans="1:3" s="305" customFormat="1" x14ac:dyDescent="0.3">
      <c r="A160" s="307" t="s">
        <v>1252</v>
      </c>
      <c r="B160" s="70" t="s">
        <v>635</v>
      </c>
      <c r="C160" s="74"/>
    </row>
    <row r="161" spans="1:3" s="305" customFormat="1" x14ac:dyDescent="0.3">
      <c r="A161" s="307" t="s">
        <v>1264</v>
      </c>
      <c r="B161" s="70" t="s">
        <v>635</v>
      </c>
      <c r="C161" s="74"/>
    </row>
    <row r="162" spans="1:3" s="305" customFormat="1" x14ac:dyDescent="0.3">
      <c r="A162" s="307" t="s">
        <v>1270</v>
      </c>
      <c r="B162" s="70" t="s">
        <v>1000</v>
      </c>
      <c r="C162" s="74"/>
    </row>
    <row r="163" spans="1:3" s="305" customFormat="1" x14ac:dyDescent="0.3">
      <c r="A163" s="307" t="s">
        <v>1406</v>
      </c>
      <c r="B163" s="70" t="s">
        <v>1684</v>
      </c>
      <c r="C163" s="74"/>
    </row>
    <row r="164" spans="1:3" s="305" customFormat="1" x14ac:dyDescent="0.3">
      <c r="A164" s="307" t="s">
        <v>1407</v>
      </c>
      <c r="B164" s="70" t="s">
        <v>1684</v>
      </c>
      <c r="C164" s="74"/>
    </row>
    <row r="165" spans="1:3" s="305" customFormat="1" x14ac:dyDescent="0.3">
      <c r="A165" s="307" t="s">
        <v>1408</v>
      </c>
      <c r="B165" s="70" t="s">
        <v>1684</v>
      </c>
      <c r="C165" s="74"/>
    </row>
    <row r="166" spans="1:3" s="305" customFormat="1" x14ac:dyDescent="0.3">
      <c r="A166" s="307" t="s">
        <v>1409</v>
      </c>
      <c r="B166" s="70" t="s">
        <v>1684</v>
      </c>
      <c r="C166" s="74"/>
    </row>
    <row r="167" spans="1:3" s="305" customFormat="1" x14ac:dyDescent="0.3">
      <c r="A167" s="307" t="s">
        <v>1546</v>
      </c>
      <c r="B167" s="70" t="s">
        <v>611</v>
      </c>
      <c r="C167" s="74"/>
    </row>
    <row r="168" spans="1:3" s="305" customFormat="1" x14ac:dyDescent="0.3">
      <c r="A168" s="675" t="s">
        <v>1548</v>
      </c>
      <c r="B168" s="70" t="s">
        <v>1013</v>
      </c>
      <c r="C168" s="74"/>
    </row>
    <row r="169" spans="1:3" x14ac:dyDescent="0.3">
      <c r="A169" s="39" t="s">
        <v>939</v>
      </c>
      <c r="B169" s="70" t="s">
        <v>1004</v>
      </c>
      <c r="C169" s="74">
        <v>9.2957189123335944</v>
      </c>
    </row>
    <row r="170" spans="1:3" s="305" customFormat="1" x14ac:dyDescent="0.3">
      <c r="A170" s="197" t="s">
        <v>1694</v>
      </c>
      <c r="B170" s="70" t="s">
        <v>611</v>
      </c>
      <c r="C170" s="74">
        <v>10</v>
      </c>
    </row>
    <row r="171" spans="1:3" s="305" customFormat="1" x14ac:dyDescent="0.3">
      <c r="A171" s="197" t="s">
        <v>1695</v>
      </c>
      <c r="B171" s="70" t="s">
        <v>1700</v>
      </c>
      <c r="C171" s="74">
        <v>0</v>
      </c>
    </row>
    <row r="172" spans="1:3" s="305" customFormat="1" x14ac:dyDescent="0.3">
      <c r="A172" s="197" t="s">
        <v>1696</v>
      </c>
      <c r="B172" s="70" t="s">
        <v>611</v>
      </c>
      <c r="C172" s="74">
        <v>51</v>
      </c>
    </row>
    <row r="173" spans="1:3" s="305" customFormat="1" x14ac:dyDescent="0.3">
      <c r="A173" s="197" t="s">
        <v>1697</v>
      </c>
      <c r="B173" s="70" t="s">
        <v>1001</v>
      </c>
      <c r="C173" s="74">
        <v>10</v>
      </c>
    </row>
    <row r="174" spans="1:3" s="305" customFormat="1" x14ac:dyDescent="0.3">
      <c r="A174" s="197" t="s">
        <v>1698</v>
      </c>
      <c r="B174" s="197" t="s">
        <v>635</v>
      </c>
      <c r="C174" s="74">
        <v>0</v>
      </c>
    </row>
    <row r="175" spans="1:3" s="305" customFormat="1" x14ac:dyDescent="0.3">
      <c r="A175" s="197" t="s">
        <v>1699</v>
      </c>
      <c r="B175" s="197" t="s">
        <v>1001</v>
      </c>
      <c r="C175" s="74">
        <v>0</v>
      </c>
    </row>
    <row r="176" spans="1:3" x14ac:dyDescent="0.3">
      <c r="A176" s="39" t="s">
        <v>287</v>
      </c>
      <c r="B176" s="70" t="s">
        <v>1004</v>
      </c>
      <c r="C176" s="74">
        <v>1.5619149693996526</v>
      </c>
    </row>
    <row r="177" spans="1:3" x14ac:dyDescent="0.3">
      <c r="A177" s="39" t="s">
        <v>294</v>
      </c>
      <c r="B177" s="70" t="s">
        <v>1004</v>
      </c>
      <c r="C177" s="74">
        <v>1.5239325151406049</v>
      </c>
    </row>
    <row r="178" spans="1:3" x14ac:dyDescent="0.3">
      <c r="A178" s="39" t="s">
        <v>290</v>
      </c>
      <c r="B178" s="70" t="s">
        <v>1004</v>
      </c>
      <c r="C178" s="74">
        <v>1.7369508287203668</v>
      </c>
    </row>
    <row r="179" spans="1:3" x14ac:dyDescent="0.3">
      <c r="A179" s="39" t="s">
        <v>234</v>
      </c>
      <c r="B179" s="70" t="s">
        <v>1011</v>
      </c>
      <c r="C179" s="74">
        <v>7.490291417449443</v>
      </c>
    </row>
    <row r="180" spans="1:3" x14ac:dyDescent="0.3">
      <c r="A180" s="39" t="s">
        <v>147</v>
      </c>
      <c r="B180" s="70" t="s">
        <v>1005</v>
      </c>
      <c r="C180" s="74">
        <v>23.172399462804503</v>
      </c>
    </row>
    <row r="181" spans="1:3" x14ac:dyDescent="0.3">
      <c r="A181" s="39" t="s">
        <v>148</v>
      </c>
      <c r="B181" s="70" t="s">
        <v>1004</v>
      </c>
      <c r="C181" s="74">
        <v>21.148671772283631</v>
      </c>
    </row>
    <row r="182" spans="1:3" x14ac:dyDescent="0.3">
      <c r="A182" s="39" t="s">
        <v>165</v>
      </c>
      <c r="B182" s="70" t="s">
        <v>1006</v>
      </c>
      <c r="C182" s="74">
        <v>0.43878855438285824</v>
      </c>
    </row>
    <row r="183" spans="1:3" x14ac:dyDescent="0.3">
      <c r="A183" s="39" t="s">
        <v>168</v>
      </c>
      <c r="B183" s="70" t="s">
        <v>1011</v>
      </c>
      <c r="C183" s="74">
        <v>18.405283544772924</v>
      </c>
    </row>
    <row r="184" spans="1:3" x14ac:dyDescent="0.3">
      <c r="A184" s="39" t="s">
        <v>170</v>
      </c>
      <c r="B184" s="70" t="s">
        <v>1011</v>
      </c>
      <c r="C184" s="74">
        <v>12.794700705104317</v>
      </c>
    </row>
    <row r="185" spans="1:3" x14ac:dyDescent="0.3">
      <c r="A185" s="39" t="s">
        <v>232</v>
      </c>
      <c r="B185" s="70" t="s">
        <v>1010</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1011</v>
      </c>
      <c r="C192" s="74">
        <v>5.5919136174199959</v>
      </c>
    </row>
    <row r="193" spans="1:3" x14ac:dyDescent="0.3">
      <c r="A193" s="39" t="s">
        <v>772</v>
      </c>
      <c r="B193" s="70" t="s">
        <v>1002</v>
      </c>
      <c r="C193" s="74">
        <v>30.037709702375544</v>
      </c>
    </row>
    <row r="194" spans="1:3" x14ac:dyDescent="0.3">
      <c r="A194" s="39" t="s">
        <v>761</v>
      </c>
      <c r="B194" s="70" t="s">
        <v>1006</v>
      </c>
      <c r="C194" s="74">
        <v>0.71762888500316424</v>
      </c>
    </row>
    <row r="195" spans="1:3" x14ac:dyDescent="0.3">
      <c r="A195" s="39" t="s">
        <v>762</v>
      </c>
      <c r="B195" s="70" t="s">
        <v>755</v>
      </c>
      <c r="C195" s="74">
        <v>0.63626694856259092</v>
      </c>
    </row>
    <row r="196" spans="1:3" x14ac:dyDescent="0.3">
      <c r="A196" s="35" t="s">
        <v>904</v>
      </c>
      <c r="B196" s="70" t="s">
        <v>899</v>
      </c>
      <c r="C196" s="74">
        <v>1.989668595899414</v>
      </c>
    </row>
    <row r="197" spans="1:3" x14ac:dyDescent="0.3">
      <c r="A197" s="35" t="s">
        <v>906</v>
      </c>
      <c r="B197" s="70" t="s">
        <v>1004</v>
      </c>
      <c r="C197" s="74">
        <v>2.0141034419413328</v>
      </c>
    </row>
    <row r="198" spans="1:3" x14ac:dyDescent="0.3">
      <c r="A198" s="35" t="s">
        <v>910</v>
      </c>
      <c r="B198" s="70" t="s">
        <v>1004</v>
      </c>
      <c r="C198" s="74">
        <v>2.8590638493982405</v>
      </c>
    </row>
    <row r="199" spans="1:3" s="305" customFormat="1" x14ac:dyDescent="0.3">
      <c r="A199" s="197" t="s">
        <v>957</v>
      </c>
      <c r="B199" s="70" t="s">
        <v>1000</v>
      </c>
      <c r="C199" s="74"/>
    </row>
    <row r="200" spans="1:3" x14ac:dyDescent="0.3">
      <c r="A200" s="35" t="s">
        <v>914</v>
      </c>
      <c r="B200" s="70" t="s">
        <v>899</v>
      </c>
      <c r="C200" s="74">
        <v>2.1362355825722199</v>
      </c>
    </row>
    <row r="201" spans="1:3" x14ac:dyDescent="0.3">
      <c r="A201" s="307" t="s">
        <v>1748</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zoomScale="112" zoomScaleNormal="112" zoomScaleSheetLayoutView="80" workbookViewId="0">
      <selection activeCell="G40" sqref="G40"/>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05" customWidth="1"/>
    <col min="41" max="45" width="11" style="8" customWidth="1"/>
    <col min="46" max="46" width="11.44140625" style="305"/>
    <col min="47" max="47" width="27.88671875" style="8" customWidth="1"/>
    <col min="48" max="48" width="6.3320312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05"/>
      <c r="AJ1" s="305"/>
      <c r="AK1" s="305"/>
      <c r="AL1" s="305"/>
      <c r="AM1" s="305"/>
      <c r="AN1" s="305"/>
      <c r="AT1" s="305"/>
      <c r="AU1"/>
      <c r="AV1"/>
      <c r="AW1"/>
      <c r="WD1" s="13"/>
    </row>
    <row r="2" spans="1:602" s="1" customFormat="1" ht="25.2" customHeight="1" thickBot="1" x14ac:dyDescent="0.35">
      <c r="B2" s="86"/>
      <c r="C2" s="370" t="s">
        <v>1398</v>
      </c>
      <c r="D2" s="370"/>
      <c r="E2" s="370"/>
      <c r="F2" s="370"/>
      <c r="G2" s="370"/>
      <c r="H2" s="370"/>
      <c r="I2" s="370"/>
      <c r="J2" s="362"/>
      <c r="K2" s="362"/>
      <c r="L2" s="362"/>
      <c r="M2" s="362"/>
      <c r="N2" s="362"/>
      <c r="O2" s="362"/>
      <c r="P2" s="362"/>
      <c r="Q2" s="362"/>
      <c r="R2" s="362"/>
      <c r="S2" s="362"/>
      <c r="T2" s="87"/>
      <c r="V2" s="38" t="s">
        <v>1024</v>
      </c>
      <c r="W2" s="72">
        <f>SUMIFS(CampList[HH],CampList[Status],"open",CampList[Opening Date],"&gt;=" &amp; NFI_Monitor_Date)</f>
        <v>0</v>
      </c>
      <c r="X2" s="38"/>
      <c r="Y2" s="38"/>
      <c r="Z2" s="38"/>
      <c r="AA2" s="38"/>
      <c r="AB2" s="38"/>
      <c r="AC2" s="38"/>
      <c r="AD2" s="38"/>
      <c r="AE2" s="38"/>
      <c r="AF2" s="30"/>
      <c r="AG2" s="30"/>
      <c r="AH2" s="30"/>
      <c r="AI2" s="305"/>
      <c r="AJ2" s="305"/>
      <c r="AK2" s="305"/>
      <c r="AL2" s="305"/>
      <c r="AM2" s="305"/>
      <c r="AN2" s="305"/>
      <c r="AO2" s="30"/>
      <c r="AP2" s="30"/>
      <c r="AQ2" s="30"/>
      <c r="AR2" s="30"/>
      <c r="AS2" s="30"/>
      <c r="AT2" s="305"/>
      <c r="AU2"/>
      <c r="AV2"/>
      <c r="AW2"/>
      <c r="AX2" s="527" t="s">
        <v>408</v>
      </c>
      <c r="AY2" s="528" t="s">
        <v>958</v>
      </c>
      <c r="AZ2" s="30"/>
      <c r="BJ2" s="15"/>
      <c r="BK2" s="15"/>
      <c r="WD2" s="172"/>
    </row>
    <row r="3" spans="1:602" s="5" customFormat="1" ht="12.75" customHeight="1" thickBot="1" x14ac:dyDescent="0.35">
      <c r="B3" s="88"/>
      <c r="C3" s="838">
        <f>Definition!B23</f>
        <v>43313</v>
      </c>
      <c r="D3" s="838"/>
      <c r="E3" s="838"/>
      <c r="F3" s="838"/>
      <c r="G3" s="838"/>
      <c r="H3" s="838"/>
      <c r="I3" s="97"/>
      <c r="J3" s="85"/>
      <c r="K3" s="85"/>
      <c r="L3" s="85"/>
      <c r="M3" s="85"/>
      <c r="N3" s="85"/>
      <c r="O3" s="85"/>
      <c r="P3" s="85"/>
      <c r="Q3" s="85"/>
      <c r="R3" s="85"/>
      <c r="S3" s="85"/>
      <c r="T3" s="89"/>
      <c r="V3" s="38" t="s">
        <v>1025</v>
      </c>
      <c r="W3" s="72" t="e">
        <f>SUMIFS(CampList[HH],CampList[Status],"open",#REF!,"P1")</f>
        <v>#REF!</v>
      </c>
      <c r="X3" s="72"/>
      <c r="Y3" s="38"/>
      <c r="Z3" s="38"/>
      <c r="AA3" s="38"/>
      <c r="AB3" s="38"/>
      <c r="AC3" s="38"/>
      <c r="AD3" s="38"/>
      <c r="AE3" s="38"/>
      <c r="AF3" s="30"/>
      <c r="AG3" s="305"/>
      <c r="AH3" s="305"/>
      <c r="AI3" s="305"/>
      <c r="AJ3" s="305"/>
      <c r="AK3" s="305"/>
      <c r="AL3" s="305"/>
      <c r="AM3" s="305"/>
      <c r="AN3" s="305"/>
      <c r="AO3" s="305"/>
      <c r="AP3" s="305"/>
      <c r="AQ3" s="30"/>
      <c r="AR3" s="30"/>
      <c r="AS3" s="30"/>
      <c r="AT3" s="305"/>
      <c r="AU3"/>
      <c r="AV3"/>
      <c r="AW3"/>
      <c r="AX3"/>
      <c r="AY3"/>
      <c r="AZ3"/>
      <c r="BA3"/>
      <c r="BB3"/>
      <c r="BC3"/>
      <c r="BD3"/>
      <c r="BJ3" s="16"/>
      <c r="BK3" s="16"/>
      <c r="WD3" s="173"/>
    </row>
    <row r="4" spans="1:602" s="13" customFormat="1" ht="37.200000000000003" thickBot="1" x14ac:dyDescent="0.75">
      <c r="B4" s="371"/>
      <c r="C4" s="366"/>
      <c r="D4" s="365"/>
      <c r="E4" s="365"/>
      <c r="F4"/>
      <c r="G4"/>
      <c r="H4" s="365"/>
      <c r="I4" s="365"/>
      <c r="J4" s="365"/>
      <c r="K4" s="365"/>
      <c r="L4" s="365"/>
      <c r="M4" s="365"/>
      <c r="N4" s="365"/>
      <c r="O4" s="365"/>
      <c r="P4" s="365"/>
      <c r="Q4" s="367"/>
      <c r="R4" s="365"/>
      <c r="S4" s="365"/>
      <c r="T4" s="372"/>
      <c r="V4" s="13" t="s">
        <v>1219</v>
      </c>
      <c r="AG4" s="305"/>
      <c r="AH4" s="305"/>
      <c r="AI4" s="305"/>
      <c r="AJ4" s="305"/>
      <c r="AK4" s="305"/>
      <c r="AL4" s="305"/>
      <c r="AM4" s="305"/>
      <c r="AN4" s="305"/>
      <c r="AO4" s="305"/>
      <c r="AP4" s="305"/>
      <c r="AU4" s="139" t="s">
        <v>1439</v>
      </c>
      <c r="AV4"/>
      <c r="AW4"/>
      <c r="AX4" s="428" t="s">
        <v>1300</v>
      </c>
      <c r="AY4" s="442" t="s">
        <v>1402</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05"/>
      <c r="AH5" s="305"/>
      <c r="AI5" s="305"/>
      <c r="AJ5" s="305"/>
      <c r="AK5" s="305"/>
      <c r="AL5" s="305"/>
      <c r="AM5" s="305"/>
      <c r="AN5" s="305"/>
      <c r="AO5" s="305"/>
      <c r="AP5" s="305"/>
      <c r="AU5" s="6" t="s">
        <v>1438</v>
      </c>
      <c r="AV5" s="133">
        <v>438</v>
      </c>
      <c r="AW5"/>
      <c r="AX5" s="673" t="s">
        <v>778</v>
      </c>
      <c r="AY5" s="443">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5"/>
      <c r="AH6" s="305"/>
      <c r="AI6" s="305"/>
      <c r="AJ6" s="305"/>
      <c r="AK6" s="305"/>
      <c r="AL6" s="305"/>
      <c r="AM6" s="305"/>
      <c r="AN6" s="305"/>
      <c r="AO6" s="305"/>
      <c r="AP6" s="305"/>
      <c r="AT6" s="305"/>
      <c r="AU6" s="6" t="s">
        <v>1437</v>
      </c>
      <c r="AV6" s="133">
        <v>1598</v>
      </c>
      <c r="AW6"/>
      <c r="AX6" s="686" t="s">
        <v>825</v>
      </c>
      <c r="AY6" s="444">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5"/>
      <c r="AH7" s="305"/>
      <c r="AI7" s="305"/>
      <c r="AJ7" s="305"/>
      <c r="AK7" s="305"/>
      <c r="AL7" s="305"/>
      <c r="AM7" s="305"/>
      <c r="AN7" s="305"/>
      <c r="AO7" s="305"/>
      <c r="AP7" s="305"/>
      <c r="AT7" s="305"/>
      <c r="AU7" s="6" t="s">
        <v>1436</v>
      </c>
      <c r="AV7" s="133">
        <v>3540</v>
      </c>
      <c r="AW7"/>
      <c r="AX7" s="674" t="s">
        <v>1261</v>
      </c>
      <c r="AY7" s="444">
        <v>7</v>
      </c>
      <c r="WD7" s="13"/>
    </row>
    <row r="8" spans="1:602" ht="15" customHeight="1" x14ac:dyDescent="0.3">
      <c r="B8" s="95"/>
      <c r="C8" s="138"/>
      <c r="D8" s="138"/>
      <c r="E8" s="138"/>
      <c r="I8" s="138"/>
      <c r="J8" s="138"/>
      <c r="K8" s="138"/>
      <c r="L8" s="138"/>
      <c r="M8" s="138"/>
      <c r="N8" s="138"/>
      <c r="O8" s="138"/>
      <c r="P8" s="138"/>
      <c r="Q8" s="138"/>
      <c r="R8" s="138"/>
      <c r="S8" s="138"/>
      <c r="T8" s="93"/>
      <c r="Y8" s="1"/>
      <c r="AG8" s="305"/>
      <c r="AH8" s="305"/>
      <c r="AO8" s="305"/>
      <c r="AP8" s="305"/>
      <c r="AU8" s="6" t="s">
        <v>1435</v>
      </c>
      <c r="AV8" s="133">
        <v>6095</v>
      </c>
      <c r="AW8"/>
      <c r="AX8" s="458" t="s">
        <v>420</v>
      </c>
      <c r="AY8" s="444">
        <v>18</v>
      </c>
    </row>
    <row r="9" spans="1:602" ht="24" x14ac:dyDescent="0.3">
      <c r="B9" s="95"/>
      <c r="C9" s="378"/>
      <c r="D9" s="379"/>
      <c r="E9" s="380"/>
      <c r="I9" s="379"/>
      <c r="J9" s="380"/>
      <c r="K9" s="138"/>
      <c r="L9" s="378"/>
      <c r="M9" s="379"/>
      <c r="N9" s="380"/>
      <c r="O9" s="379"/>
      <c r="P9" s="379"/>
      <c r="Q9" s="379"/>
      <c r="R9" s="379"/>
      <c r="S9" s="380"/>
      <c r="T9" s="93"/>
      <c r="W9" s="14"/>
      <c r="X9" s="1"/>
      <c r="Y9" s="95"/>
      <c r="Z9" s="129" t="s">
        <v>765</v>
      </c>
      <c r="AA9" s="129" t="s">
        <v>766</v>
      </c>
      <c r="AB9" s="43" t="s">
        <v>767</v>
      </c>
      <c r="AC9" s="43" t="s">
        <v>768</v>
      </c>
      <c r="AD9" s="44" t="s">
        <v>769</v>
      </c>
      <c r="AE9" s="44" t="s">
        <v>770</v>
      </c>
      <c r="AF9" s="93"/>
      <c r="AG9" s="305"/>
      <c r="AH9" s="305"/>
      <c r="AO9" s="305"/>
      <c r="AP9" s="305"/>
      <c r="AU9" s="6" t="s">
        <v>1434</v>
      </c>
      <c r="AV9" s="133">
        <v>2051</v>
      </c>
      <c r="AW9"/>
      <c r="AX9" s="458" t="s">
        <v>462</v>
      </c>
      <c r="AY9" s="444">
        <v>2</v>
      </c>
    </row>
    <row r="10" spans="1:602" x14ac:dyDescent="0.3">
      <c r="B10" s="95"/>
      <c r="C10" s="368"/>
      <c r="D10" s="381"/>
      <c r="E10" s="369"/>
      <c r="I10" s="383"/>
      <c r="J10" s="383"/>
      <c r="K10" s="138"/>
      <c r="L10" s="368"/>
      <c r="M10" s="381"/>
      <c r="N10" s="369"/>
      <c r="O10" s="382"/>
      <c r="P10" s="383"/>
      <c r="Q10" s="382"/>
      <c r="R10" s="383"/>
      <c r="S10" s="38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5"/>
      <c r="AH10" s="305"/>
      <c r="AO10" s="305"/>
      <c r="AP10" s="305"/>
      <c r="AU10" s="6" t="s">
        <v>1433</v>
      </c>
      <c r="AV10" s="133">
        <v>11250</v>
      </c>
      <c r="AW10"/>
      <c r="AX10" s="458" t="s">
        <v>1567</v>
      </c>
      <c r="AY10" s="444">
        <v>11</v>
      </c>
    </row>
    <row r="11" spans="1:602" ht="15" customHeight="1" x14ac:dyDescent="0.3">
      <c r="B11" s="95"/>
      <c r="C11" s="368"/>
      <c r="D11" s="381"/>
      <c r="E11" s="369"/>
      <c r="I11" s="383"/>
      <c r="J11" s="383"/>
      <c r="K11" s="138"/>
      <c r="L11" s="839"/>
      <c r="M11" s="840"/>
      <c r="N11" s="841"/>
      <c r="O11" s="844"/>
      <c r="P11" s="842"/>
      <c r="Q11" s="844"/>
      <c r="R11" s="843"/>
      <c r="S11" s="842"/>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5"/>
      <c r="AH11" s="305"/>
      <c r="AO11" s="305"/>
      <c r="AP11" s="305"/>
      <c r="AU11" s="6" t="s">
        <v>1432</v>
      </c>
      <c r="AV11" s="133">
        <v>3205</v>
      </c>
      <c r="AW11"/>
      <c r="AX11" s="458" t="s">
        <v>1089</v>
      </c>
      <c r="AY11" s="444">
        <v>2</v>
      </c>
    </row>
    <row r="12" spans="1:602" x14ac:dyDescent="0.3">
      <c r="B12" s="95"/>
      <c r="C12" s="368"/>
      <c r="D12" s="381"/>
      <c r="E12" s="369"/>
      <c r="I12" s="383"/>
      <c r="J12" s="383"/>
      <c r="K12" s="138"/>
      <c r="L12" s="839"/>
      <c r="M12" s="840"/>
      <c r="N12" s="841"/>
      <c r="O12" s="844"/>
      <c r="P12" s="842"/>
      <c r="Q12" s="844"/>
      <c r="R12" s="843"/>
      <c r="S12" s="842"/>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5"/>
      <c r="AH12" s="305"/>
      <c r="AO12" s="305"/>
      <c r="AP12" s="305"/>
      <c r="AU12" s="6" t="s">
        <v>1431</v>
      </c>
      <c r="AV12" s="133">
        <v>1808</v>
      </c>
      <c r="AW12"/>
      <c r="AX12" s="458" t="s">
        <v>1461</v>
      </c>
      <c r="AY12" s="444">
        <v>38</v>
      </c>
    </row>
    <row r="13" spans="1:602" ht="15" customHeight="1" x14ac:dyDescent="0.3">
      <c r="B13" s="95"/>
      <c r="C13" s="368"/>
      <c r="D13" s="381"/>
      <c r="E13" s="369"/>
      <c r="I13" s="383"/>
      <c r="J13" s="383"/>
      <c r="K13" s="138"/>
      <c r="L13" s="368"/>
      <c r="M13" s="381"/>
      <c r="N13" s="369"/>
      <c r="O13" s="382"/>
      <c r="P13" s="383"/>
      <c r="Q13" s="382"/>
      <c r="R13" s="383"/>
      <c r="S13" s="38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5"/>
      <c r="AH13" s="305"/>
      <c r="AO13" s="305"/>
      <c r="AP13" s="305"/>
      <c r="AU13" s="6" t="s">
        <v>1430</v>
      </c>
      <c r="AV13" s="133">
        <v>6472</v>
      </c>
      <c r="AW13"/>
      <c r="AX13" s="458" t="s">
        <v>424</v>
      </c>
      <c r="AY13" s="444">
        <v>1</v>
      </c>
    </row>
    <row r="14" spans="1:602" x14ac:dyDescent="0.3">
      <c r="B14" s="95"/>
      <c r="C14" s="368"/>
      <c r="D14" s="381"/>
      <c r="E14" s="369"/>
      <c r="I14" s="383"/>
      <c r="J14" s="38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5"/>
      <c r="AH14" s="305"/>
      <c r="AO14" s="305"/>
      <c r="AP14" s="305"/>
      <c r="AU14" s="6" t="s">
        <v>1429</v>
      </c>
      <c r="AV14" s="133">
        <v>2138</v>
      </c>
      <c r="AW14"/>
      <c r="AX14" s="458" t="s">
        <v>1638</v>
      </c>
      <c r="AY14" s="444">
        <v>11</v>
      </c>
    </row>
    <row r="15" spans="1:602" ht="15" customHeight="1" x14ac:dyDescent="0.3">
      <c r="B15" s="95"/>
      <c r="C15" s="368"/>
      <c r="D15" s="381"/>
      <c r="E15" s="369"/>
      <c r="I15" s="383"/>
      <c r="J15" s="38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5"/>
      <c r="AH15" s="305"/>
      <c r="AO15" s="305"/>
      <c r="AP15" s="305"/>
      <c r="AU15"/>
      <c r="AV15"/>
      <c r="AW15"/>
      <c r="AX15" s="458" t="s">
        <v>1637</v>
      </c>
      <c r="AY15" s="444">
        <v>4</v>
      </c>
    </row>
    <row r="16" spans="1:602" ht="13.5" customHeight="1" x14ac:dyDescent="0.3">
      <c r="B16" s="95"/>
      <c r="C16" s="368"/>
      <c r="D16" s="381"/>
      <c r="E16" s="369"/>
      <c r="F16"/>
      <c r="G16"/>
      <c r="H16"/>
      <c r="I16" s="383"/>
      <c r="J16" s="38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5"/>
      <c r="AH16" s="305"/>
      <c r="AO16" s="305"/>
      <c r="AP16" s="305"/>
      <c r="AU16" s="139" t="s">
        <v>1636</v>
      </c>
      <c r="AV16" s="305" t="s">
        <v>537</v>
      </c>
      <c r="AW16"/>
      <c r="AX16" s="458" t="s">
        <v>1563</v>
      </c>
      <c r="AY16" s="444">
        <v>2</v>
      </c>
    </row>
    <row r="17" spans="2:602" s="38" customForma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5"/>
      <c r="AH17" s="305"/>
      <c r="AI17" s="305"/>
      <c r="AJ17" s="305"/>
      <c r="AK17" s="305"/>
      <c r="AL17" s="305"/>
      <c r="AM17" s="305"/>
      <c r="AN17" s="305"/>
      <c r="AO17" s="305"/>
      <c r="AP17" s="305"/>
      <c r="AT17" s="305"/>
      <c r="AU17"/>
      <c r="AV17"/>
      <c r="AW17"/>
      <c r="AX17" s="429" t="s">
        <v>411</v>
      </c>
      <c r="AY17" s="430">
        <v>125</v>
      </c>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5"/>
      <c r="AH18" s="305"/>
      <c r="AI18" s="305"/>
      <c r="AJ18" s="305"/>
      <c r="AK18" s="305"/>
      <c r="AL18" s="305"/>
      <c r="AM18" s="305"/>
      <c r="AN18" s="305"/>
      <c r="AO18" s="305"/>
      <c r="AP18" s="305"/>
      <c r="AT18" s="305"/>
      <c r="AU18" s="139" t="s">
        <v>410</v>
      </c>
      <c r="AV18" t="s">
        <v>1440</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5"/>
      <c r="AH19" s="305"/>
      <c r="AO19" s="305"/>
      <c r="AP19" s="305"/>
      <c r="AU19" s="6" t="s">
        <v>5</v>
      </c>
      <c r="AV19" s="133">
        <v>23</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5"/>
      <c r="AH20" s="305"/>
      <c r="AO20" s="305"/>
      <c r="AP20" s="305"/>
      <c r="AU20" s="6" t="s">
        <v>27</v>
      </c>
      <c r="AV20" s="133">
        <v>10</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05"/>
      <c r="AH21" s="305"/>
      <c r="AO21" s="305"/>
      <c r="AP21" s="305"/>
      <c r="AU21" s="6" t="s">
        <v>480</v>
      </c>
      <c r="AV21" s="133">
        <v>18</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05"/>
      <c r="AH22" s="305"/>
      <c r="AO22" s="305"/>
      <c r="AP22" s="305"/>
      <c r="AU22" s="6" t="s">
        <v>719</v>
      </c>
      <c r="AV22" s="133">
        <v>3</v>
      </c>
      <c r="AW22"/>
    </row>
    <row r="23" spans="2:602" s="305"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19</v>
      </c>
      <c r="AW23"/>
      <c r="WD23" s="13"/>
    </row>
    <row r="24" spans="2:602" s="305" customFormat="1" ht="12.75" customHeight="1" x14ac:dyDescent="0.3">
      <c r="B24" s="95"/>
      <c r="C24" s="10"/>
      <c r="D24" s="10"/>
      <c r="E24" s="10"/>
      <c r="I24" s="10"/>
      <c r="J24" s="10"/>
      <c r="K24" s="10"/>
      <c r="L24" s="10"/>
      <c r="M24" s="10"/>
      <c r="N24" s="10"/>
      <c r="O24" s="10"/>
      <c r="P24" s="10"/>
      <c r="Q24" s="10"/>
      <c r="R24" s="10"/>
      <c r="S24" s="10"/>
      <c r="T24" s="93"/>
      <c r="Y24" s="132"/>
      <c r="AU24" s="6" t="s">
        <v>151</v>
      </c>
      <c r="AV24" s="133">
        <v>34</v>
      </c>
      <c r="AW24"/>
      <c r="WD24" s="13"/>
    </row>
    <row r="25" spans="2:602" s="305" customFormat="1" ht="12.75" customHeight="1" x14ac:dyDescent="0.3">
      <c r="B25" s="95"/>
      <c r="C25" s="10"/>
      <c r="D25" s="10"/>
      <c r="E25" s="10"/>
      <c r="I25" s="10"/>
      <c r="J25" s="10"/>
      <c r="K25" s="10"/>
      <c r="L25" s="10"/>
      <c r="M25" s="10"/>
      <c r="N25" s="10"/>
      <c r="O25" s="10"/>
      <c r="P25" s="10"/>
      <c r="Q25" s="10"/>
      <c r="R25" s="10"/>
      <c r="S25" s="10"/>
      <c r="T25" s="93"/>
      <c r="Y25" s="132"/>
      <c r="AU25" s="6" t="s">
        <v>237</v>
      </c>
      <c r="AV25" s="133">
        <v>66</v>
      </c>
      <c r="AW25"/>
      <c r="WD25" s="13"/>
    </row>
    <row r="26" spans="2:602" s="305" customFormat="1" ht="12.75" customHeight="1" x14ac:dyDescent="0.3">
      <c r="B26" s="95"/>
      <c r="C26" s="10"/>
      <c r="D26" s="10"/>
      <c r="E26" s="10"/>
      <c r="F26" s="384"/>
      <c r="G26" s="384"/>
      <c r="H26" s="361"/>
      <c r="I26" s="10"/>
      <c r="J26" s="10"/>
      <c r="K26" s="10"/>
      <c r="L26" s="10"/>
      <c r="M26" s="10"/>
      <c r="N26" s="10"/>
      <c r="O26" s="10"/>
      <c r="P26" s="10"/>
      <c r="Q26" s="10"/>
      <c r="R26" s="10"/>
      <c r="S26" s="10"/>
      <c r="T26" s="93"/>
      <c r="Y26" s="132"/>
      <c r="AU26" s="6" t="s">
        <v>297</v>
      </c>
      <c r="AV26" s="133">
        <v>27</v>
      </c>
      <c r="AW26"/>
      <c r="WD26" s="13"/>
    </row>
    <row r="27" spans="2:602" s="305" customFormat="1" ht="12.75" customHeight="1" x14ac:dyDescent="0.3">
      <c r="B27" s="95"/>
      <c r="C27" s="10"/>
      <c r="D27" s="10"/>
      <c r="E27" s="10"/>
      <c r="F27" s="384"/>
      <c r="G27" s="384"/>
      <c r="H27" s="361"/>
      <c r="I27" s="10"/>
      <c r="J27" s="10"/>
      <c r="K27" s="10"/>
      <c r="L27" s="10"/>
      <c r="M27" s="10"/>
      <c r="N27" s="10"/>
      <c r="O27" s="10"/>
      <c r="P27" s="10"/>
      <c r="Q27" s="10"/>
      <c r="R27" s="10"/>
      <c r="S27" s="10"/>
      <c r="T27" s="93"/>
      <c r="Y27" s="132"/>
      <c r="AU27" s="6" t="s">
        <v>301</v>
      </c>
      <c r="AV27" s="133">
        <v>8</v>
      </c>
      <c r="AW27"/>
      <c r="WD27" s="13"/>
    </row>
    <row r="28" spans="2:602" s="305" customFormat="1" ht="12.75" customHeight="1" x14ac:dyDescent="0.3">
      <c r="B28" s="95"/>
      <c r="C28" s="10"/>
      <c r="D28" s="10"/>
      <c r="E28" s="10"/>
      <c r="F28" s="384"/>
      <c r="G28" s="384"/>
      <c r="H28" s="361"/>
      <c r="I28" s="10"/>
      <c r="J28" s="10"/>
      <c r="K28" s="10"/>
      <c r="L28" s="10"/>
      <c r="M28" s="10"/>
      <c r="N28" s="10"/>
      <c r="O28" s="10"/>
      <c r="P28" s="10"/>
      <c r="Q28" s="10"/>
      <c r="R28" s="10"/>
      <c r="S28" s="10"/>
      <c r="T28" s="93"/>
      <c r="Y28" s="132"/>
      <c r="AU28" s="6" t="s">
        <v>746</v>
      </c>
      <c r="AV28" s="133">
        <v>4</v>
      </c>
      <c r="AW28"/>
      <c r="WD28" s="13"/>
    </row>
    <row r="29" spans="2:602" s="305" customFormat="1" ht="12.75" customHeight="1" x14ac:dyDescent="0.3">
      <c r="B29" s="95"/>
      <c r="C29" s="10"/>
      <c r="D29" s="10"/>
      <c r="E29" s="10"/>
      <c r="I29" s="10"/>
      <c r="J29" s="10"/>
      <c r="K29" s="10"/>
      <c r="L29" s="10"/>
      <c r="M29" s="10"/>
      <c r="N29" s="10"/>
      <c r="O29" s="10"/>
      <c r="P29" s="10"/>
      <c r="Q29" s="10"/>
      <c r="R29" s="10"/>
      <c r="S29" s="10"/>
      <c r="T29" s="93"/>
      <c r="Y29" s="132"/>
      <c r="AU29" s="6" t="s">
        <v>1136</v>
      </c>
      <c r="AV29" s="133">
        <v>6</v>
      </c>
      <c r="AW29"/>
      <c r="WD29" s="13"/>
    </row>
    <row r="30" spans="2:602" s="305" customFormat="1" x14ac:dyDescent="0.3">
      <c r="B30" s="95"/>
      <c r="C30" s="10"/>
      <c r="D30" s="10"/>
      <c r="E30" s="10"/>
      <c r="I30" s="10"/>
      <c r="J30" s="10"/>
      <c r="K30" s="10"/>
      <c r="L30" s="10"/>
      <c r="M30" s="10"/>
      <c r="N30" s="10"/>
      <c r="O30" s="10"/>
      <c r="P30" s="10"/>
      <c r="Q30" s="10"/>
      <c r="R30" s="10"/>
      <c r="S30" s="10"/>
      <c r="T30" s="93"/>
      <c r="Y30" s="132"/>
      <c r="AU30" s="6" t="s">
        <v>309</v>
      </c>
      <c r="AV30" s="133">
        <v>57</v>
      </c>
      <c r="AW30"/>
      <c r="WD30" s="13"/>
    </row>
    <row r="31" spans="2:602" s="305"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05"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8</v>
      </c>
      <c r="AW32"/>
      <c r="WD32" s="13"/>
    </row>
    <row r="33" spans="2:602" s="305"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05" customFormat="1" x14ac:dyDescent="0.3">
      <c r="B34" s="95"/>
      <c r="F34" s="10"/>
      <c r="G34" s="10"/>
      <c r="H34" s="10"/>
      <c r="I34" s="10"/>
      <c r="J34" s="10"/>
      <c r="K34" s="10"/>
      <c r="L34" s="10"/>
      <c r="M34" s="10"/>
      <c r="N34" s="10"/>
      <c r="O34" s="10"/>
      <c r="P34" s="10"/>
      <c r="Q34" s="10"/>
      <c r="R34" s="10"/>
      <c r="S34" s="10"/>
      <c r="T34" s="93"/>
      <c r="Y34" s="132"/>
      <c r="AU34" s="6" t="s">
        <v>288</v>
      </c>
      <c r="AV34" s="133">
        <v>21</v>
      </c>
      <c r="AW34"/>
      <c r="WD34" s="13"/>
    </row>
    <row r="35" spans="2:602" s="305" customFormat="1" x14ac:dyDescent="0.3">
      <c r="B35" s="95"/>
      <c r="F35" s="10"/>
      <c r="G35" s="10"/>
      <c r="H35" s="10"/>
      <c r="I35" s="10"/>
      <c r="J35" s="10"/>
      <c r="K35" s="10"/>
      <c r="L35" s="10"/>
      <c r="M35" s="10"/>
      <c r="N35" s="10"/>
      <c r="O35" s="10"/>
      <c r="P35" s="10"/>
      <c r="Q35" s="10"/>
      <c r="R35" s="10"/>
      <c r="S35" s="10"/>
      <c r="T35" s="93"/>
      <c r="Y35" s="132"/>
      <c r="AU35" s="6" t="s">
        <v>230</v>
      </c>
      <c r="AV35" s="133">
        <v>4</v>
      </c>
      <c r="AW35"/>
      <c r="WD35" s="13"/>
    </row>
    <row r="36" spans="2:602" s="305" customFormat="1" x14ac:dyDescent="0.3">
      <c r="B36" s="95"/>
      <c r="F36" s="10"/>
      <c r="G36" s="10"/>
      <c r="H36" s="10"/>
      <c r="I36" s="10"/>
      <c r="J36" s="10"/>
      <c r="K36" s="10"/>
      <c r="L36" s="10"/>
      <c r="M36" s="10"/>
      <c r="N36" s="10"/>
      <c r="O36" s="10"/>
      <c r="P36" s="10"/>
      <c r="Q36" s="10"/>
      <c r="R36" s="10"/>
      <c r="S36" s="10"/>
      <c r="T36" s="93"/>
      <c r="Y36" s="132"/>
      <c r="AU36" s="6" t="s">
        <v>173</v>
      </c>
      <c r="AV36" s="133">
        <v>22</v>
      </c>
      <c r="AW36"/>
      <c r="WD36" s="13"/>
    </row>
    <row r="37" spans="2:602" s="305" customFormat="1" x14ac:dyDescent="0.3">
      <c r="B37" s="95"/>
      <c r="F37" s="10"/>
      <c r="G37" s="10"/>
      <c r="H37" s="10"/>
      <c r="I37" s="10"/>
      <c r="J37" s="10"/>
      <c r="K37" s="10"/>
      <c r="L37" s="10"/>
      <c r="M37" s="10"/>
      <c r="N37" s="10"/>
      <c r="O37" s="10"/>
      <c r="P37" s="10"/>
      <c r="Q37" s="10"/>
      <c r="R37" s="10"/>
      <c r="S37" s="10"/>
      <c r="T37" s="93"/>
      <c r="Y37" s="132"/>
      <c r="AU37" s="6" t="s">
        <v>361</v>
      </c>
      <c r="AV37" s="133">
        <v>2</v>
      </c>
      <c r="AW37"/>
      <c r="WD37" s="13"/>
    </row>
    <row r="38" spans="2:602" s="305" customFormat="1" x14ac:dyDescent="0.3">
      <c r="B38" s="95"/>
      <c r="F38" s="10"/>
      <c r="G38" s="10"/>
      <c r="H38" s="10"/>
      <c r="I38" s="10"/>
      <c r="J38" s="10"/>
      <c r="K38" s="10"/>
      <c r="L38" s="10"/>
      <c r="M38" s="10"/>
      <c r="N38" s="10"/>
      <c r="O38" s="10"/>
      <c r="P38" s="10"/>
      <c r="Q38" s="10"/>
      <c r="R38" s="10"/>
      <c r="S38" s="10"/>
      <c r="T38" s="93"/>
      <c r="Y38" s="132"/>
      <c r="AR38" s="433"/>
      <c r="AU38" s="6" t="s">
        <v>299</v>
      </c>
      <c r="AV38" s="133">
        <v>2</v>
      </c>
      <c r="AW38"/>
      <c r="WD38" s="13"/>
    </row>
    <row r="39" spans="2:602" s="305" customFormat="1" x14ac:dyDescent="0.3">
      <c r="B39" s="95"/>
      <c r="F39" s="10"/>
      <c r="G39" s="10"/>
      <c r="H39" s="10"/>
      <c r="I39" s="10"/>
      <c r="J39" s="10"/>
      <c r="K39" s="10"/>
      <c r="L39" s="10"/>
      <c r="M39" s="10"/>
      <c r="N39" s="10"/>
      <c r="O39" s="10"/>
      <c r="P39" s="10"/>
      <c r="Q39" s="10"/>
      <c r="R39" s="10"/>
      <c r="S39" s="10"/>
      <c r="T39" s="93"/>
      <c r="Y39" s="132"/>
      <c r="AR39" s="13">
        <f>COUNTIF(AV41:AV54,"&gt;5/1/2017")</f>
        <v>0</v>
      </c>
      <c r="AU39" s="6" t="s">
        <v>166</v>
      </c>
      <c r="AV39" s="133">
        <v>1</v>
      </c>
      <c r="AW39"/>
      <c r="WD39" s="13"/>
    </row>
    <row r="40" spans="2:602" s="305" customFormat="1" x14ac:dyDescent="0.3">
      <c r="B40" s="95"/>
      <c r="F40" s="10"/>
      <c r="G40" s="10"/>
      <c r="H40" s="10"/>
      <c r="I40" s="10"/>
      <c r="J40" s="10"/>
      <c r="K40" s="10"/>
      <c r="L40" s="10"/>
      <c r="M40" s="10"/>
      <c r="N40" s="10"/>
      <c r="O40" s="10"/>
      <c r="P40" s="10"/>
      <c r="Q40" s="10"/>
      <c r="R40" s="10"/>
      <c r="S40" s="10"/>
      <c r="T40" s="93"/>
      <c r="Y40" s="132"/>
      <c r="AU40" s="6" t="s">
        <v>411</v>
      </c>
      <c r="AV40" s="133">
        <v>355</v>
      </c>
      <c r="AW40"/>
      <c r="WD40" s="13"/>
    </row>
    <row r="41" spans="2:602" s="305" customFormat="1" x14ac:dyDescent="0.3">
      <c r="B41" s="95"/>
      <c r="F41" s="10"/>
      <c r="G41" s="10"/>
      <c r="H41" s="10"/>
      <c r="I41" s="10"/>
      <c r="J41" s="10"/>
      <c r="K41" s="10"/>
      <c r="L41" s="10"/>
      <c r="M41" s="10"/>
      <c r="N41" s="10"/>
      <c r="O41" s="10"/>
      <c r="P41" s="10"/>
      <c r="Q41" s="10"/>
      <c r="R41" s="10"/>
      <c r="S41" s="10"/>
      <c r="T41" s="93"/>
      <c r="Y41" s="132"/>
      <c r="AU41"/>
      <c r="AV41"/>
      <c r="WD41" s="13"/>
    </row>
    <row r="42" spans="2:602" s="305" customFormat="1" x14ac:dyDescent="0.3">
      <c r="B42" s="95"/>
      <c r="F42" s="10"/>
      <c r="G42" s="10"/>
      <c r="H42" s="10"/>
      <c r="I42" s="10"/>
      <c r="J42" s="10"/>
      <c r="K42" s="10"/>
      <c r="L42" s="10"/>
      <c r="M42" s="10"/>
      <c r="N42" s="10"/>
      <c r="O42" s="10"/>
      <c r="P42" s="10"/>
      <c r="Q42" s="10"/>
      <c r="R42" s="10"/>
      <c r="S42" s="10"/>
      <c r="T42" s="93"/>
      <c r="Y42" s="132"/>
      <c r="AU42"/>
      <c r="AV42"/>
      <c r="WD42" s="13"/>
    </row>
    <row r="43" spans="2:602" s="305" customFormat="1" x14ac:dyDescent="0.3">
      <c r="B43" s="95"/>
      <c r="F43" s="10"/>
      <c r="G43" s="10"/>
      <c r="H43" s="10"/>
      <c r="I43" s="10"/>
      <c r="J43" s="10"/>
      <c r="K43" s="10"/>
      <c r="L43" s="10"/>
      <c r="M43" s="10"/>
      <c r="N43" s="10"/>
      <c r="O43" s="10"/>
      <c r="P43" s="10"/>
      <c r="Q43" s="10"/>
      <c r="R43" s="10"/>
      <c r="S43" s="10"/>
      <c r="T43" s="93"/>
      <c r="Y43" s="132"/>
      <c r="AU43"/>
      <c r="AV43"/>
      <c r="WD43" s="13"/>
    </row>
    <row r="44" spans="2:602" s="305" customFormat="1" x14ac:dyDescent="0.3">
      <c r="B44" s="95"/>
      <c r="F44" s="10"/>
      <c r="G44" s="10"/>
      <c r="H44" s="10"/>
      <c r="I44" s="10"/>
      <c r="J44" s="10"/>
      <c r="K44" s="10"/>
      <c r="L44" s="10"/>
      <c r="M44" s="10"/>
      <c r="N44" s="10"/>
      <c r="O44" s="10"/>
      <c r="P44" s="10"/>
      <c r="Q44" s="10"/>
      <c r="R44" s="10"/>
      <c r="S44" s="10"/>
      <c r="T44" s="93"/>
      <c r="Y44" s="132"/>
      <c r="AU44"/>
      <c r="AV44"/>
      <c r="WD44" s="13"/>
    </row>
    <row r="45" spans="2:602" s="305" customFormat="1" x14ac:dyDescent="0.3">
      <c r="B45" s="95"/>
      <c r="C45" s="10"/>
      <c r="D45" s="10"/>
      <c r="E45" s="10"/>
      <c r="F45" s="10"/>
      <c r="G45" s="10"/>
      <c r="H45" s="10"/>
      <c r="I45" s="10"/>
      <c r="J45" s="10"/>
      <c r="K45" s="10"/>
      <c r="L45" s="10"/>
      <c r="M45" s="10"/>
      <c r="N45" s="10"/>
      <c r="O45" s="10"/>
      <c r="P45" s="10"/>
      <c r="Q45" s="10"/>
      <c r="R45" s="10"/>
      <c r="S45" s="10"/>
      <c r="T45" s="93"/>
      <c r="Y45" s="132"/>
      <c r="AU45"/>
      <c r="AV45"/>
      <c r="WD45" s="13"/>
    </row>
    <row r="46" spans="2:602" s="305" customFormat="1" x14ac:dyDescent="0.3">
      <c r="B46" s="95"/>
      <c r="F46" s="10"/>
      <c r="G46" s="10"/>
      <c r="H46" s="10"/>
      <c r="I46" s="10"/>
      <c r="J46" s="10"/>
      <c r="K46" s="10"/>
      <c r="L46" s="10"/>
      <c r="M46" s="10"/>
      <c r="N46" s="10"/>
      <c r="O46" s="10"/>
      <c r="P46" s="10"/>
      <c r="Q46" s="10"/>
      <c r="R46" s="10"/>
      <c r="S46" s="10"/>
      <c r="T46" s="93"/>
      <c r="Y46" s="132"/>
      <c r="AU46"/>
      <c r="AV46"/>
      <c r="WD46" s="13"/>
    </row>
    <row r="47" spans="2:602" s="305" customFormat="1" ht="12.75" customHeight="1" x14ac:dyDescent="0.3">
      <c r="B47" s="95"/>
      <c r="F47" s="10"/>
      <c r="G47" s="10"/>
      <c r="H47" s="10"/>
      <c r="I47" s="10"/>
      <c r="J47" s="10"/>
      <c r="K47" s="10"/>
      <c r="L47" s="10"/>
      <c r="M47" s="10"/>
      <c r="N47" s="10"/>
      <c r="O47" s="10"/>
      <c r="P47" s="10"/>
      <c r="Q47" s="10"/>
      <c r="R47" s="10"/>
      <c r="S47" s="10"/>
      <c r="T47" s="93"/>
      <c r="Y47" s="132"/>
      <c r="AU47"/>
      <c r="AV47"/>
      <c r="WD47" s="13"/>
    </row>
    <row r="48" spans="2:602" s="305" customFormat="1" x14ac:dyDescent="0.3">
      <c r="B48" s="95"/>
      <c r="F48" s="10"/>
      <c r="G48" s="10"/>
      <c r="H48" s="10"/>
      <c r="I48" s="10"/>
      <c r="J48" s="10"/>
      <c r="K48" s="10"/>
      <c r="L48" s="10"/>
      <c r="M48" s="10"/>
      <c r="N48" s="10"/>
      <c r="O48" s="10"/>
      <c r="P48" s="10"/>
      <c r="Q48" s="10"/>
      <c r="R48" s="10"/>
      <c r="S48" s="10"/>
      <c r="T48" s="93"/>
      <c r="Y48" s="132"/>
      <c r="AU48"/>
      <c r="AV48"/>
      <c r="WD48" s="13"/>
    </row>
    <row r="49" spans="2:602" s="305" customFormat="1" ht="12.75" customHeight="1" x14ac:dyDescent="0.3">
      <c r="B49" s="95"/>
      <c r="F49" s="10"/>
      <c r="G49" s="10"/>
      <c r="H49" s="10"/>
      <c r="I49" s="10"/>
      <c r="J49" s="10"/>
      <c r="K49" s="10"/>
      <c r="L49" s="10"/>
      <c r="M49" s="10"/>
      <c r="N49" s="10"/>
      <c r="O49" s="10"/>
      <c r="P49" s="10"/>
      <c r="Q49" s="10"/>
      <c r="R49" s="10"/>
      <c r="S49" s="10"/>
      <c r="T49" s="93"/>
      <c r="Y49" s="132"/>
      <c r="AU49"/>
      <c r="AV49"/>
      <c r="WD49" s="13"/>
    </row>
    <row r="50" spans="2:602" s="305" customFormat="1" ht="12.75" customHeight="1" x14ac:dyDescent="0.3">
      <c r="B50" s="95"/>
      <c r="F50" s="10"/>
      <c r="G50" s="10"/>
      <c r="H50" s="10"/>
      <c r="I50" s="10"/>
      <c r="J50" s="10"/>
      <c r="K50" s="10"/>
      <c r="L50" s="10"/>
      <c r="M50" s="10"/>
      <c r="N50" s="10"/>
      <c r="O50" s="10"/>
      <c r="P50" s="10"/>
      <c r="Q50" s="10"/>
      <c r="R50" s="10"/>
      <c r="S50" s="10"/>
      <c r="T50" s="93"/>
      <c r="Y50" s="132"/>
      <c r="AU50"/>
      <c r="AV50"/>
      <c r="WD50" s="13"/>
    </row>
    <row r="51" spans="2:602" s="305" customFormat="1" ht="12.75" customHeight="1" x14ac:dyDescent="0.3">
      <c r="B51" s="95"/>
      <c r="F51" s="10"/>
      <c r="G51" s="10"/>
      <c r="H51" s="10"/>
      <c r="I51" s="10"/>
      <c r="J51" s="10"/>
      <c r="K51" s="10"/>
      <c r="L51" s="10"/>
      <c r="M51" s="10"/>
      <c r="N51" s="10"/>
      <c r="O51" s="10"/>
      <c r="P51" s="10"/>
      <c r="Q51" s="10"/>
      <c r="R51" s="10"/>
      <c r="S51" s="10"/>
      <c r="T51" s="93"/>
      <c r="Y51" s="132"/>
      <c r="AU51"/>
      <c r="AV51"/>
      <c r="WD51" s="13"/>
    </row>
    <row r="52" spans="2:602" s="305" customFormat="1" ht="12.75" customHeight="1" x14ac:dyDescent="0.3">
      <c r="B52" s="95"/>
      <c r="F52" s="10"/>
      <c r="G52" s="10"/>
      <c r="H52" s="10"/>
      <c r="I52" s="10"/>
      <c r="J52" s="10"/>
      <c r="K52" s="10"/>
      <c r="L52" s="10"/>
      <c r="M52" s="10"/>
      <c r="N52" s="10"/>
      <c r="O52" s="10"/>
      <c r="P52" s="10"/>
      <c r="Q52" s="10"/>
      <c r="R52" s="10"/>
      <c r="S52" s="10"/>
      <c r="T52" s="93"/>
      <c r="Y52" s="132"/>
      <c r="AU52"/>
      <c r="AV52"/>
      <c r="WD52" s="13"/>
    </row>
    <row r="53" spans="2:602" s="305" customFormat="1" ht="12.75" customHeight="1" x14ac:dyDescent="0.3">
      <c r="B53" s="95"/>
      <c r="F53" s="10"/>
      <c r="G53" s="10"/>
      <c r="H53" s="10"/>
      <c r="I53" s="10"/>
      <c r="J53" s="10"/>
      <c r="K53" s="10"/>
      <c r="L53" s="10"/>
      <c r="M53" s="10"/>
      <c r="N53" s="10"/>
      <c r="O53" s="10"/>
      <c r="P53" s="10"/>
      <c r="Q53" s="10"/>
      <c r="R53" s="10"/>
      <c r="S53" s="10"/>
      <c r="T53" s="93"/>
      <c r="Y53" s="132"/>
      <c r="AU53"/>
      <c r="AV53"/>
      <c r="WD53" s="13"/>
    </row>
    <row r="54" spans="2:602" ht="12.75" customHeight="1" x14ac:dyDescent="0.3">
      <c r="B54" s="95"/>
      <c r="F54" s="10"/>
      <c r="G54" s="10"/>
      <c r="H54" s="10"/>
      <c r="I54" s="10"/>
      <c r="J54" s="10"/>
      <c r="K54" s="10"/>
      <c r="L54" s="10"/>
      <c r="M54" s="10"/>
      <c r="N54" s="10"/>
      <c r="O54" s="10"/>
      <c r="P54" s="10"/>
      <c r="Q54" s="10"/>
      <c r="R54" s="10"/>
      <c r="S54" s="10"/>
      <c r="T54" s="93"/>
      <c r="AU54"/>
      <c r="AV54"/>
    </row>
    <row r="55" spans="2:602" ht="12.75" customHeight="1" x14ac:dyDescent="0.3">
      <c r="B55" s="95"/>
      <c r="F55" s="10"/>
      <c r="G55" s="10"/>
      <c r="H55" s="10"/>
      <c r="I55" s="10"/>
      <c r="J55" s="10"/>
      <c r="K55" s="10"/>
      <c r="L55" s="10"/>
      <c r="M55" s="10"/>
      <c r="N55" s="10"/>
      <c r="O55" s="10"/>
      <c r="P55" s="10"/>
      <c r="Q55" s="10"/>
      <c r="R55" s="10"/>
      <c r="S55" s="10"/>
      <c r="T55" s="93"/>
      <c r="AU55"/>
      <c r="AV55"/>
    </row>
    <row r="56" spans="2:602" x14ac:dyDescent="0.3">
      <c r="B56" s="95"/>
      <c r="F56" s="10"/>
      <c r="G56" s="10"/>
      <c r="H56" s="10"/>
      <c r="I56" s="10"/>
      <c r="J56" s="10"/>
      <c r="K56" s="10"/>
      <c r="L56" s="10"/>
      <c r="M56" s="10"/>
      <c r="N56" s="10"/>
      <c r="O56" s="10"/>
      <c r="P56" s="10"/>
      <c r="Q56" s="10"/>
      <c r="R56" s="10"/>
      <c r="S56" s="10"/>
      <c r="T56" s="93"/>
      <c r="AU56"/>
      <c r="AV56"/>
    </row>
    <row r="57" spans="2:602" ht="26.25" customHeight="1" x14ac:dyDescent="0.3">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c r="AV58"/>
    </row>
    <row r="59" spans="2:602" hidden="1" x14ac:dyDescent="0.3">
      <c r="C59" s="4"/>
      <c r="D59" s="4"/>
      <c r="E59" s="4"/>
      <c r="F59" s="4"/>
      <c r="N59" s="4"/>
      <c r="O59" s="4"/>
      <c r="P59" s="4"/>
      <c r="Q59" s="4"/>
      <c r="AU59"/>
      <c r="AV59"/>
    </row>
    <row r="60" spans="2:602" ht="15" hidden="1" thickBot="1" x14ac:dyDescent="0.35">
      <c r="G60" s="139" t="s">
        <v>458</v>
      </c>
      <c r="H60" s="305" t="s">
        <v>460</v>
      </c>
      <c r="I60" s="92"/>
      <c r="J60" s="92"/>
      <c r="K60" s="92"/>
      <c r="L60" s="92"/>
      <c r="M60" s="92"/>
      <c r="AU60"/>
      <c r="AV60"/>
    </row>
    <row r="61" spans="2:602" ht="28.5" hidden="1" customHeight="1" x14ac:dyDescent="0.3">
      <c r="G61" s="139" t="s">
        <v>964</v>
      </c>
      <c r="H61" s="305" t="s">
        <v>958</v>
      </c>
      <c r="I61" s="4"/>
      <c r="J61" s="4"/>
      <c r="K61" s="4"/>
      <c r="L61" s="4"/>
      <c r="M61" s="4"/>
      <c r="AU61"/>
      <c r="AV61"/>
    </row>
    <row r="62" spans="2:602" hidden="1" x14ac:dyDescent="0.3">
      <c r="AU62"/>
      <c r="AV62"/>
    </row>
    <row r="63" spans="2:602" hidden="1" x14ac:dyDescent="0.3">
      <c r="G63" s="139" t="s">
        <v>410</v>
      </c>
      <c r="H63" s="305" t="s">
        <v>1021</v>
      </c>
      <c r="I63" s="305" t="s">
        <v>1223</v>
      </c>
      <c r="J63" s="305" t="s">
        <v>1224</v>
      </c>
      <c r="K63" s="305" t="s">
        <v>1225</v>
      </c>
      <c r="L63" s="305" t="s">
        <v>1022</v>
      </c>
      <c r="M63" s="305" t="s">
        <v>1023</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1261</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05" t="s">
        <v>1222</v>
      </c>
      <c r="D68" s="305" t="s">
        <v>1223</v>
      </c>
      <c r="E68" s="305" t="s">
        <v>1224</v>
      </c>
      <c r="F68" s="305" t="s">
        <v>1225</v>
      </c>
      <c r="G68" s="305" t="s">
        <v>1022</v>
      </c>
      <c r="H68" s="305" t="s">
        <v>1023</v>
      </c>
      <c r="I68"/>
      <c r="J68"/>
      <c r="K68"/>
      <c r="L68"/>
      <c r="M68"/>
      <c r="AU68"/>
      <c r="AV68"/>
    </row>
    <row r="69" spans="3:48" hidden="1" x14ac:dyDescent="0.3">
      <c r="C69" s="133">
        <v>6095</v>
      </c>
      <c r="D69" s="133">
        <v>2051</v>
      </c>
      <c r="E69" s="133">
        <v>11250</v>
      </c>
      <c r="F69" s="133">
        <v>3205</v>
      </c>
      <c r="G69" s="133">
        <v>1808</v>
      </c>
      <c r="H69" s="133">
        <v>6472</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topLeftCell="E1" workbookViewId="0">
      <selection activeCell="K13" sqref="K13"/>
    </sheetView>
  </sheetViews>
  <sheetFormatPr defaultColWidth="8.88671875" defaultRowHeight="14.4" x14ac:dyDescent="0.3"/>
  <cols>
    <col min="1" max="1" width="19" style="305" customWidth="1"/>
    <col min="2" max="2" width="12.44140625" style="305" customWidth="1"/>
    <col min="3" max="5" width="8.88671875" style="305"/>
    <col min="6" max="6" width="14.33203125" style="305" customWidth="1"/>
    <col min="7" max="7" width="22.5546875" style="305" customWidth="1"/>
    <col min="8" max="8" width="20" style="305" customWidth="1"/>
    <col min="9" max="9" width="23.5546875" style="305" customWidth="1"/>
    <col min="10" max="16384" width="8.88671875" style="305"/>
  </cols>
  <sheetData>
    <row r="1" spans="1:10" x14ac:dyDescent="0.3">
      <c r="A1" s="450" t="s">
        <v>1556</v>
      </c>
      <c r="B1" s="450" t="s">
        <v>392</v>
      </c>
      <c r="C1" s="450" t="s">
        <v>392</v>
      </c>
      <c r="D1" s="450" t="s">
        <v>0</v>
      </c>
      <c r="E1" s="450" t="s">
        <v>392</v>
      </c>
      <c r="F1" s="450" t="s">
        <v>0</v>
      </c>
      <c r="G1" s="450" t="s">
        <v>1454</v>
      </c>
      <c r="H1" s="450" t="s">
        <v>1455</v>
      </c>
      <c r="I1" s="450" t="s">
        <v>1456</v>
      </c>
    </row>
    <row r="2" spans="1:10" x14ac:dyDescent="0.3">
      <c r="A2" s="305" t="s">
        <v>1457</v>
      </c>
      <c r="B2" s="305" t="s">
        <v>378</v>
      </c>
      <c r="C2" s="305" t="s">
        <v>378</v>
      </c>
      <c r="D2" s="305" t="s">
        <v>5</v>
      </c>
      <c r="E2" s="305" t="s">
        <v>378</v>
      </c>
      <c r="F2" s="305" t="s">
        <v>5</v>
      </c>
      <c r="G2" s="305" t="s">
        <v>1458</v>
      </c>
      <c r="H2" s="305" t="s">
        <v>4</v>
      </c>
      <c r="I2" s="305" t="s">
        <v>1459</v>
      </c>
      <c r="J2" s="305" t="s">
        <v>1460</v>
      </c>
    </row>
    <row r="3" spans="1:10" x14ac:dyDescent="0.3">
      <c r="A3" s="305" t="s">
        <v>1461</v>
      </c>
      <c r="B3" s="305" t="s">
        <v>506</v>
      </c>
      <c r="C3" s="305" t="s">
        <v>378</v>
      </c>
      <c r="D3" s="305" t="s">
        <v>27</v>
      </c>
      <c r="E3" s="305" t="s">
        <v>378</v>
      </c>
      <c r="F3" s="305" t="s">
        <v>5</v>
      </c>
      <c r="G3" s="305" t="s">
        <v>12</v>
      </c>
      <c r="H3" s="305" t="s">
        <v>11</v>
      </c>
      <c r="I3" s="305" t="s">
        <v>1462</v>
      </c>
      <c r="J3" s="305" t="s">
        <v>1463</v>
      </c>
    </row>
    <row r="4" spans="1:10" x14ac:dyDescent="0.3">
      <c r="A4" s="305" t="s">
        <v>1561</v>
      </c>
      <c r="C4" s="305" t="s">
        <v>378</v>
      </c>
      <c r="D4" s="305" t="s">
        <v>480</v>
      </c>
      <c r="E4" s="305" t="s">
        <v>378</v>
      </c>
      <c r="F4" s="305" t="s">
        <v>5</v>
      </c>
      <c r="G4" s="305" t="s">
        <v>22</v>
      </c>
      <c r="H4" s="305" t="s">
        <v>21</v>
      </c>
      <c r="I4" s="305" t="s">
        <v>1464</v>
      </c>
    </row>
    <row r="5" spans="1:10" x14ac:dyDescent="0.3">
      <c r="A5" s="305" t="s">
        <v>424</v>
      </c>
      <c r="C5" s="305" t="s">
        <v>378</v>
      </c>
      <c r="D5" s="305" t="s">
        <v>151</v>
      </c>
      <c r="E5" s="305" t="s">
        <v>378</v>
      </c>
      <c r="F5" s="305" t="s">
        <v>5</v>
      </c>
      <c r="G5" s="305" t="s">
        <v>14</v>
      </c>
      <c r="H5" s="305" t="s">
        <v>13</v>
      </c>
      <c r="I5" s="305" t="s">
        <v>1465</v>
      </c>
    </row>
    <row r="6" spans="1:10" x14ac:dyDescent="0.3">
      <c r="A6" s="305" t="s">
        <v>1304</v>
      </c>
      <c r="C6" s="305" t="s">
        <v>378</v>
      </c>
      <c r="D6" s="305" t="s">
        <v>173</v>
      </c>
      <c r="E6" s="305" t="s">
        <v>378</v>
      </c>
      <c r="F6" s="305" t="s">
        <v>5</v>
      </c>
      <c r="G6" s="305" t="s">
        <v>1466</v>
      </c>
      <c r="H6" s="305" t="s">
        <v>19</v>
      </c>
    </row>
    <row r="7" spans="1:10" x14ac:dyDescent="0.3">
      <c r="A7" s="305" t="s">
        <v>1467</v>
      </c>
      <c r="C7" s="305" t="s">
        <v>378</v>
      </c>
      <c r="D7" s="305" t="s">
        <v>180</v>
      </c>
      <c r="E7" s="305" t="s">
        <v>378</v>
      </c>
      <c r="F7" s="305" t="s">
        <v>5</v>
      </c>
      <c r="G7" s="305" t="s">
        <v>18</v>
      </c>
      <c r="H7" s="305" t="s">
        <v>17</v>
      </c>
    </row>
    <row r="8" spans="1:10" x14ac:dyDescent="0.3">
      <c r="A8" s="305" t="s">
        <v>1468</v>
      </c>
      <c r="C8" s="305" t="s">
        <v>378</v>
      </c>
      <c r="D8" s="305" t="s">
        <v>185</v>
      </c>
      <c r="E8" s="305" t="s">
        <v>378</v>
      </c>
      <c r="F8" s="305" t="s">
        <v>5</v>
      </c>
      <c r="G8" s="305" t="s">
        <v>364</v>
      </c>
      <c r="H8" s="305" t="s">
        <v>374</v>
      </c>
    </row>
    <row r="9" spans="1:10" x14ac:dyDescent="0.3">
      <c r="A9" s="305" t="s">
        <v>778</v>
      </c>
      <c r="C9" s="305" t="s">
        <v>378</v>
      </c>
      <c r="D9" s="305" t="s">
        <v>237</v>
      </c>
      <c r="E9" s="305" t="s">
        <v>378</v>
      </c>
      <c r="F9" s="305" t="s">
        <v>5</v>
      </c>
      <c r="G9" s="305" t="s">
        <v>1469</v>
      </c>
      <c r="H9" s="305" t="s">
        <v>375</v>
      </c>
    </row>
    <row r="10" spans="1:10" x14ac:dyDescent="0.3">
      <c r="A10" s="305" t="s">
        <v>1470</v>
      </c>
      <c r="C10" s="305" t="s">
        <v>378</v>
      </c>
      <c r="D10" s="305" t="s">
        <v>299</v>
      </c>
      <c r="E10" s="305" t="s">
        <v>378</v>
      </c>
      <c r="F10" s="305" t="s">
        <v>5</v>
      </c>
      <c r="G10" s="305" t="s">
        <v>8</v>
      </c>
      <c r="H10" s="305" t="s">
        <v>7</v>
      </c>
    </row>
    <row r="11" spans="1:10" x14ac:dyDescent="0.3">
      <c r="A11" s="305" t="s">
        <v>1261</v>
      </c>
      <c r="C11" s="305" t="s">
        <v>378</v>
      </c>
      <c r="D11" s="305" t="s">
        <v>301</v>
      </c>
      <c r="E11" s="305" t="s">
        <v>378</v>
      </c>
      <c r="F11" s="305" t="s">
        <v>5</v>
      </c>
      <c r="G11" s="305" t="s">
        <v>26</v>
      </c>
      <c r="H11" s="305" t="s">
        <v>25</v>
      </c>
    </row>
    <row r="12" spans="1:10" x14ac:dyDescent="0.3">
      <c r="A12" s="305" t="s">
        <v>462</v>
      </c>
      <c r="C12" s="305" t="s">
        <v>378</v>
      </c>
      <c r="D12" s="305" t="s">
        <v>746</v>
      </c>
      <c r="E12" s="305" t="s">
        <v>378</v>
      </c>
      <c r="F12" s="305" t="s">
        <v>5</v>
      </c>
      <c r="G12" s="305" t="s">
        <v>24</v>
      </c>
      <c r="H12" s="305" t="s">
        <v>23</v>
      </c>
    </row>
    <row r="13" spans="1:10" x14ac:dyDescent="0.3">
      <c r="A13" s="305" t="s">
        <v>1471</v>
      </c>
      <c r="C13" s="305" t="s">
        <v>378</v>
      </c>
      <c r="D13" s="305" t="s">
        <v>1136</v>
      </c>
      <c r="E13" s="305" t="s">
        <v>378</v>
      </c>
      <c r="F13" s="305" t="s">
        <v>27</v>
      </c>
      <c r="G13" s="305" t="s">
        <v>1472</v>
      </c>
      <c r="H13" s="305" t="s">
        <v>29</v>
      </c>
    </row>
    <row r="14" spans="1:10" x14ac:dyDescent="0.3">
      <c r="A14" s="305" t="s">
        <v>1378</v>
      </c>
      <c r="C14" s="305" t="s">
        <v>378</v>
      </c>
      <c r="D14" s="305" t="s">
        <v>309</v>
      </c>
      <c r="E14" s="305" t="s">
        <v>378</v>
      </c>
      <c r="F14" s="305" t="s">
        <v>27</v>
      </c>
      <c r="G14" s="305" t="s">
        <v>28</v>
      </c>
      <c r="H14" s="305" t="s">
        <v>30</v>
      </c>
    </row>
    <row r="15" spans="1:10" x14ac:dyDescent="0.3">
      <c r="A15" s="305" t="s">
        <v>420</v>
      </c>
      <c r="C15" s="305" t="s">
        <v>506</v>
      </c>
      <c r="D15" s="305" t="s">
        <v>719</v>
      </c>
      <c r="E15" s="305" t="s">
        <v>378</v>
      </c>
      <c r="F15" s="305" t="s">
        <v>27</v>
      </c>
      <c r="G15" s="305" t="s">
        <v>790</v>
      </c>
      <c r="H15" s="305" t="s">
        <v>789</v>
      </c>
    </row>
    <row r="16" spans="1:10" x14ac:dyDescent="0.3">
      <c r="A16" s="305" t="s">
        <v>773</v>
      </c>
      <c r="C16" s="305" t="s">
        <v>506</v>
      </c>
      <c r="D16" s="305" t="s">
        <v>146</v>
      </c>
      <c r="E16" s="305" t="s">
        <v>378</v>
      </c>
      <c r="F16" s="305" t="s">
        <v>27</v>
      </c>
      <c r="G16" s="305" t="s">
        <v>875</v>
      </c>
      <c r="H16" s="305" t="s">
        <v>876</v>
      </c>
    </row>
    <row r="17" spans="1:8" x14ac:dyDescent="0.3">
      <c r="A17" s="305" t="s">
        <v>825</v>
      </c>
      <c r="C17" s="305" t="s">
        <v>506</v>
      </c>
      <c r="D17" s="305" t="s">
        <v>166</v>
      </c>
      <c r="E17" s="305" t="s">
        <v>378</v>
      </c>
      <c r="F17" s="305" t="s">
        <v>27</v>
      </c>
      <c r="G17" s="305" t="s">
        <v>363</v>
      </c>
      <c r="H17" s="305" t="s">
        <v>376</v>
      </c>
    </row>
    <row r="18" spans="1:8" x14ac:dyDescent="0.3">
      <c r="A18" s="305" t="s">
        <v>1555</v>
      </c>
      <c r="C18" s="305" t="s">
        <v>506</v>
      </c>
      <c r="D18" s="305" t="s">
        <v>230</v>
      </c>
      <c r="E18" s="305" t="s">
        <v>378</v>
      </c>
      <c r="F18" s="305" t="s">
        <v>480</v>
      </c>
      <c r="G18" s="305" t="s">
        <v>1473</v>
      </c>
      <c r="H18" s="305" t="s">
        <v>119</v>
      </c>
    </row>
    <row r="19" spans="1:8" x14ac:dyDescent="0.3">
      <c r="A19" s="305" t="s">
        <v>1557</v>
      </c>
      <c r="C19" s="305" t="s">
        <v>506</v>
      </c>
      <c r="D19" s="305" t="s">
        <v>288</v>
      </c>
      <c r="E19" s="305" t="s">
        <v>378</v>
      </c>
      <c r="F19" s="305" t="s">
        <v>480</v>
      </c>
      <c r="G19" s="305" t="s">
        <v>140</v>
      </c>
      <c r="H19" s="305" t="s">
        <v>139</v>
      </c>
    </row>
    <row r="20" spans="1:8" x14ac:dyDescent="0.3">
      <c r="A20" s="305" t="s">
        <v>1558</v>
      </c>
      <c r="C20" s="305" t="s">
        <v>506</v>
      </c>
      <c r="D20" s="305" t="s">
        <v>297</v>
      </c>
      <c r="E20" s="305" t="s">
        <v>378</v>
      </c>
      <c r="F20" s="305" t="s">
        <v>480</v>
      </c>
      <c r="G20" s="305" t="s">
        <v>1474</v>
      </c>
      <c r="H20" s="305" t="s">
        <v>87</v>
      </c>
    </row>
    <row r="21" spans="1:8" x14ac:dyDescent="0.3">
      <c r="A21" s="523" t="s">
        <v>1566</v>
      </c>
      <c r="C21" s="305" t="s">
        <v>506</v>
      </c>
      <c r="D21" s="305" t="s">
        <v>1200</v>
      </c>
      <c r="E21" s="305" t="s">
        <v>378</v>
      </c>
      <c r="F21" s="305" t="s">
        <v>480</v>
      </c>
      <c r="G21" s="305" t="s">
        <v>1475</v>
      </c>
      <c r="H21" s="305" t="s">
        <v>51</v>
      </c>
    </row>
    <row r="22" spans="1:8" x14ac:dyDescent="0.3">
      <c r="A22" s="305" t="s">
        <v>1582</v>
      </c>
      <c r="D22" s="305" t="s">
        <v>717</v>
      </c>
      <c r="E22" s="305" t="s">
        <v>378</v>
      </c>
      <c r="F22" s="305" t="s">
        <v>480</v>
      </c>
      <c r="G22" s="305" t="s">
        <v>1476</v>
      </c>
      <c r="H22" s="305" t="s">
        <v>1270</v>
      </c>
    </row>
    <row r="23" spans="1:8" x14ac:dyDescent="0.3">
      <c r="E23" s="305" t="s">
        <v>378</v>
      </c>
      <c r="F23" s="305" t="s">
        <v>480</v>
      </c>
      <c r="G23" s="305" t="s">
        <v>1477</v>
      </c>
      <c r="H23" s="305" t="s">
        <v>123</v>
      </c>
    </row>
    <row r="24" spans="1:8" x14ac:dyDescent="0.3">
      <c r="E24" s="305" t="s">
        <v>378</v>
      </c>
      <c r="F24" s="305" t="s">
        <v>480</v>
      </c>
      <c r="G24" s="305" t="s">
        <v>1478</v>
      </c>
      <c r="H24" s="305" t="s">
        <v>125</v>
      </c>
    </row>
    <row r="25" spans="1:8" x14ac:dyDescent="0.3">
      <c r="E25" s="305" t="s">
        <v>378</v>
      </c>
      <c r="F25" s="305" t="s">
        <v>480</v>
      </c>
      <c r="G25" s="305" t="s">
        <v>1479</v>
      </c>
      <c r="H25" s="305" t="s">
        <v>1164</v>
      </c>
    </row>
    <row r="26" spans="1:8" x14ac:dyDescent="0.3">
      <c r="E26" s="305" t="s">
        <v>378</v>
      </c>
      <c r="F26" s="305" t="s">
        <v>480</v>
      </c>
      <c r="G26" s="305" t="s">
        <v>1480</v>
      </c>
      <c r="H26" s="305" t="s">
        <v>916</v>
      </c>
    </row>
    <row r="27" spans="1:8" x14ac:dyDescent="0.3">
      <c r="E27" s="305" t="s">
        <v>378</v>
      </c>
      <c r="F27" s="305" t="s">
        <v>480</v>
      </c>
      <c r="G27" s="305" t="s">
        <v>1481</v>
      </c>
      <c r="H27" s="305" t="s">
        <v>1161</v>
      </c>
    </row>
    <row r="28" spans="1:8" x14ac:dyDescent="0.3">
      <c r="E28" s="305" t="s">
        <v>378</v>
      </c>
      <c r="F28" s="305" t="s">
        <v>480</v>
      </c>
      <c r="G28" s="305" t="s">
        <v>100</v>
      </c>
      <c r="H28" s="305" t="s">
        <v>99</v>
      </c>
    </row>
    <row r="29" spans="1:8" x14ac:dyDescent="0.3">
      <c r="E29" s="305" t="s">
        <v>378</v>
      </c>
      <c r="F29" s="305" t="s">
        <v>480</v>
      </c>
      <c r="G29" s="305" t="s">
        <v>72</v>
      </c>
      <c r="H29" s="305" t="s">
        <v>71</v>
      </c>
    </row>
    <row r="30" spans="1:8" x14ac:dyDescent="0.3">
      <c r="E30" s="305" t="s">
        <v>378</v>
      </c>
      <c r="F30" s="305" t="s">
        <v>480</v>
      </c>
      <c r="G30" s="305" t="s">
        <v>92</v>
      </c>
      <c r="H30" s="305" t="s">
        <v>91</v>
      </c>
    </row>
    <row r="31" spans="1:8" x14ac:dyDescent="0.3">
      <c r="E31" s="305" t="s">
        <v>378</v>
      </c>
      <c r="F31" s="305" t="s">
        <v>480</v>
      </c>
      <c r="G31" s="305" t="s">
        <v>108</v>
      </c>
      <c r="H31" s="305" t="s">
        <v>107</v>
      </c>
    </row>
    <row r="32" spans="1:8" x14ac:dyDescent="0.3">
      <c r="E32" s="305" t="s">
        <v>378</v>
      </c>
      <c r="F32" s="305" t="s">
        <v>480</v>
      </c>
      <c r="G32" s="305" t="s">
        <v>1157</v>
      </c>
      <c r="H32" s="305" t="s">
        <v>1163</v>
      </c>
    </row>
    <row r="33" spans="5:8" x14ac:dyDescent="0.3">
      <c r="E33" s="305" t="s">
        <v>378</v>
      </c>
      <c r="F33" s="305" t="s">
        <v>480</v>
      </c>
      <c r="G33" s="305" t="s">
        <v>1482</v>
      </c>
      <c r="H33" s="305" t="s">
        <v>75</v>
      </c>
    </row>
    <row r="34" spans="5:8" x14ac:dyDescent="0.3">
      <c r="E34" s="305" t="s">
        <v>378</v>
      </c>
      <c r="F34" s="305" t="s">
        <v>480</v>
      </c>
      <c r="G34" s="305" t="s">
        <v>41</v>
      </c>
      <c r="H34" s="305" t="s">
        <v>40</v>
      </c>
    </row>
    <row r="35" spans="5:8" x14ac:dyDescent="0.3">
      <c r="E35" s="305" t="s">
        <v>378</v>
      </c>
      <c r="F35" s="305" t="s">
        <v>480</v>
      </c>
      <c r="G35" s="305" t="s">
        <v>90</v>
      </c>
      <c r="H35" s="305" t="s">
        <v>89</v>
      </c>
    </row>
    <row r="36" spans="5:8" x14ac:dyDescent="0.3">
      <c r="E36" s="305" t="s">
        <v>378</v>
      </c>
      <c r="F36" s="305" t="s">
        <v>480</v>
      </c>
      <c r="G36" s="305" t="s">
        <v>118</v>
      </c>
      <c r="H36" s="305" t="s">
        <v>117</v>
      </c>
    </row>
    <row r="37" spans="5:8" x14ac:dyDescent="0.3">
      <c r="E37" s="305" t="s">
        <v>378</v>
      </c>
      <c r="F37" s="305" t="s">
        <v>480</v>
      </c>
      <c r="G37" s="305" t="s">
        <v>43</v>
      </c>
      <c r="H37" s="305" t="s">
        <v>42</v>
      </c>
    </row>
    <row r="38" spans="5:8" x14ac:dyDescent="0.3">
      <c r="E38" s="305" t="s">
        <v>378</v>
      </c>
      <c r="F38" s="305" t="s">
        <v>480</v>
      </c>
      <c r="G38" s="305" t="s">
        <v>44</v>
      </c>
      <c r="H38" s="305" t="s">
        <v>45</v>
      </c>
    </row>
    <row r="39" spans="5:8" x14ac:dyDescent="0.3">
      <c r="E39" s="305" t="s">
        <v>378</v>
      </c>
      <c r="F39" s="305" t="s">
        <v>480</v>
      </c>
      <c r="G39" s="305" t="s">
        <v>551</v>
      </c>
      <c r="H39" s="305" t="s">
        <v>46</v>
      </c>
    </row>
    <row r="40" spans="5:8" x14ac:dyDescent="0.3">
      <c r="E40" s="305" t="s">
        <v>378</v>
      </c>
      <c r="F40" s="305" t="s">
        <v>151</v>
      </c>
      <c r="G40" s="305" t="s">
        <v>188</v>
      </c>
      <c r="H40" s="305" t="s">
        <v>187</v>
      </c>
    </row>
    <row r="41" spans="5:8" x14ac:dyDescent="0.3">
      <c r="E41" s="305" t="s">
        <v>378</v>
      </c>
      <c r="F41" s="305" t="s">
        <v>151</v>
      </c>
      <c r="G41" s="305" t="s">
        <v>12</v>
      </c>
      <c r="H41" s="305" t="s">
        <v>388</v>
      </c>
    </row>
    <row r="42" spans="5:8" x14ac:dyDescent="0.3">
      <c r="E42" s="305" t="s">
        <v>378</v>
      </c>
      <c r="F42" s="305" t="s">
        <v>151</v>
      </c>
      <c r="G42" s="305" t="s">
        <v>198</v>
      </c>
      <c r="H42" s="305" t="s">
        <v>197</v>
      </c>
    </row>
    <row r="43" spans="5:8" x14ac:dyDescent="0.3">
      <c r="E43" s="305" t="s">
        <v>378</v>
      </c>
      <c r="F43" s="305" t="s">
        <v>151</v>
      </c>
      <c r="G43" s="305" t="s">
        <v>1483</v>
      </c>
      <c r="H43" s="305" t="s">
        <v>846</v>
      </c>
    </row>
    <row r="44" spans="5:8" x14ac:dyDescent="0.3">
      <c r="E44" s="305" t="s">
        <v>378</v>
      </c>
      <c r="F44" s="305" t="s">
        <v>151</v>
      </c>
      <c r="G44" s="305" t="s">
        <v>152</v>
      </c>
      <c r="H44" s="305" t="s">
        <v>150</v>
      </c>
    </row>
    <row r="45" spans="5:8" x14ac:dyDescent="0.3">
      <c r="E45" s="305" t="s">
        <v>378</v>
      </c>
      <c r="F45" s="305" t="s">
        <v>151</v>
      </c>
      <c r="G45" s="305" t="s">
        <v>1484</v>
      </c>
      <c r="H45" s="305" t="s">
        <v>153</v>
      </c>
    </row>
    <row r="46" spans="5:8" x14ac:dyDescent="0.3">
      <c r="E46" s="305" t="s">
        <v>378</v>
      </c>
      <c r="F46" s="305" t="s">
        <v>151</v>
      </c>
      <c r="G46" s="305" t="s">
        <v>1485</v>
      </c>
      <c r="H46" s="305" t="s">
        <v>912</v>
      </c>
    </row>
    <row r="47" spans="5:8" x14ac:dyDescent="0.3">
      <c r="E47" s="305" t="s">
        <v>378</v>
      </c>
      <c r="F47" s="305" t="s">
        <v>151</v>
      </c>
      <c r="G47" s="305" t="s">
        <v>156</v>
      </c>
      <c r="H47" s="305" t="s">
        <v>155</v>
      </c>
    </row>
    <row r="48" spans="5:8" x14ac:dyDescent="0.3">
      <c r="E48" s="305" t="s">
        <v>378</v>
      </c>
      <c r="F48" s="305" t="s">
        <v>151</v>
      </c>
      <c r="G48" s="305" t="s">
        <v>1486</v>
      </c>
      <c r="H48" s="305" t="s">
        <v>159</v>
      </c>
    </row>
    <row r="49" spans="5:8" x14ac:dyDescent="0.3">
      <c r="E49" s="305" t="s">
        <v>378</v>
      </c>
      <c r="F49" s="305" t="s">
        <v>151</v>
      </c>
      <c r="G49" s="305" t="s">
        <v>1487</v>
      </c>
      <c r="H49" s="305" t="s">
        <v>812</v>
      </c>
    </row>
    <row r="50" spans="5:8" x14ac:dyDescent="0.3">
      <c r="E50" s="305" t="s">
        <v>378</v>
      </c>
      <c r="F50" s="305" t="s">
        <v>151</v>
      </c>
      <c r="G50" s="305" t="s">
        <v>1488</v>
      </c>
      <c r="H50" s="305" t="s">
        <v>939</v>
      </c>
    </row>
    <row r="51" spans="5:8" x14ac:dyDescent="0.3">
      <c r="E51" s="305" t="s">
        <v>378</v>
      </c>
      <c r="F51" s="305" t="s">
        <v>173</v>
      </c>
      <c r="G51" s="305" t="s">
        <v>1489</v>
      </c>
      <c r="H51" s="305" t="s">
        <v>175</v>
      </c>
    </row>
    <row r="52" spans="5:8" x14ac:dyDescent="0.3">
      <c r="E52" s="305" t="s">
        <v>378</v>
      </c>
      <c r="F52" s="305" t="s">
        <v>173</v>
      </c>
      <c r="G52" s="305" t="s">
        <v>174</v>
      </c>
      <c r="H52" s="305" t="s">
        <v>172</v>
      </c>
    </row>
    <row r="53" spans="5:8" x14ac:dyDescent="0.3">
      <c r="E53" s="305" t="s">
        <v>378</v>
      </c>
      <c r="F53" s="305" t="s">
        <v>173</v>
      </c>
      <c r="G53" s="305" t="s">
        <v>1054</v>
      </c>
      <c r="H53" s="305" t="s">
        <v>1057</v>
      </c>
    </row>
    <row r="54" spans="5:8" x14ac:dyDescent="0.3">
      <c r="E54" s="305" t="s">
        <v>378</v>
      </c>
      <c r="F54" s="305" t="s">
        <v>173</v>
      </c>
      <c r="G54" s="305" t="s">
        <v>178</v>
      </c>
      <c r="H54" s="305" t="s">
        <v>177</v>
      </c>
    </row>
    <row r="55" spans="5:8" x14ac:dyDescent="0.3">
      <c r="E55" s="305" t="s">
        <v>378</v>
      </c>
      <c r="F55" s="305" t="s">
        <v>173</v>
      </c>
      <c r="G55" s="305" t="s">
        <v>1062</v>
      </c>
      <c r="H55" s="305" t="s">
        <v>1056</v>
      </c>
    </row>
    <row r="56" spans="5:8" x14ac:dyDescent="0.3">
      <c r="E56" s="305" t="s">
        <v>378</v>
      </c>
      <c r="F56" s="305" t="s">
        <v>180</v>
      </c>
      <c r="G56" s="305" t="s">
        <v>984</v>
      </c>
      <c r="H56" s="305" t="s">
        <v>986</v>
      </c>
    </row>
    <row r="57" spans="5:8" x14ac:dyDescent="0.3">
      <c r="E57" s="305" t="s">
        <v>378</v>
      </c>
      <c r="F57" s="305" t="s">
        <v>180</v>
      </c>
      <c r="G57" s="305" t="s">
        <v>985</v>
      </c>
      <c r="H57" s="305" t="s">
        <v>987</v>
      </c>
    </row>
    <row r="58" spans="5:8" x14ac:dyDescent="0.3">
      <c r="E58" s="305" t="s">
        <v>378</v>
      </c>
      <c r="F58" s="305" t="s">
        <v>180</v>
      </c>
      <c r="G58" s="305" t="s">
        <v>286</v>
      </c>
      <c r="H58" s="305" t="s">
        <v>285</v>
      </c>
    </row>
    <row r="59" spans="5:8" x14ac:dyDescent="0.3">
      <c r="E59" s="305" t="s">
        <v>378</v>
      </c>
      <c r="F59" s="305" t="s">
        <v>180</v>
      </c>
      <c r="G59" s="305" t="s">
        <v>181</v>
      </c>
      <c r="H59" s="305" t="s">
        <v>179</v>
      </c>
    </row>
    <row r="60" spans="5:8" x14ac:dyDescent="0.3">
      <c r="E60" s="305" t="s">
        <v>378</v>
      </c>
      <c r="F60" s="305" t="s">
        <v>185</v>
      </c>
      <c r="G60" s="305" t="s">
        <v>192</v>
      </c>
      <c r="H60" s="305" t="s">
        <v>191</v>
      </c>
    </row>
    <row r="61" spans="5:8" x14ac:dyDescent="0.3">
      <c r="E61" s="305" t="s">
        <v>378</v>
      </c>
      <c r="F61" s="305" t="s">
        <v>185</v>
      </c>
      <c r="G61" s="305" t="s">
        <v>12</v>
      </c>
      <c r="H61" s="305" t="s">
        <v>389</v>
      </c>
    </row>
    <row r="62" spans="5:8" x14ac:dyDescent="0.3">
      <c r="E62" s="305" t="s">
        <v>378</v>
      </c>
      <c r="F62" s="305" t="s">
        <v>185</v>
      </c>
      <c r="G62" s="305" t="s">
        <v>194</v>
      </c>
      <c r="H62" s="305" t="s">
        <v>193</v>
      </c>
    </row>
    <row r="63" spans="5:8" x14ac:dyDescent="0.3">
      <c r="E63" s="305" t="s">
        <v>378</v>
      </c>
      <c r="F63" s="305" t="s">
        <v>185</v>
      </c>
      <c r="G63" s="305" t="s">
        <v>1490</v>
      </c>
      <c r="H63" s="305" t="s">
        <v>222</v>
      </c>
    </row>
    <row r="64" spans="5:8" x14ac:dyDescent="0.3">
      <c r="E64" s="305" t="s">
        <v>378</v>
      </c>
      <c r="F64" s="305" t="s">
        <v>185</v>
      </c>
      <c r="G64" s="305" t="s">
        <v>209</v>
      </c>
      <c r="H64" s="305" t="s">
        <v>208</v>
      </c>
    </row>
    <row r="65" spans="5:8" x14ac:dyDescent="0.3">
      <c r="E65" s="305" t="s">
        <v>378</v>
      </c>
      <c r="F65" s="305" t="s">
        <v>185</v>
      </c>
      <c r="G65" s="305" t="s">
        <v>202</v>
      </c>
      <c r="H65" s="305" t="s">
        <v>201</v>
      </c>
    </row>
    <row r="66" spans="5:8" x14ac:dyDescent="0.3">
      <c r="E66" s="305" t="s">
        <v>378</v>
      </c>
      <c r="F66" s="305" t="s">
        <v>185</v>
      </c>
      <c r="G66" s="305" t="s">
        <v>190</v>
      </c>
      <c r="H66" s="305" t="s">
        <v>189</v>
      </c>
    </row>
    <row r="67" spans="5:8" x14ac:dyDescent="0.3">
      <c r="E67" s="305" t="s">
        <v>378</v>
      </c>
      <c r="F67" s="305" t="s">
        <v>185</v>
      </c>
      <c r="G67" s="305" t="s">
        <v>186</v>
      </c>
      <c r="H67" s="305" t="s">
        <v>184</v>
      </c>
    </row>
    <row r="68" spans="5:8" x14ac:dyDescent="0.3">
      <c r="E68" s="305" t="s">
        <v>378</v>
      </c>
      <c r="F68" s="305" t="s">
        <v>185</v>
      </c>
      <c r="G68" s="305" t="s">
        <v>196</v>
      </c>
      <c r="H68" s="305" t="s">
        <v>195</v>
      </c>
    </row>
    <row r="69" spans="5:8" x14ac:dyDescent="0.3">
      <c r="E69" s="305" t="s">
        <v>378</v>
      </c>
      <c r="F69" s="305" t="s">
        <v>185</v>
      </c>
      <c r="G69" s="305" t="s">
        <v>1340</v>
      </c>
      <c r="H69" s="305" t="s">
        <v>228</v>
      </c>
    </row>
    <row r="70" spans="5:8" x14ac:dyDescent="0.3">
      <c r="E70" s="305" t="s">
        <v>378</v>
      </c>
      <c r="F70" s="305" t="s">
        <v>185</v>
      </c>
      <c r="G70" s="305" t="s">
        <v>1491</v>
      </c>
      <c r="H70" s="305" t="s">
        <v>224</v>
      </c>
    </row>
    <row r="71" spans="5:8" x14ac:dyDescent="0.3">
      <c r="E71" s="305" t="s">
        <v>378</v>
      </c>
      <c r="F71" s="305" t="s">
        <v>185</v>
      </c>
      <c r="G71" s="305" t="s">
        <v>474</v>
      </c>
      <c r="H71" s="305" t="s">
        <v>475</v>
      </c>
    </row>
    <row r="72" spans="5:8" x14ac:dyDescent="0.3">
      <c r="E72" s="305" t="s">
        <v>378</v>
      </c>
      <c r="F72" s="305" t="s">
        <v>185</v>
      </c>
      <c r="G72" s="305" t="s">
        <v>1492</v>
      </c>
      <c r="H72" s="305" t="s">
        <v>214</v>
      </c>
    </row>
    <row r="73" spans="5:8" x14ac:dyDescent="0.3">
      <c r="E73" s="305" t="s">
        <v>378</v>
      </c>
      <c r="F73" s="305" t="s">
        <v>185</v>
      </c>
      <c r="G73" s="305" t="s">
        <v>219</v>
      </c>
      <c r="H73" s="305" t="s">
        <v>218</v>
      </c>
    </row>
    <row r="74" spans="5:8" x14ac:dyDescent="0.3">
      <c r="E74" s="305" t="s">
        <v>378</v>
      </c>
      <c r="F74" s="305" t="s">
        <v>185</v>
      </c>
      <c r="G74" s="305" t="s">
        <v>213</v>
      </c>
      <c r="H74" s="305" t="s">
        <v>212</v>
      </c>
    </row>
    <row r="75" spans="5:8" x14ac:dyDescent="0.3">
      <c r="E75" s="305" t="s">
        <v>378</v>
      </c>
      <c r="F75" s="305" t="s">
        <v>237</v>
      </c>
      <c r="G75" s="305" t="s">
        <v>238</v>
      </c>
      <c r="H75" s="305" t="s">
        <v>236</v>
      </c>
    </row>
    <row r="76" spans="5:8" x14ac:dyDescent="0.3">
      <c r="E76" s="305" t="s">
        <v>378</v>
      </c>
      <c r="F76" s="305" t="s">
        <v>237</v>
      </c>
      <c r="G76" s="305" t="s">
        <v>268</v>
      </c>
      <c r="H76" s="305" t="s">
        <v>267</v>
      </c>
    </row>
    <row r="77" spans="5:8" x14ac:dyDescent="0.3">
      <c r="E77" s="305" t="s">
        <v>378</v>
      </c>
      <c r="F77" s="305" t="s">
        <v>237</v>
      </c>
      <c r="G77" s="305" t="s">
        <v>248</v>
      </c>
      <c r="H77" s="305" t="s">
        <v>247</v>
      </c>
    </row>
    <row r="78" spans="5:8" x14ac:dyDescent="0.3">
      <c r="E78" s="305" t="s">
        <v>378</v>
      </c>
      <c r="F78" s="305" t="s">
        <v>237</v>
      </c>
      <c r="G78" s="305" t="s">
        <v>278</v>
      </c>
      <c r="H78" s="305" t="s">
        <v>277</v>
      </c>
    </row>
    <row r="79" spans="5:8" x14ac:dyDescent="0.3">
      <c r="E79" s="305" t="s">
        <v>378</v>
      </c>
      <c r="F79" s="305" t="s">
        <v>237</v>
      </c>
      <c r="G79" s="305" t="s">
        <v>250</v>
      </c>
      <c r="H79" s="305" t="s">
        <v>249</v>
      </c>
    </row>
    <row r="80" spans="5:8" x14ac:dyDescent="0.3">
      <c r="E80" s="305" t="s">
        <v>378</v>
      </c>
      <c r="F80" s="305" t="s">
        <v>237</v>
      </c>
      <c r="G80" s="305" t="s">
        <v>1493</v>
      </c>
      <c r="H80" s="305" t="s">
        <v>273</v>
      </c>
    </row>
    <row r="81" spans="5:8" x14ac:dyDescent="0.3">
      <c r="E81" s="305" t="s">
        <v>378</v>
      </c>
      <c r="F81" s="305" t="s">
        <v>237</v>
      </c>
      <c r="G81" s="305" t="s">
        <v>262</v>
      </c>
      <c r="H81" s="305" t="s">
        <v>261</v>
      </c>
    </row>
    <row r="82" spans="5:8" x14ac:dyDescent="0.3">
      <c r="E82" s="305" t="s">
        <v>378</v>
      </c>
      <c r="F82" s="305" t="s">
        <v>237</v>
      </c>
      <c r="G82" s="305" t="s">
        <v>264</v>
      </c>
      <c r="H82" s="305" t="s">
        <v>263</v>
      </c>
    </row>
    <row r="83" spans="5:8" x14ac:dyDescent="0.3">
      <c r="E83" s="305" t="s">
        <v>378</v>
      </c>
      <c r="F83" s="305" t="s">
        <v>237</v>
      </c>
      <c r="G83" s="305" t="s">
        <v>1494</v>
      </c>
      <c r="H83" s="305" t="s">
        <v>275</v>
      </c>
    </row>
    <row r="84" spans="5:8" x14ac:dyDescent="0.3">
      <c r="E84" s="305" t="s">
        <v>378</v>
      </c>
      <c r="F84" s="305" t="s">
        <v>237</v>
      </c>
      <c r="G84" s="305" t="s">
        <v>1031</v>
      </c>
      <c r="H84" s="305" t="s">
        <v>241</v>
      </c>
    </row>
    <row r="85" spans="5:8" x14ac:dyDescent="0.3">
      <c r="E85" s="305" t="s">
        <v>378</v>
      </c>
      <c r="F85" s="305" t="s">
        <v>237</v>
      </c>
      <c r="G85" s="305" t="s">
        <v>260</v>
      </c>
      <c r="H85" s="305" t="s">
        <v>259</v>
      </c>
    </row>
    <row r="86" spans="5:8" x14ac:dyDescent="0.3">
      <c r="E86" s="305" t="s">
        <v>378</v>
      </c>
      <c r="F86" s="305" t="s">
        <v>237</v>
      </c>
      <c r="G86" s="305" t="s">
        <v>280</v>
      </c>
      <c r="H86" s="305" t="s">
        <v>279</v>
      </c>
    </row>
    <row r="87" spans="5:8" x14ac:dyDescent="0.3">
      <c r="E87" s="305" t="s">
        <v>378</v>
      </c>
      <c r="F87" s="305" t="s">
        <v>237</v>
      </c>
      <c r="G87" s="305" t="s">
        <v>1495</v>
      </c>
      <c r="H87" s="305" t="s">
        <v>245</v>
      </c>
    </row>
    <row r="88" spans="5:8" x14ac:dyDescent="0.3">
      <c r="E88" s="305" t="s">
        <v>378</v>
      </c>
      <c r="F88" s="305" t="s">
        <v>237</v>
      </c>
      <c r="G88" s="305" t="s">
        <v>256</v>
      </c>
      <c r="H88" s="305" t="s">
        <v>255</v>
      </c>
    </row>
    <row r="89" spans="5:8" x14ac:dyDescent="0.3">
      <c r="E89" s="305" t="s">
        <v>378</v>
      </c>
      <c r="F89" s="305" t="s">
        <v>237</v>
      </c>
      <c r="G89" s="305" t="s">
        <v>284</v>
      </c>
      <c r="H89" s="305" t="s">
        <v>283</v>
      </c>
    </row>
    <row r="90" spans="5:8" x14ac:dyDescent="0.3">
      <c r="E90" s="305" t="s">
        <v>378</v>
      </c>
      <c r="F90" s="305" t="s">
        <v>237</v>
      </c>
      <c r="G90" s="305" t="s">
        <v>1496</v>
      </c>
      <c r="H90" s="305" t="s">
        <v>239</v>
      </c>
    </row>
    <row r="91" spans="5:8" x14ac:dyDescent="0.3">
      <c r="E91" s="305" t="s">
        <v>378</v>
      </c>
      <c r="F91" s="305" t="s">
        <v>237</v>
      </c>
      <c r="G91" s="305" t="s">
        <v>258</v>
      </c>
      <c r="H91" s="305" t="s">
        <v>257</v>
      </c>
    </row>
    <row r="92" spans="5:8" x14ac:dyDescent="0.3">
      <c r="E92" s="305" t="s">
        <v>378</v>
      </c>
      <c r="F92" s="305" t="s">
        <v>237</v>
      </c>
      <c r="G92" s="305" t="s">
        <v>252</v>
      </c>
      <c r="H92" s="305" t="s">
        <v>251</v>
      </c>
    </row>
    <row r="93" spans="5:8" x14ac:dyDescent="0.3">
      <c r="E93" s="305" t="s">
        <v>378</v>
      </c>
      <c r="F93" s="305" t="s">
        <v>237</v>
      </c>
      <c r="G93" s="305" t="s">
        <v>254</v>
      </c>
      <c r="H93" s="305" t="s">
        <v>253</v>
      </c>
    </row>
    <row r="94" spans="5:8" x14ac:dyDescent="0.3">
      <c r="E94" s="305" t="s">
        <v>378</v>
      </c>
      <c r="F94" s="305" t="s">
        <v>237</v>
      </c>
      <c r="G94" s="305" t="s">
        <v>270</v>
      </c>
      <c r="H94" s="305" t="s">
        <v>269</v>
      </c>
    </row>
    <row r="95" spans="5:8" x14ac:dyDescent="0.3">
      <c r="E95" s="305" t="s">
        <v>378</v>
      </c>
      <c r="F95" s="305" t="s">
        <v>237</v>
      </c>
      <c r="G95" s="305" t="s">
        <v>272</v>
      </c>
      <c r="H95" s="305" t="s">
        <v>271</v>
      </c>
    </row>
    <row r="96" spans="5:8" x14ac:dyDescent="0.3">
      <c r="E96" s="305" t="s">
        <v>378</v>
      </c>
      <c r="F96" s="305" t="s">
        <v>299</v>
      </c>
      <c r="G96" s="305" t="s">
        <v>892</v>
      </c>
      <c r="H96" s="305" t="s">
        <v>893</v>
      </c>
    </row>
    <row r="97" spans="5:8" x14ac:dyDescent="0.3">
      <c r="E97" s="305" t="s">
        <v>378</v>
      </c>
      <c r="F97" s="305" t="s">
        <v>299</v>
      </c>
      <c r="G97" s="305" t="s">
        <v>1046</v>
      </c>
      <c r="H97" s="305" t="s">
        <v>1045</v>
      </c>
    </row>
    <row r="98" spans="5:8" x14ac:dyDescent="0.3">
      <c r="E98" s="305" t="s">
        <v>378</v>
      </c>
      <c r="F98" s="305" t="s">
        <v>299</v>
      </c>
      <c r="G98" s="305" t="s">
        <v>300</v>
      </c>
      <c r="H98" s="305" t="s">
        <v>298</v>
      </c>
    </row>
    <row r="99" spans="5:8" x14ac:dyDescent="0.3">
      <c r="E99" s="305" t="s">
        <v>378</v>
      </c>
      <c r="F99" s="305" t="s">
        <v>301</v>
      </c>
      <c r="G99" s="305" t="s">
        <v>305</v>
      </c>
      <c r="H99" s="305" t="s">
        <v>304</v>
      </c>
    </row>
    <row r="100" spans="5:8" x14ac:dyDescent="0.3">
      <c r="E100" s="305" t="s">
        <v>378</v>
      </c>
      <c r="F100" s="305" t="s">
        <v>301</v>
      </c>
      <c r="G100" s="305" t="s">
        <v>303</v>
      </c>
      <c r="H100" s="305" t="s">
        <v>302</v>
      </c>
    </row>
    <row r="101" spans="5:8" x14ac:dyDescent="0.3">
      <c r="E101" s="305" t="s">
        <v>378</v>
      </c>
      <c r="F101" s="305" t="s">
        <v>301</v>
      </c>
      <c r="G101" s="305" t="s">
        <v>307</v>
      </c>
      <c r="H101" s="305" t="s">
        <v>306</v>
      </c>
    </row>
    <row r="102" spans="5:8" x14ac:dyDescent="0.3">
      <c r="E102" s="305" t="s">
        <v>378</v>
      </c>
      <c r="F102" s="305" t="s">
        <v>746</v>
      </c>
      <c r="G102" s="305" t="s">
        <v>1066</v>
      </c>
      <c r="H102" s="305" t="s">
        <v>1067</v>
      </c>
    </row>
    <row r="103" spans="5:8" x14ac:dyDescent="0.3">
      <c r="E103" s="305" t="s">
        <v>378</v>
      </c>
      <c r="F103" s="305" t="s">
        <v>746</v>
      </c>
      <c r="G103" s="305" t="s">
        <v>1068</v>
      </c>
      <c r="H103" s="305" t="s">
        <v>1069</v>
      </c>
    </row>
    <row r="104" spans="5:8" x14ac:dyDescent="0.3">
      <c r="E104" s="305" t="s">
        <v>378</v>
      </c>
      <c r="F104" s="305" t="s">
        <v>746</v>
      </c>
      <c r="G104" s="305" t="s">
        <v>746</v>
      </c>
      <c r="H104" s="305" t="s">
        <v>750</v>
      </c>
    </row>
    <row r="105" spans="5:8" x14ac:dyDescent="0.3">
      <c r="E105" s="305" t="s">
        <v>378</v>
      </c>
      <c r="F105" s="305" t="s">
        <v>1136</v>
      </c>
      <c r="G105" s="305" t="s">
        <v>1403</v>
      </c>
      <c r="H105" s="305" t="s">
        <v>1406</v>
      </c>
    </row>
    <row r="106" spans="5:8" x14ac:dyDescent="0.3">
      <c r="E106" s="305" t="s">
        <v>378</v>
      </c>
      <c r="F106" s="305" t="s">
        <v>1136</v>
      </c>
      <c r="G106" s="305" t="s">
        <v>1394</v>
      </c>
      <c r="H106" s="305" t="s">
        <v>1407</v>
      </c>
    </row>
    <row r="107" spans="5:8" x14ac:dyDescent="0.3">
      <c r="E107" s="305" t="s">
        <v>378</v>
      </c>
      <c r="F107" s="305" t="s">
        <v>1136</v>
      </c>
      <c r="G107" s="305" t="s">
        <v>1395</v>
      </c>
      <c r="H107" s="305" t="s">
        <v>1408</v>
      </c>
    </row>
    <row r="108" spans="5:8" x14ac:dyDescent="0.3">
      <c r="E108" s="305" t="s">
        <v>378</v>
      </c>
      <c r="F108" s="305" t="s">
        <v>1136</v>
      </c>
      <c r="G108" s="305" t="s">
        <v>1396</v>
      </c>
      <c r="H108" s="305" t="s">
        <v>1409</v>
      </c>
    </row>
    <row r="109" spans="5:8" x14ac:dyDescent="0.3">
      <c r="E109" s="305" t="s">
        <v>378</v>
      </c>
      <c r="F109" s="305" t="s">
        <v>309</v>
      </c>
      <c r="G109" s="305" t="s">
        <v>333</v>
      </c>
      <c r="H109" s="305" t="s">
        <v>332</v>
      </c>
    </row>
    <row r="110" spans="5:8" x14ac:dyDescent="0.3">
      <c r="E110" s="305" t="s">
        <v>378</v>
      </c>
      <c r="F110" s="305" t="s">
        <v>309</v>
      </c>
      <c r="G110" s="305" t="s">
        <v>349</v>
      </c>
      <c r="H110" s="305" t="s">
        <v>348</v>
      </c>
    </row>
    <row r="111" spans="5:8" x14ac:dyDescent="0.3">
      <c r="E111" s="305" t="s">
        <v>378</v>
      </c>
      <c r="F111" s="305" t="s">
        <v>309</v>
      </c>
      <c r="G111" s="305" t="s">
        <v>312</v>
      </c>
      <c r="H111" s="305" t="s">
        <v>311</v>
      </c>
    </row>
    <row r="112" spans="5:8" x14ac:dyDescent="0.3">
      <c r="E112" s="305" t="s">
        <v>378</v>
      </c>
      <c r="F112" s="305" t="s">
        <v>309</v>
      </c>
      <c r="G112" s="305" t="s">
        <v>337</v>
      </c>
      <c r="H112" s="305" t="s">
        <v>336</v>
      </c>
    </row>
    <row r="113" spans="5:8" x14ac:dyDescent="0.3">
      <c r="E113" s="305" t="s">
        <v>378</v>
      </c>
      <c r="F113" s="305" t="s">
        <v>309</v>
      </c>
      <c r="G113" s="305" t="s">
        <v>327</v>
      </c>
      <c r="H113" s="305" t="s">
        <v>326</v>
      </c>
    </row>
    <row r="114" spans="5:8" x14ac:dyDescent="0.3">
      <c r="E114" s="305" t="s">
        <v>378</v>
      </c>
      <c r="F114" s="305" t="s">
        <v>309</v>
      </c>
      <c r="G114" s="305" t="s">
        <v>340</v>
      </c>
      <c r="H114" s="305" t="s">
        <v>339</v>
      </c>
    </row>
    <row r="115" spans="5:8" x14ac:dyDescent="0.3">
      <c r="E115" s="305" t="s">
        <v>378</v>
      </c>
      <c r="F115" s="305" t="s">
        <v>309</v>
      </c>
      <c r="G115" s="305" t="s">
        <v>319</v>
      </c>
      <c r="H115" s="305" t="s">
        <v>318</v>
      </c>
    </row>
    <row r="116" spans="5:8" x14ac:dyDescent="0.3">
      <c r="E116" s="305" t="s">
        <v>378</v>
      </c>
      <c r="F116" s="305" t="s">
        <v>309</v>
      </c>
      <c r="G116" s="305" t="s">
        <v>325</v>
      </c>
      <c r="H116" s="305" t="s">
        <v>324</v>
      </c>
    </row>
    <row r="117" spans="5:8" x14ac:dyDescent="0.3">
      <c r="E117" s="305" t="s">
        <v>378</v>
      </c>
      <c r="F117" s="305" t="s">
        <v>309</v>
      </c>
      <c r="G117" s="305" t="s">
        <v>323</v>
      </c>
      <c r="H117" s="305" t="s">
        <v>322</v>
      </c>
    </row>
    <row r="118" spans="5:8" x14ac:dyDescent="0.3">
      <c r="E118" s="305" t="s">
        <v>378</v>
      </c>
      <c r="F118" s="305" t="s">
        <v>309</v>
      </c>
      <c r="G118" s="305" t="s">
        <v>345</v>
      </c>
      <c r="H118" s="305" t="s">
        <v>344</v>
      </c>
    </row>
    <row r="119" spans="5:8" x14ac:dyDescent="0.3">
      <c r="E119" s="305" t="s">
        <v>378</v>
      </c>
      <c r="F119" s="305" t="s">
        <v>309</v>
      </c>
      <c r="G119" s="305" t="s">
        <v>751</v>
      </c>
      <c r="H119" s="305" t="s">
        <v>752</v>
      </c>
    </row>
    <row r="120" spans="5:8" x14ac:dyDescent="0.3">
      <c r="E120" s="305" t="s">
        <v>378</v>
      </c>
      <c r="F120" s="305" t="s">
        <v>309</v>
      </c>
      <c r="G120" s="305" t="s">
        <v>317</v>
      </c>
      <c r="H120" s="305" t="s">
        <v>316</v>
      </c>
    </row>
    <row r="121" spans="5:8" x14ac:dyDescent="0.3">
      <c r="E121" s="305" t="s">
        <v>378</v>
      </c>
      <c r="F121" s="305" t="s">
        <v>309</v>
      </c>
      <c r="G121" s="305" t="s">
        <v>342</v>
      </c>
      <c r="H121" s="305" t="s">
        <v>341</v>
      </c>
    </row>
    <row r="122" spans="5:8" x14ac:dyDescent="0.3">
      <c r="E122" s="305" t="s">
        <v>378</v>
      </c>
      <c r="F122" s="305" t="s">
        <v>309</v>
      </c>
      <c r="G122" s="305" t="s">
        <v>347</v>
      </c>
      <c r="H122" s="305" t="s">
        <v>346</v>
      </c>
    </row>
    <row r="123" spans="5:8" x14ac:dyDescent="0.3">
      <c r="E123" s="305" t="s">
        <v>378</v>
      </c>
      <c r="F123" s="305" t="s">
        <v>309</v>
      </c>
      <c r="G123" s="305" t="s">
        <v>1497</v>
      </c>
      <c r="H123" s="305" t="s">
        <v>314</v>
      </c>
    </row>
    <row r="124" spans="5:8" x14ac:dyDescent="0.3">
      <c r="E124" s="305" t="s">
        <v>378</v>
      </c>
      <c r="F124" s="305" t="s">
        <v>309</v>
      </c>
      <c r="G124" s="305" t="s">
        <v>321</v>
      </c>
      <c r="H124" s="305" t="s">
        <v>320</v>
      </c>
    </row>
    <row r="125" spans="5:8" x14ac:dyDescent="0.3">
      <c r="E125" s="305" t="s">
        <v>378</v>
      </c>
      <c r="F125" s="305" t="s">
        <v>309</v>
      </c>
      <c r="G125" s="305" t="s">
        <v>329</v>
      </c>
      <c r="H125" s="305" t="s">
        <v>328</v>
      </c>
    </row>
    <row r="126" spans="5:8" x14ac:dyDescent="0.3">
      <c r="E126" s="305" t="s">
        <v>378</v>
      </c>
      <c r="F126" s="305" t="s">
        <v>309</v>
      </c>
      <c r="G126" s="305" t="s">
        <v>1498</v>
      </c>
      <c r="H126" s="305" t="s">
        <v>334</v>
      </c>
    </row>
    <row r="127" spans="5:8" x14ac:dyDescent="0.3">
      <c r="E127" s="305" t="s">
        <v>378</v>
      </c>
      <c r="F127" s="305" t="s">
        <v>309</v>
      </c>
      <c r="G127" s="305" t="s">
        <v>1030</v>
      </c>
      <c r="H127" s="305" t="s">
        <v>343</v>
      </c>
    </row>
    <row r="128" spans="5:8" x14ac:dyDescent="0.3">
      <c r="E128" s="305" t="s">
        <v>378</v>
      </c>
      <c r="F128" s="305" t="s">
        <v>309</v>
      </c>
      <c r="G128" s="305" t="s">
        <v>353</v>
      </c>
      <c r="H128" s="305" t="s">
        <v>352</v>
      </c>
    </row>
    <row r="129" spans="5:8" x14ac:dyDescent="0.3">
      <c r="E129" s="305" t="s">
        <v>378</v>
      </c>
      <c r="F129" s="305" t="s">
        <v>309</v>
      </c>
      <c r="G129" s="305" t="s">
        <v>1499</v>
      </c>
      <c r="H129" s="305" t="s">
        <v>338</v>
      </c>
    </row>
    <row r="130" spans="5:8" x14ac:dyDescent="0.3">
      <c r="E130" s="305" t="s">
        <v>378</v>
      </c>
      <c r="F130" s="305" t="s">
        <v>309</v>
      </c>
      <c r="G130" s="305" t="s">
        <v>351</v>
      </c>
      <c r="H130" s="305" t="s">
        <v>350</v>
      </c>
    </row>
    <row r="131" spans="5:8" x14ac:dyDescent="0.3">
      <c r="E131" s="305" t="s">
        <v>378</v>
      </c>
      <c r="F131" s="305" t="s">
        <v>309</v>
      </c>
      <c r="G131" s="305" t="s">
        <v>1500</v>
      </c>
      <c r="H131" s="305" t="s">
        <v>1264</v>
      </c>
    </row>
    <row r="132" spans="5:8" x14ac:dyDescent="0.3">
      <c r="E132" s="305" t="s">
        <v>378</v>
      </c>
      <c r="F132" s="305" t="s">
        <v>309</v>
      </c>
      <c r="G132" s="305" t="s">
        <v>1255</v>
      </c>
      <c r="H132" s="305" t="s">
        <v>1252</v>
      </c>
    </row>
    <row r="133" spans="5:8" x14ac:dyDescent="0.3">
      <c r="E133" s="305" t="s">
        <v>506</v>
      </c>
      <c r="F133" s="305" t="s">
        <v>719</v>
      </c>
      <c r="G133" s="305" t="s">
        <v>535</v>
      </c>
      <c r="H133" s="305" t="s">
        <v>772</v>
      </c>
    </row>
    <row r="134" spans="5:8" x14ac:dyDescent="0.3">
      <c r="E134" s="305" t="s">
        <v>506</v>
      </c>
      <c r="F134" s="305" t="s">
        <v>719</v>
      </c>
      <c r="G134" s="305" t="s">
        <v>1501</v>
      </c>
      <c r="H134" s="305" t="s">
        <v>1044</v>
      </c>
    </row>
    <row r="135" spans="5:8" x14ac:dyDescent="0.3">
      <c r="E135" s="305" t="s">
        <v>506</v>
      </c>
      <c r="F135" s="305" t="s">
        <v>146</v>
      </c>
      <c r="G135" s="305" t="s">
        <v>369</v>
      </c>
      <c r="H135" s="305" t="s">
        <v>147</v>
      </c>
    </row>
    <row r="136" spans="5:8" x14ac:dyDescent="0.3">
      <c r="E136" s="305" t="s">
        <v>506</v>
      </c>
      <c r="F136" s="305" t="s">
        <v>146</v>
      </c>
      <c r="G136" s="305" t="s">
        <v>149</v>
      </c>
      <c r="H136" s="305" t="s">
        <v>148</v>
      </c>
    </row>
    <row r="137" spans="5:8" x14ac:dyDescent="0.3">
      <c r="E137" s="305" t="s">
        <v>506</v>
      </c>
      <c r="F137" s="305" t="s">
        <v>146</v>
      </c>
      <c r="G137" s="305" t="s">
        <v>367</v>
      </c>
      <c r="H137" s="305" t="s">
        <v>381</v>
      </c>
    </row>
    <row r="138" spans="5:8" x14ac:dyDescent="0.3">
      <c r="E138" s="305" t="s">
        <v>506</v>
      </c>
      <c r="F138" s="305" t="s">
        <v>146</v>
      </c>
      <c r="G138" s="305" t="s">
        <v>368</v>
      </c>
      <c r="H138" s="305" t="s">
        <v>382</v>
      </c>
    </row>
    <row r="139" spans="5:8" x14ac:dyDescent="0.3">
      <c r="E139" s="305" t="s">
        <v>506</v>
      </c>
      <c r="F139" s="305" t="s">
        <v>146</v>
      </c>
      <c r="G139" s="305" t="s">
        <v>366</v>
      </c>
      <c r="H139" s="305" t="s">
        <v>383</v>
      </c>
    </row>
    <row r="140" spans="5:8" x14ac:dyDescent="0.3">
      <c r="E140" s="305" t="s">
        <v>506</v>
      </c>
      <c r="F140" s="305" t="s">
        <v>146</v>
      </c>
      <c r="G140" s="305" t="s">
        <v>1502</v>
      </c>
      <c r="H140" s="305" t="s">
        <v>385</v>
      </c>
    </row>
    <row r="141" spans="5:8" x14ac:dyDescent="0.3">
      <c r="E141" s="305" t="s">
        <v>506</v>
      </c>
      <c r="F141" s="305" t="s">
        <v>146</v>
      </c>
      <c r="G141" s="305" t="s">
        <v>1503</v>
      </c>
      <c r="H141" s="305" t="s">
        <v>942</v>
      </c>
    </row>
    <row r="142" spans="5:8" x14ac:dyDescent="0.3">
      <c r="E142" s="305" t="s">
        <v>506</v>
      </c>
      <c r="F142" s="305" t="s">
        <v>146</v>
      </c>
      <c r="G142" s="305" t="s">
        <v>1082</v>
      </c>
      <c r="H142" s="305" t="s">
        <v>1083</v>
      </c>
    </row>
    <row r="143" spans="5:8" x14ac:dyDescent="0.3">
      <c r="E143" s="305" t="s">
        <v>506</v>
      </c>
      <c r="F143" s="305" t="s">
        <v>146</v>
      </c>
      <c r="G143" s="305" t="s">
        <v>1504</v>
      </c>
      <c r="H143" s="305" t="s">
        <v>1121</v>
      </c>
    </row>
    <row r="144" spans="5:8" x14ac:dyDescent="0.3">
      <c r="E144" s="305" t="s">
        <v>506</v>
      </c>
      <c r="F144" s="305" t="s">
        <v>146</v>
      </c>
      <c r="G144" s="305" t="s">
        <v>1131</v>
      </c>
      <c r="H144" s="305" t="s">
        <v>1126</v>
      </c>
    </row>
    <row r="145" spans="5:8" x14ac:dyDescent="0.3">
      <c r="E145" s="305" t="s">
        <v>506</v>
      </c>
      <c r="F145" s="305" t="s">
        <v>146</v>
      </c>
      <c r="G145" s="305" t="s">
        <v>1146</v>
      </c>
      <c r="H145" s="305" t="s">
        <v>1128</v>
      </c>
    </row>
    <row r="146" spans="5:8" x14ac:dyDescent="0.3">
      <c r="E146" s="305" t="s">
        <v>506</v>
      </c>
      <c r="F146" s="305" t="s">
        <v>146</v>
      </c>
      <c r="G146" s="305" t="s">
        <v>1241</v>
      </c>
      <c r="H146" s="305" t="s">
        <v>1242</v>
      </c>
    </row>
    <row r="147" spans="5:8" x14ac:dyDescent="0.3">
      <c r="E147" s="305" t="s">
        <v>506</v>
      </c>
      <c r="F147" s="305" t="s">
        <v>146</v>
      </c>
      <c r="G147" s="305" t="s">
        <v>1505</v>
      </c>
      <c r="H147" s="305" t="s">
        <v>1231</v>
      </c>
    </row>
    <row r="148" spans="5:8" x14ac:dyDescent="0.3">
      <c r="E148" s="305" t="s">
        <v>506</v>
      </c>
      <c r="F148" s="305" t="s">
        <v>166</v>
      </c>
      <c r="G148" s="305" t="s">
        <v>167</v>
      </c>
      <c r="H148" s="305" t="s">
        <v>165</v>
      </c>
    </row>
    <row r="149" spans="5:8" x14ac:dyDescent="0.3">
      <c r="E149" s="305" t="s">
        <v>506</v>
      </c>
      <c r="F149" s="305" t="s">
        <v>166</v>
      </c>
      <c r="G149" s="305" t="s">
        <v>1506</v>
      </c>
      <c r="H149" s="305" t="s">
        <v>761</v>
      </c>
    </row>
    <row r="150" spans="5:8" x14ac:dyDescent="0.3">
      <c r="E150" s="305" t="s">
        <v>506</v>
      </c>
      <c r="F150" s="305" t="s">
        <v>166</v>
      </c>
      <c r="G150" s="305" t="s">
        <v>1140</v>
      </c>
      <c r="H150" s="305" t="s">
        <v>1123</v>
      </c>
    </row>
    <row r="151" spans="5:8" x14ac:dyDescent="0.3">
      <c r="E151" s="305" t="s">
        <v>506</v>
      </c>
      <c r="F151" s="305" t="s">
        <v>230</v>
      </c>
      <c r="G151" s="305" t="s">
        <v>903</v>
      </c>
      <c r="H151" s="305" t="s">
        <v>904</v>
      </c>
    </row>
    <row r="152" spans="5:8" x14ac:dyDescent="0.3">
      <c r="E152" s="305" t="s">
        <v>506</v>
      </c>
      <c r="F152" s="305" t="s">
        <v>230</v>
      </c>
      <c r="G152" s="305" t="s">
        <v>913</v>
      </c>
      <c r="H152" s="305" t="s">
        <v>914</v>
      </c>
    </row>
    <row r="153" spans="5:8" x14ac:dyDescent="0.3">
      <c r="E153" s="305" t="s">
        <v>506</v>
      </c>
      <c r="F153" s="305" t="s">
        <v>230</v>
      </c>
      <c r="G153" s="305" t="s">
        <v>716</v>
      </c>
      <c r="H153" s="305" t="s">
        <v>1245</v>
      </c>
    </row>
    <row r="154" spans="5:8" x14ac:dyDescent="0.3">
      <c r="E154" s="305" t="s">
        <v>506</v>
      </c>
      <c r="F154" s="305" t="s">
        <v>230</v>
      </c>
      <c r="G154" s="305" t="s">
        <v>359</v>
      </c>
      <c r="H154" s="305" t="s">
        <v>771</v>
      </c>
    </row>
    <row r="155" spans="5:8" x14ac:dyDescent="0.3">
      <c r="E155" s="305" t="s">
        <v>506</v>
      </c>
      <c r="F155" s="305" t="s">
        <v>288</v>
      </c>
      <c r="G155" s="305" t="s">
        <v>289</v>
      </c>
      <c r="H155" s="305" t="s">
        <v>287</v>
      </c>
    </row>
    <row r="156" spans="5:8" x14ac:dyDescent="0.3">
      <c r="E156" s="305" t="s">
        <v>506</v>
      </c>
      <c r="F156" s="305" t="s">
        <v>288</v>
      </c>
      <c r="G156" s="305" t="s">
        <v>1507</v>
      </c>
      <c r="H156" s="305" t="s">
        <v>294</v>
      </c>
    </row>
    <row r="157" spans="5:8" x14ac:dyDescent="0.3">
      <c r="E157" s="305" t="s">
        <v>506</v>
      </c>
      <c r="F157" s="305" t="s">
        <v>288</v>
      </c>
      <c r="G157" s="305" t="s">
        <v>291</v>
      </c>
      <c r="H157" s="305" t="s">
        <v>290</v>
      </c>
    </row>
    <row r="158" spans="5:8" x14ac:dyDescent="0.3">
      <c r="E158" s="305" t="s">
        <v>506</v>
      </c>
      <c r="F158" s="305" t="s">
        <v>288</v>
      </c>
      <c r="G158" s="305" t="s">
        <v>1508</v>
      </c>
      <c r="H158" s="305" t="s">
        <v>906</v>
      </c>
    </row>
    <row r="159" spans="5:8" x14ac:dyDescent="0.3">
      <c r="E159" s="305" t="s">
        <v>506</v>
      </c>
      <c r="F159" s="305" t="s">
        <v>288</v>
      </c>
      <c r="G159" s="305" t="s">
        <v>1509</v>
      </c>
      <c r="H159" s="305" t="s">
        <v>910</v>
      </c>
    </row>
    <row r="160" spans="5:8" x14ac:dyDescent="0.3">
      <c r="E160" s="305" t="s">
        <v>506</v>
      </c>
      <c r="F160" s="305" t="s">
        <v>288</v>
      </c>
      <c r="G160" s="305" t="s">
        <v>1130</v>
      </c>
      <c r="H160" s="305" t="s">
        <v>1125</v>
      </c>
    </row>
    <row r="161" spans="5:8" x14ac:dyDescent="0.3">
      <c r="E161" s="305" t="s">
        <v>506</v>
      </c>
      <c r="F161" s="305" t="s">
        <v>297</v>
      </c>
      <c r="G161" s="305" t="s">
        <v>759</v>
      </c>
      <c r="H161" s="305" t="s">
        <v>296</v>
      </c>
    </row>
    <row r="162" spans="5:8" x14ac:dyDescent="0.3">
      <c r="E162" s="305" t="s">
        <v>506</v>
      </c>
      <c r="F162" s="305" t="s">
        <v>297</v>
      </c>
      <c r="G162" s="305" t="s">
        <v>1137</v>
      </c>
      <c r="H162" s="305" t="s">
        <v>1122</v>
      </c>
    </row>
    <row r="163" spans="5:8" x14ac:dyDescent="0.3">
      <c r="E163" s="305" t="s">
        <v>506</v>
      </c>
      <c r="F163" s="305" t="s">
        <v>297</v>
      </c>
      <c r="G163" s="305" t="s">
        <v>1188</v>
      </c>
      <c r="H163" s="305" t="s">
        <v>1170</v>
      </c>
    </row>
    <row r="164" spans="5:8" x14ac:dyDescent="0.3">
      <c r="E164" s="305" t="s">
        <v>506</v>
      </c>
      <c r="F164" s="305" t="s">
        <v>297</v>
      </c>
      <c r="G164" s="305" t="s">
        <v>1510</v>
      </c>
      <c r="H164" s="305" t="s">
        <v>1277</v>
      </c>
    </row>
    <row r="165" spans="5:8" x14ac:dyDescent="0.3">
      <c r="E165" s="305" t="s">
        <v>506</v>
      </c>
      <c r="F165" s="305" t="s">
        <v>297</v>
      </c>
      <c r="G165" s="305" t="s">
        <v>1191</v>
      </c>
      <c r="H165" s="305" t="s">
        <v>1173</v>
      </c>
    </row>
    <row r="166" spans="5:8" x14ac:dyDescent="0.3">
      <c r="E166" s="305" t="s">
        <v>506</v>
      </c>
      <c r="F166" s="305" t="s">
        <v>1200</v>
      </c>
      <c r="G166" s="305" t="s">
        <v>1197</v>
      </c>
      <c r="H166" s="305" t="s">
        <v>1185</v>
      </c>
    </row>
    <row r="167" spans="5:8" x14ac:dyDescent="0.3">
      <c r="E167" s="305" t="s">
        <v>506</v>
      </c>
      <c r="F167" s="305" t="s">
        <v>494</v>
      </c>
      <c r="G167" s="305" t="s">
        <v>1568</v>
      </c>
    </row>
    <row r="168" spans="5:8" x14ac:dyDescent="0.3">
      <c r="G168" s="305" t="s">
        <v>1569</v>
      </c>
    </row>
    <row r="169" spans="5:8" x14ac:dyDescent="0.3">
      <c r="G169" s="305" t="s">
        <v>1570</v>
      </c>
    </row>
    <row r="170" spans="5:8" x14ac:dyDescent="0.3">
      <c r="G170" s="305" t="s">
        <v>1571</v>
      </c>
    </row>
    <row r="171" spans="5:8" x14ac:dyDescent="0.3">
      <c r="G171" s="305" t="s">
        <v>1572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D30" sqref="D30"/>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 min="22" max="22" width="16.6640625" bestFit="1" customWidth="1"/>
  </cols>
  <sheetData>
    <row r="1" spans="1:27"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1070</v>
      </c>
      <c r="V1" s="2" t="s">
        <v>398</v>
      </c>
      <c r="X1" s="2" t="s">
        <v>458</v>
      </c>
      <c r="Y1" s="719" t="s">
        <v>1036</v>
      </c>
      <c r="AA1" s="2" t="s">
        <v>457</v>
      </c>
    </row>
    <row r="2" spans="1:27" x14ac:dyDescent="0.3">
      <c r="A2" t="s">
        <v>415</v>
      </c>
      <c r="B2" t="s">
        <v>439</v>
      </c>
      <c r="C2" t="s">
        <v>429</v>
      </c>
      <c r="D2" t="s">
        <v>432</v>
      </c>
      <c r="E2" s="38">
        <v>12</v>
      </c>
      <c r="F2">
        <v>2</v>
      </c>
      <c r="J2" s="13" t="s">
        <v>378</v>
      </c>
      <c r="K2" s="13"/>
      <c r="L2" s="13" t="s">
        <v>5</v>
      </c>
      <c r="M2" s="13"/>
      <c r="N2" s="13" t="s">
        <v>146</v>
      </c>
      <c r="O2" s="13"/>
      <c r="P2" s="13" t="s">
        <v>393</v>
      </c>
      <c r="Q2" s="13" t="s">
        <v>454</v>
      </c>
      <c r="S2" t="s">
        <v>1071</v>
      </c>
      <c r="V2" t="s">
        <v>849</v>
      </c>
      <c r="X2" s="305" t="s">
        <v>775</v>
      </c>
      <c r="Y2" s="711"/>
      <c r="AA2" t="s">
        <v>464</v>
      </c>
    </row>
    <row r="3" spans="1:27" x14ac:dyDescent="0.3">
      <c r="A3" t="s">
        <v>1016</v>
      </c>
      <c r="B3" t="s">
        <v>1018</v>
      </c>
      <c r="C3" t="s">
        <v>1019</v>
      </c>
      <c r="D3" t="s">
        <v>1020</v>
      </c>
      <c r="E3" s="38">
        <v>12</v>
      </c>
      <c r="F3">
        <v>1</v>
      </c>
      <c r="J3" s="13" t="s">
        <v>379</v>
      </c>
      <c r="K3" s="13"/>
      <c r="L3" s="13" t="s">
        <v>27</v>
      </c>
      <c r="M3" s="13"/>
      <c r="N3" s="13" t="s">
        <v>166</v>
      </c>
      <c r="O3" s="13"/>
      <c r="P3" s="13" t="s">
        <v>394</v>
      </c>
      <c r="Q3" s="13" t="s">
        <v>455</v>
      </c>
      <c r="S3" t="s">
        <v>1072</v>
      </c>
      <c r="V3" t="s">
        <v>507</v>
      </c>
      <c r="X3" s="305" t="s">
        <v>1745</v>
      </c>
      <c r="Y3" t="s">
        <v>995</v>
      </c>
      <c r="AA3" t="s">
        <v>466</v>
      </c>
    </row>
    <row r="4" spans="1:27" x14ac:dyDescent="0.3">
      <c r="A4" t="s">
        <v>421</v>
      </c>
      <c r="B4" t="s">
        <v>440</v>
      </c>
      <c r="C4" t="s">
        <v>425</v>
      </c>
      <c r="D4" t="s">
        <v>435</v>
      </c>
      <c r="E4" s="38">
        <v>12</v>
      </c>
      <c r="F4">
        <v>1</v>
      </c>
      <c r="J4" s="13" t="s">
        <v>506</v>
      </c>
      <c r="K4" s="13"/>
      <c r="L4" s="13" t="s">
        <v>480</v>
      </c>
      <c r="M4" s="13"/>
      <c r="N4" s="13" t="s">
        <v>230</v>
      </c>
      <c r="O4" s="13"/>
      <c r="P4" s="13" t="s">
        <v>395</v>
      </c>
      <c r="Q4" s="13" t="s">
        <v>453</v>
      </c>
      <c r="V4" t="s">
        <v>1574</v>
      </c>
      <c r="X4" s="305" t="s">
        <v>1744</v>
      </c>
    </row>
    <row r="5" spans="1:27" x14ac:dyDescent="0.3">
      <c r="A5" t="s">
        <v>416</v>
      </c>
      <c r="B5" t="s">
        <v>441</v>
      </c>
      <c r="C5" t="s">
        <v>430</v>
      </c>
      <c r="D5" t="s">
        <v>433</v>
      </c>
      <c r="E5" s="38">
        <v>12</v>
      </c>
      <c r="F5">
        <v>1</v>
      </c>
      <c r="J5" s="2"/>
      <c r="K5" s="2"/>
      <c r="L5" s="13" t="s">
        <v>361</v>
      </c>
      <c r="M5" s="13"/>
      <c r="N5" s="13" t="s">
        <v>288</v>
      </c>
      <c r="O5" s="13"/>
      <c r="P5" s="13" t="s">
        <v>396</v>
      </c>
      <c r="Q5" s="13"/>
      <c r="V5" t="s">
        <v>12</v>
      </c>
    </row>
    <row r="6" spans="1:27" x14ac:dyDescent="0.3">
      <c r="A6" t="s">
        <v>536</v>
      </c>
      <c r="B6" t="s">
        <v>442</v>
      </c>
      <c r="C6" t="s">
        <v>434</v>
      </c>
      <c r="D6" t="s">
        <v>438</v>
      </c>
      <c r="E6" s="38">
        <v>12</v>
      </c>
      <c r="F6">
        <v>2</v>
      </c>
      <c r="J6" s="13"/>
      <c r="K6" s="13"/>
      <c r="L6" s="13" t="s">
        <v>144</v>
      </c>
      <c r="M6" s="13"/>
      <c r="N6" s="13" t="s">
        <v>297</v>
      </c>
      <c r="O6" s="13"/>
      <c r="P6" s="13" t="s">
        <v>397</v>
      </c>
      <c r="Q6" s="13"/>
      <c r="V6" t="s">
        <v>1746</v>
      </c>
    </row>
    <row r="7" spans="1:27" x14ac:dyDescent="0.3">
      <c r="A7" t="s">
        <v>400</v>
      </c>
      <c r="B7" t="s">
        <v>443</v>
      </c>
      <c r="C7" t="s">
        <v>426</v>
      </c>
      <c r="D7" t="s">
        <v>436</v>
      </c>
      <c r="E7" s="38">
        <v>12</v>
      </c>
      <c r="F7">
        <v>1</v>
      </c>
      <c r="J7" s="13"/>
      <c r="K7" s="13"/>
      <c r="L7" s="38" t="s">
        <v>817</v>
      </c>
      <c r="N7" s="13" t="s">
        <v>719</v>
      </c>
      <c r="O7" s="13"/>
      <c r="P7" s="13"/>
      <c r="Q7" s="13"/>
    </row>
    <row r="8" spans="1:27" x14ac:dyDescent="0.3">
      <c r="A8" t="s">
        <v>422</v>
      </c>
      <c r="B8" t="s">
        <v>444</v>
      </c>
      <c r="C8" t="s">
        <v>427</v>
      </c>
      <c r="D8" t="s">
        <v>437</v>
      </c>
      <c r="E8" s="38">
        <v>12</v>
      </c>
      <c r="F8">
        <v>1</v>
      </c>
      <c r="J8" s="13"/>
      <c r="K8" s="13"/>
      <c r="L8" s="13" t="s">
        <v>151</v>
      </c>
      <c r="M8" s="13"/>
      <c r="O8" s="13"/>
      <c r="P8" s="13"/>
      <c r="Q8" s="13"/>
    </row>
    <row r="9" spans="1:27" x14ac:dyDescent="0.3">
      <c r="A9" t="s">
        <v>423</v>
      </c>
      <c r="B9" t="s">
        <v>445</v>
      </c>
      <c r="C9" t="s">
        <v>428</v>
      </c>
      <c r="D9" t="s">
        <v>431</v>
      </c>
      <c r="E9" s="38">
        <v>12</v>
      </c>
      <c r="F9">
        <v>1</v>
      </c>
      <c r="J9" s="13"/>
      <c r="K9" s="13"/>
      <c r="L9" s="13" t="s">
        <v>173</v>
      </c>
      <c r="M9" s="13"/>
      <c r="N9" s="13"/>
      <c r="O9" s="13"/>
      <c r="P9" s="13"/>
      <c r="Q9" s="13"/>
    </row>
    <row r="10" spans="1:27" x14ac:dyDescent="0.3">
      <c r="A10" t="s">
        <v>525</v>
      </c>
      <c r="B10" s="30" t="s">
        <v>527</v>
      </c>
      <c r="C10" s="30" t="s">
        <v>529</v>
      </c>
      <c r="D10" s="30" t="s">
        <v>531</v>
      </c>
      <c r="E10" s="38">
        <v>12</v>
      </c>
      <c r="F10" s="30">
        <v>1</v>
      </c>
      <c r="J10" s="13"/>
      <c r="K10" s="13"/>
      <c r="L10" s="13" t="s">
        <v>180</v>
      </c>
      <c r="M10" s="13"/>
      <c r="N10" s="13"/>
      <c r="O10" s="13"/>
      <c r="P10" s="13"/>
      <c r="Q10" s="13"/>
    </row>
    <row r="11" spans="1:27" x14ac:dyDescent="0.3">
      <c r="A11" t="s">
        <v>526</v>
      </c>
      <c r="B11" s="30" t="s">
        <v>528</v>
      </c>
      <c r="C11" s="30" t="s">
        <v>530</v>
      </c>
      <c r="D11" s="30" t="s">
        <v>532</v>
      </c>
      <c r="E11" s="38">
        <v>12</v>
      </c>
      <c r="F11" s="30">
        <v>5</v>
      </c>
      <c r="J11" s="13"/>
      <c r="K11" s="13"/>
      <c r="L11" s="13" t="s">
        <v>185</v>
      </c>
      <c r="M11" s="13"/>
      <c r="N11" s="13"/>
      <c r="O11" s="13"/>
      <c r="P11" s="13"/>
      <c r="Q11" s="13"/>
    </row>
    <row r="12" spans="1:27" x14ac:dyDescent="0.3">
      <c r="A12" t="s">
        <v>850</v>
      </c>
      <c r="B12" s="38" t="s">
        <v>851</v>
      </c>
      <c r="C12" s="38" t="s">
        <v>852</v>
      </c>
      <c r="D12" s="38" t="s">
        <v>853</v>
      </c>
      <c r="E12" s="38">
        <v>12</v>
      </c>
      <c r="F12">
        <v>2</v>
      </c>
      <c r="J12" s="13"/>
      <c r="K12" s="13"/>
      <c r="L12" s="13" t="s">
        <v>377</v>
      </c>
      <c r="M12" s="13"/>
      <c r="N12" s="13"/>
      <c r="O12" s="13"/>
      <c r="P12" s="13"/>
      <c r="Q12" s="13"/>
    </row>
    <row r="13" spans="1:27" x14ac:dyDescent="0.3">
      <c r="A13" s="38" t="s">
        <v>854</v>
      </c>
      <c r="B13" s="38" t="s">
        <v>855</v>
      </c>
      <c r="C13" s="38" t="s">
        <v>856</v>
      </c>
      <c r="D13" s="38" t="s">
        <v>857</v>
      </c>
      <c r="E13" s="38">
        <v>12</v>
      </c>
      <c r="F13">
        <v>3</v>
      </c>
      <c r="J13" s="13"/>
      <c r="K13" s="13"/>
      <c r="L13" s="13" t="s">
        <v>237</v>
      </c>
      <c r="M13" s="13"/>
      <c r="N13" s="13"/>
      <c r="O13" s="13"/>
      <c r="P13" s="13"/>
      <c r="Q13" s="13"/>
    </row>
    <row r="14" spans="1:27" x14ac:dyDescent="0.3">
      <c r="A14" t="s">
        <v>858</v>
      </c>
      <c r="B14" s="38" t="s">
        <v>859</v>
      </c>
      <c r="C14" s="38" t="s">
        <v>860</v>
      </c>
      <c r="D14" s="38" t="s">
        <v>861</v>
      </c>
      <c r="E14" s="38">
        <v>12</v>
      </c>
      <c r="F14">
        <v>10</v>
      </c>
      <c r="J14" s="13"/>
      <c r="K14" s="13"/>
      <c r="L14" s="13" t="s">
        <v>299</v>
      </c>
      <c r="M14" s="13"/>
      <c r="N14" s="13"/>
      <c r="O14" s="13"/>
      <c r="P14" s="13"/>
      <c r="Q14" s="13"/>
    </row>
    <row r="15" spans="1:27" x14ac:dyDescent="0.3">
      <c r="A15" t="s">
        <v>947</v>
      </c>
      <c r="B15" t="s">
        <v>948</v>
      </c>
      <c r="C15" s="38" t="s">
        <v>949</v>
      </c>
      <c r="D15" s="38" t="s">
        <v>950</v>
      </c>
      <c r="E15" s="38">
        <v>24</v>
      </c>
      <c r="F15">
        <v>2</v>
      </c>
      <c r="J15" s="13"/>
      <c r="K15" s="13"/>
      <c r="L15" s="13" t="s">
        <v>301</v>
      </c>
      <c r="M15" s="13"/>
      <c r="N15" s="13"/>
      <c r="O15" s="13"/>
      <c r="P15" s="13"/>
      <c r="Q15" s="13"/>
    </row>
    <row r="16" spans="1:27" x14ac:dyDescent="0.3">
      <c r="A16" t="s">
        <v>1073</v>
      </c>
      <c r="B16" t="s">
        <v>1075</v>
      </c>
      <c r="C16" t="s">
        <v>1076</v>
      </c>
      <c r="D16" t="s">
        <v>1077</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1136</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977</v>
      </c>
      <c r="B23" s="17">
        <v>43313</v>
      </c>
      <c r="L23" s="13"/>
    </row>
    <row r="24" spans="1:17" x14ac:dyDescent="0.3">
      <c r="A24" t="s">
        <v>978</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73">
        <f>SUMIFS(CampList[Total],CampList[Type of Accomodation],Graphs!$A2,CampList[Status],Definition!$X$3,CampList[Accessibility],Definition!$AA$2)</f>
        <v>57656</v>
      </c>
      <c r="C2" s="388"/>
      <c r="D2" s="305" t="s">
        <v>1401</v>
      </c>
      <c r="E2" s="305"/>
    </row>
    <row r="3" spans="1:5" x14ac:dyDescent="0.3">
      <c r="A3" t="s">
        <v>1390</v>
      </c>
      <c r="B3" s="373">
        <f>SUMIFS(CampList[Total],CampList[Type of Accomodation],Graphs!$A3,CampList[Status],Definition!$X$3,CampList[Accessibility],Definition!$AA$2)</f>
        <v>5296</v>
      </c>
      <c r="C3" s="388"/>
      <c r="D3" t="s">
        <v>1261</v>
      </c>
      <c r="E3" s="305">
        <f>COUNTIF('NFI Distributions'!D5:D61,"NRC")</f>
        <v>2</v>
      </c>
    </row>
    <row r="4" spans="1:5" x14ac:dyDescent="0.3">
      <c r="A4" t="s">
        <v>849</v>
      </c>
      <c r="B4" s="373">
        <f>SUMIFS(CampList[Total],CampList[Type of Accomodation],Graphs!$A4,CampList[Status],Definition!$X$3,CampList[Accessibility],Definition!$AA$2)</f>
        <v>0</v>
      </c>
      <c r="C4" s="389"/>
      <c r="D4" t="s">
        <v>1399</v>
      </c>
      <c r="E4">
        <f>COUNTIF('NFI Distributions'!D40:D62,"NRC/KBC")</f>
        <v>0</v>
      </c>
    </row>
    <row r="5" spans="1:5" x14ac:dyDescent="0.3">
      <c r="A5" t="s">
        <v>1384</v>
      </c>
      <c r="B5" s="373">
        <f>SUMIFS(CampList[Total],CampList[Type of Accomodation],Graphs!$A5,CampList[Status],Definition!$X$3,CampList[Accessibility],Definition!$AA$2)</f>
        <v>3983</v>
      </c>
      <c r="C5" s="388"/>
      <c r="D5" t="s">
        <v>778</v>
      </c>
      <c r="E5" s="305">
        <f>COUNTIF('NFI Distributions'!D41:D63,"Metta")</f>
        <v>0</v>
      </c>
    </row>
    <row r="6" spans="1:5" x14ac:dyDescent="0.3">
      <c r="A6" s="305"/>
      <c r="B6" s="373"/>
      <c r="D6" t="s">
        <v>825</v>
      </c>
      <c r="E6" s="305">
        <f>COUNTIF('NFI Distributions'!D42:D64,"MRCS")</f>
        <v>0</v>
      </c>
    </row>
    <row r="7" spans="1:5" x14ac:dyDescent="0.3">
      <c r="B7" s="373"/>
      <c r="D7" t="s">
        <v>1400</v>
      </c>
      <c r="E7" s="305">
        <f>COUNTIF('NFI Distributions'!D43:D65,"UNHCR/Shalom")</f>
        <v>0</v>
      </c>
    </row>
    <row r="8" spans="1:5" x14ac:dyDescent="0.3">
      <c r="A8" t="s">
        <v>466</v>
      </c>
      <c r="B8" s="373"/>
    </row>
    <row r="9" spans="1:5" x14ac:dyDescent="0.3">
      <c r="A9" s="305" t="s">
        <v>507</v>
      </c>
      <c r="B9" s="373">
        <f>SUMIFS(CampList[Total],CampList[Type of Accomodation],Graphs!$A9,CampList[Status],Definition!$X$3,CampList[Accessibility],Definition!$AA$3)</f>
        <v>39096</v>
      </c>
      <c r="C9" s="388"/>
    </row>
    <row r="10" spans="1:5" x14ac:dyDescent="0.3">
      <c r="A10" s="305" t="s">
        <v>1390</v>
      </c>
      <c r="B10" s="373">
        <f>SUMIFS(CampList[Total],CampList[Type of Accomodation],Graphs!$A10,CampList[Status],Definition!$X$3,CampList[Accessibility],Definition!$AA$3)</f>
        <v>0</v>
      </c>
      <c r="C10" s="388"/>
    </row>
    <row r="11" spans="1:5" x14ac:dyDescent="0.3">
      <c r="A11" s="305" t="s">
        <v>849</v>
      </c>
      <c r="B11" s="373">
        <f>SUMIFS(CampList[Total],CampList[Type of Accomodation],Graphs!$A11,CampList[Status],Definition!$X$3,CampList[Accessibility],Definition!$AA$3)</f>
        <v>872</v>
      </c>
      <c r="C11" s="388"/>
    </row>
    <row r="12" spans="1:5" x14ac:dyDescent="0.3">
      <c r="A12" s="305" t="s">
        <v>1384</v>
      </c>
      <c r="B12" s="373">
        <f>SUMIFS(CampList[Total],CampList[Type of Accomodation],Graphs!$A12,CampList[Status],Definition!$X$3,CampList[Accessibility],Definition!$AA$3)</f>
        <v>0</v>
      </c>
      <c r="C12" s="388"/>
    </row>
    <row r="13" spans="1:5" s="305" customFormat="1" x14ac:dyDescent="0.3">
      <c r="B13" s="373"/>
      <c r="C13" s="388"/>
    </row>
    <row r="15" spans="1:5" x14ac:dyDescent="0.3">
      <c r="A15" t="s">
        <v>1391</v>
      </c>
    </row>
    <row r="16" spans="1:5" x14ac:dyDescent="0.3">
      <c r="A16" t="s">
        <v>378</v>
      </c>
      <c r="B16">
        <f>SUMIFS(CampList[Total],CampList[Status],Definition!$X$3,CampList[State],Definition!$J$2)</f>
        <v>98388</v>
      </c>
    </row>
    <row r="17" spans="1:5" x14ac:dyDescent="0.3">
      <c r="A17" t="s">
        <v>1150</v>
      </c>
      <c r="B17" s="305">
        <f>SUMIFS(CampList[Total],CampList[Status],Definition!$X$3,CampList[State],Definition!$J$4,CampList[Affected Population],Definition!$Y$3)</f>
        <v>8515</v>
      </c>
    </row>
    <row r="18" spans="1:5" s="305" customFormat="1" x14ac:dyDescent="0.3">
      <c r="D18"/>
      <c r="E18"/>
    </row>
    <row r="19" spans="1:5" x14ac:dyDescent="0.3">
      <c r="A19" t="s">
        <v>1392</v>
      </c>
      <c r="D19" s="305"/>
      <c r="E19" s="305"/>
    </row>
    <row r="20" spans="1:5" x14ac:dyDescent="0.3">
      <c r="A20" t="s">
        <v>466</v>
      </c>
      <c r="B20">
        <f>SUMIFS(CampList[Total],CampList[Status],Definition!$X$3,CampList[Accessibility],Definition!$AA$3)</f>
        <v>39968</v>
      </c>
    </row>
    <row r="21" spans="1:5" x14ac:dyDescent="0.3">
      <c r="A21" t="s">
        <v>464</v>
      </c>
      <c r="B21" s="305">
        <f>SUMIFS(CampList[Total],CampList[Status],Definition!$X$3,CampList[Accessibility],Definition!$AA$2)</f>
        <v>66935</v>
      </c>
    </row>
    <row r="23" spans="1:5" x14ac:dyDescent="0.3">
      <c r="A23" t="s">
        <v>1393</v>
      </c>
    </row>
    <row r="24" spans="1:5" x14ac:dyDescent="0.3">
      <c r="A24" s="259" t="s">
        <v>1149</v>
      </c>
      <c r="B24" s="260" t="s">
        <v>1029</v>
      </c>
    </row>
    <row r="25" spans="1:5" x14ac:dyDescent="0.3">
      <c r="A25" s="261" t="s">
        <v>378</v>
      </c>
      <c r="B25" s="262"/>
    </row>
    <row r="26" spans="1:5" x14ac:dyDescent="0.3">
      <c r="A26" s="263" t="s">
        <v>5</v>
      </c>
      <c r="B26" s="264">
        <f>COUNTIFS(CampList[[#All],[Status]],"open",CampList[[#All],[Township]],"Bhamo")</f>
        <v>0</v>
      </c>
    </row>
    <row r="27" spans="1:5" x14ac:dyDescent="0.3">
      <c r="A27" s="263" t="s">
        <v>27</v>
      </c>
      <c r="B27" s="264">
        <f>COUNTIFS(CampList[[#All],[Status]],"open",CampList[[#All],[Township]],"Chipwi")</f>
        <v>0</v>
      </c>
    </row>
    <row r="28" spans="1:5" x14ac:dyDescent="0.3">
      <c r="A28" s="263" t="s">
        <v>480</v>
      </c>
      <c r="B28" s="264">
        <f>COUNTIFS(CampList[[#All],[Status]],"open",CampList[[#All],[Township]],"Hpakant")</f>
        <v>0</v>
      </c>
    </row>
    <row r="29" spans="1:5" x14ac:dyDescent="0.3">
      <c r="A29" s="263" t="s">
        <v>361</v>
      </c>
      <c r="B29" s="264">
        <f>COUNTIFS(CampList[[#All],[Status]],"open",CampList[[#All],[Township]],"Injangyang")</f>
        <v>0</v>
      </c>
    </row>
    <row r="30" spans="1:5" x14ac:dyDescent="0.3">
      <c r="A30" s="263" t="s">
        <v>144</v>
      </c>
      <c r="B30" s="264">
        <f>COUNTIFS(CampList[[#All],[Status]],"open",CampList[[#All],[Township]],"Khaunglanhpu")</f>
        <v>0</v>
      </c>
    </row>
    <row r="31" spans="1:5" x14ac:dyDescent="0.3">
      <c r="A31" s="263" t="s">
        <v>817</v>
      </c>
      <c r="B31" s="264">
        <f>COUNTIFS(CampList[[#All],[Status]],"open",CampList[[#All],[Township]],"Manchanbaw")</f>
        <v>0</v>
      </c>
    </row>
    <row r="32" spans="1:5" x14ac:dyDescent="0.3">
      <c r="A32" s="263" t="s">
        <v>151</v>
      </c>
      <c r="B32" s="264">
        <f>COUNTIFS(CampList[[#All],[Status]],"open",CampList[[#All],[Township]],"Mansi")</f>
        <v>0</v>
      </c>
    </row>
    <row r="33" spans="1:2" x14ac:dyDescent="0.3">
      <c r="A33" s="263" t="s">
        <v>173</v>
      </c>
      <c r="B33" s="264">
        <f>COUNTIFS(CampList[[#All],[Status]],"open",CampList[[#All],[Township]],"Mogaung")</f>
        <v>0</v>
      </c>
    </row>
    <row r="34" spans="1:2" x14ac:dyDescent="0.3">
      <c r="A34" s="263" t="s">
        <v>180</v>
      </c>
      <c r="B34" s="264">
        <f>COUNTIFS(CampList[[#All],[Status]],"open",CampList[[#All],[Township]],"Mohnyin")</f>
        <v>0</v>
      </c>
    </row>
    <row r="35" spans="1:2" x14ac:dyDescent="0.3">
      <c r="A35" s="263" t="s">
        <v>185</v>
      </c>
      <c r="B35" s="264">
        <f>COUNTIFS(CampList[[#All],[Status]],"open",CampList[[#All],[Township]],"Momauk")</f>
        <v>0</v>
      </c>
    </row>
    <row r="36" spans="1:2" x14ac:dyDescent="0.3">
      <c r="A36" s="263" t="s">
        <v>237</v>
      </c>
      <c r="B36" s="264">
        <f>COUNTIFS(CampList[[#All],[Status]],"open",CampList[[#All],[Township]],"Myitkyina")</f>
        <v>0</v>
      </c>
    </row>
    <row r="37" spans="1:2" x14ac:dyDescent="0.3">
      <c r="A37" s="263" t="s">
        <v>299</v>
      </c>
      <c r="B37" s="264">
        <f>COUNTIFS(CampList[[#All],[Status]],"open",CampList[[#All],[Township]],"Puta-O")</f>
        <v>0</v>
      </c>
    </row>
    <row r="38" spans="1:2" x14ac:dyDescent="0.3">
      <c r="A38" s="263" t="s">
        <v>301</v>
      </c>
      <c r="B38" s="264">
        <f>COUNTIFS(CampList[[#All],[Status]],"open",CampList[[#All],[Township]],"Shwegu")</f>
        <v>0</v>
      </c>
    </row>
    <row r="39" spans="1:2" x14ac:dyDescent="0.3">
      <c r="A39" s="263" t="s">
        <v>746</v>
      </c>
      <c r="B39" s="264">
        <f>COUNTIFS(CampList[[#All],[Status]],"open",CampList[[#All],[Township]],"Sumprabum")</f>
        <v>0</v>
      </c>
    </row>
    <row r="40" spans="1:2" x14ac:dyDescent="0.3">
      <c r="A40" s="263" t="s">
        <v>1136</v>
      </c>
      <c r="B40" s="264">
        <f>COUNTIFS(CampList[[#All],[Status]],"open",CampList[[#All],[Township]],"Tanai")</f>
        <v>0</v>
      </c>
    </row>
    <row r="41" spans="1:2" x14ac:dyDescent="0.3">
      <c r="A41" s="263" t="s">
        <v>309</v>
      </c>
      <c r="B41" s="264">
        <f>COUNTIFS(CampList[[#All],[Status]],"open",CampList[[#All],[Township]],"Waingmaw")</f>
        <v>0</v>
      </c>
    </row>
    <row r="42" spans="1:2" x14ac:dyDescent="0.3">
      <c r="A42" s="265" t="s">
        <v>779</v>
      </c>
      <c r="B42" s="266">
        <f>SUM(B26:B41)</f>
        <v>0</v>
      </c>
    </row>
    <row r="43" spans="1:2" x14ac:dyDescent="0.3">
      <c r="A43" s="261" t="s">
        <v>1150</v>
      </c>
      <c r="B43" s="262"/>
    </row>
    <row r="44" spans="1:2" x14ac:dyDescent="0.3">
      <c r="A44" s="267" t="s">
        <v>719</v>
      </c>
      <c r="B44" s="264">
        <f>COUNTIFS(CampList[[#All],[Status]],"open",CampList[[#All],[Township]],"Hseni")</f>
        <v>0</v>
      </c>
    </row>
    <row r="45" spans="1:2" x14ac:dyDescent="0.3">
      <c r="A45" s="267" t="s">
        <v>146</v>
      </c>
      <c r="B45" s="264">
        <f>COUNTIFS(CampList[[#All],[Status]],"open",CampList[[#All],[Township]],"Kutkai")</f>
        <v>0</v>
      </c>
    </row>
    <row r="46" spans="1:2" x14ac:dyDescent="0.3">
      <c r="A46" s="267" t="s">
        <v>166</v>
      </c>
      <c r="B46" s="264">
        <f>COUNTIFS(CampList[[#All],[Status]],"open",CampList[[#All],[Township]],"Manton")</f>
        <v>0</v>
      </c>
    </row>
    <row r="47" spans="1:2" x14ac:dyDescent="0.3">
      <c r="A47" s="263" t="s">
        <v>230</v>
      </c>
      <c r="B47" s="264">
        <f>COUNTIFS(CampList[[#All],[Status]],"open",CampList[[#All],[Township]],"Muse")</f>
        <v>0</v>
      </c>
    </row>
    <row r="48" spans="1:2" x14ac:dyDescent="0.3">
      <c r="A48" s="263" t="s">
        <v>288</v>
      </c>
      <c r="B48" s="264">
        <f>COUNTIFS(CampList[[#All],[Status]],"open",CampList[[#All],[Township]],"Namhkan")</f>
        <v>0</v>
      </c>
    </row>
    <row r="49" spans="1:2" x14ac:dyDescent="0.3">
      <c r="A49" s="263" t="s">
        <v>1200</v>
      </c>
      <c r="B49" s="264">
        <f>COUNTIFS(CampList[[#All],[Status]],"open",CampList[[#All],[Township]],"Hsipaw")</f>
        <v>0</v>
      </c>
    </row>
    <row r="50" spans="1:2" x14ac:dyDescent="0.3">
      <c r="A50" s="263" t="s">
        <v>297</v>
      </c>
      <c r="B50" s="264">
        <f>COUNTIFS(CampList[[#All],[Status]],"open",CampList[[#All],[Township]],"Namtu")</f>
        <v>0</v>
      </c>
    </row>
    <row r="51" spans="1:2" x14ac:dyDescent="0.3">
      <c r="A51" s="268" t="s">
        <v>1151</v>
      </c>
      <c r="B51" s="266">
        <f>SUM(B44:B50)</f>
        <v>0</v>
      </c>
    </row>
    <row r="52" spans="1:2" x14ac:dyDescent="0.3">
      <c r="A52" s="259" t="s">
        <v>411</v>
      </c>
      <c r="B52" s="266">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70" zoomScaleNormal="70" workbookViewId="0">
      <pane ySplit="2" topLeftCell="A3" activePane="bottomLeft" state="frozen"/>
      <selection activeCell="AS915" sqref="AS915"/>
      <selection pane="bottomLeft" activeCell="Z5" sqref="Z5:Z6"/>
    </sheetView>
  </sheetViews>
  <sheetFormatPr defaultColWidth="9.109375" defaultRowHeight="14.4" x14ac:dyDescent="0.3"/>
  <cols>
    <col min="1" max="1" width="1.88671875" style="611" customWidth="1"/>
    <col min="2" max="2" width="17.77734375" style="611" customWidth="1"/>
    <col min="3" max="3" width="9.33203125" style="611" customWidth="1"/>
    <col min="4" max="4" width="12.33203125" style="611" customWidth="1"/>
    <col min="5" max="5" width="12.44140625" style="611" customWidth="1"/>
    <col min="6" max="6" width="13.33203125" style="611" customWidth="1"/>
    <col min="7" max="7" width="16.44140625" style="611" customWidth="1"/>
    <col min="8" max="9" width="11.33203125" style="611" customWidth="1"/>
    <col min="10" max="10" width="7.33203125" style="611" customWidth="1"/>
    <col min="11" max="11" width="11.33203125" style="611" customWidth="1"/>
    <col min="12" max="12" width="8.6640625" style="611" customWidth="1"/>
    <col min="13" max="13" width="13.109375" style="611" customWidth="1"/>
    <col min="14" max="14" width="14.109375" style="611" customWidth="1"/>
    <col min="15" max="15" width="14.109375" style="611" bestFit="1" customWidth="1"/>
    <col min="16" max="16" width="0" style="611" hidden="1" customWidth="1"/>
    <col min="17" max="17" width="19.44140625" style="611" hidden="1" customWidth="1"/>
    <col min="18" max="18" width="20.5546875" style="611" hidden="1" customWidth="1"/>
    <col min="19" max="19" width="0" style="611" hidden="1" customWidth="1"/>
    <col min="20" max="20" width="9.109375" style="611"/>
    <col min="21" max="21" width="15.6640625" style="611" customWidth="1"/>
    <col min="22" max="22" width="16.109375" style="611" customWidth="1"/>
    <col min="23" max="23" width="9.109375" style="611"/>
    <col min="24" max="24" width="15.5546875" style="611" customWidth="1"/>
    <col min="25" max="25" width="10.6640625" style="611" customWidth="1"/>
    <col min="26" max="26" width="26.6640625" style="611" customWidth="1"/>
    <col min="27" max="27" width="10.109375" style="611" customWidth="1"/>
    <col min="28" max="28" width="9.109375" style="611"/>
    <col min="29" max="29" width="7.44140625" style="611" customWidth="1"/>
    <col min="30" max="30" width="7" style="611" customWidth="1"/>
    <col min="31" max="31" width="6.5546875" style="611" customWidth="1"/>
    <col min="32" max="32" width="9.88671875" style="611" bestFit="1" customWidth="1"/>
    <col min="33" max="33" width="7.109375" style="611" customWidth="1"/>
    <col min="34" max="34" width="8.109375" style="611" customWidth="1"/>
    <col min="35" max="35" width="6" style="611" customWidth="1"/>
    <col min="36" max="36" width="8" style="611" customWidth="1"/>
    <col min="37" max="37" width="9.44140625" style="611" bestFit="1" customWidth="1"/>
    <col min="38" max="38" width="9" style="611" customWidth="1"/>
    <col min="39" max="39" width="10.88671875" style="611" bestFit="1" customWidth="1"/>
    <col min="40" max="40" width="9.88671875" style="611" bestFit="1" customWidth="1"/>
    <col min="41" max="41" width="13.88671875" style="611" bestFit="1" customWidth="1"/>
    <col min="42" max="43" width="7.33203125" style="611" customWidth="1"/>
    <col min="44" max="44" width="11.5546875" style="611" bestFit="1" customWidth="1"/>
    <col min="45" max="49" width="9.109375" style="611"/>
    <col min="50" max="50" width="15.6640625" style="611" customWidth="1"/>
    <col min="51" max="51" width="16" style="611" customWidth="1"/>
    <col min="52" max="16384" width="9.109375" style="611"/>
  </cols>
  <sheetData>
    <row r="1" spans="2:60" ht="11.4" customHeight="1" x14ac:dyDescent="0.3"/>
    <row r="2" spans="2:60" s="612" customFormat="1" ht="63.75" customHeight="1" x14ac:dyDescent="0.3">
      <c r="B2" s="98" t="s">
        <v>1380</v>
      </c>
      <c r="C2" s="99"/>
      <c r="D2" s="99"/>
      <c r="E2" s="99"/>
      <c r="F2" s="99"/>
      <c r="G2" s="99"/>
      <c r="H2" s="99"/>
      <c r="I2" s="99"/>
      <c r="J2" s="99"/>
      <c r="K2" s="99"/>
      <c r="L2" s="99"/>
      <c r="M2" s="99"/>
      <c r="N2" s="99"/>
      <c r="O2" s="613"/>
      <c r="P2" s="614"/>
      <c r="Q2" s="614"/>
      <c r="R2" s="614"/>
      <c r="S2" s="614"/>
      <c r="T2" s="99"/>
      <c r="U2" s="99"/>
      <c r="V2" s="99"/>
      <c r="W2" s="99"/>
      <c r="X2" s="99"/>
      <c r="Y2" s="99"/>
      <c r="Z2" s="374"/>
      <c r="BG2" s="15"/>
      <c r="BH2" s="15"/>
    </row>
    <row r="3" spans="2:60" s="20" customFormat="1" ht="18" customHeight="1" x14ac:dyDescent="0.3">
      <c r="B3" s="752">
        <f>Definition!B23</f>
        <v>43313</v>
      </c>
      <c r="C3" s="753"/>
      <c r="D3" s="753"/>
      <c r="E3" s="100"/>
      <c r="F3" s="100"/>
      <c r="G3" s="100"/>
      <c r="H3" s="100"/>
      <c r="I3" s="100"/>
      <c r="J3" s="100"/>
      <c r="K3" s="100"/>
      <c r="L3" s="100"/>
      <c r="M3" s="100"/>
      <c r="N3" s="100"/>
      <c r="O3" s="107"/>
      <c r="P3" s="375"/>
      <c r="Q3" s="375"/>
      <c r="R3" s="375"/>
      <c r="S3" s="375"/>
      <c r="T3" s="376"/>
      <c r="U3" s="376"/>
      <c r="V3" s="376"/>
      <c r="W3" s="376"/>
      <c r="X3" s="376"/>
      <c r="Y3" s="376"/>
      <c r="Z3" s="377"/>
      <c r="BG3" s="16"/>
      <c r="BH3" s="16"/>
    </row>
    <row r="4" spans="2:60" s="20" customFormat="1" ht="36" customHeight="1" x14ac:dyDescent="0.45">
      <c r="B4" s="422" t="s">
        <v>1423</v>
      </c>
      <c r="C4" s="615"/>
      <c r="D4" s="82"/>
      <c r="E4" s="82"/>
      <c r="F4" s="82"/>
      <c r="G4" s="82"/>
      <c r="H4" s="83"/>
      <c r="I4" s="83"/>
      <c r="J4" s="83"/>
      <c r="K4" s="83"/>
      <c r="L4" s="616"/>
      <c r="M4" s="756" t="s">
        <v>1422</v>
      </c>
      <c r="N4" s="756"/>
      <c r="O4" s="758" t="s">
        <v>1447</v>
      </c>
      <c r="P4" s="758"/>
      <c r="Q4" s="758"/>
      <c r="R4" s="758"/>
      <c r="S4" s="758"/>
      <c r="T4" s="758"/>
      <c r="U4" s="448" t="s">
        <v>1446</v>
      </c>
      <c r="V4" s="103"/>
      <c r="W4" s="617"/>
      <c r="X4" s="765" t="str">
        <f>IF(O4="All","Kachin &amp; Northern Shan",IF(O4="Kachin","Kachin",IF(O4="Shan_North","Northern Shan","")))</f>
        <v>Kachin &amp; Northern Shan</v>
      </c>
      <c r="Y4" s="765"/>
      <c r="Z4" s="765"/>
      <c r="BG4" s="16"/>
      <c r="BH4" s="16"/>
    </row>
    <row r="5" spans="2:60" s="20" customFormat="1" ht="16.5" customHeight="1" x14ac:dyDescent="0.3">
      <c r="B5" s="139" t="s">
        <v>392</v>
      </c>
      <c r="C5" s="305" t="s">
        <v>537</v>
      </c>
      <c r="D5" s="618" t="s">
        <v>413</v>
      </c>
      <c r="E5" s="84"/>
      <c r="F5" s="84"/>
      <c r="G5" s="84"/>
      <c r="H5" s="84"/>
      <c r="I5" s="84"/>
      <c r="J5" s="84"/>
      <c r="K5" s="84"/>
      <c r="L5" s="84"/>
      <c r="M5" s="763" t="s">
        <v>1404</v>
      </c>
      <c r="N5" s="763"/>
      <c r="O5" s="763"/>
      <c r="P5" s="763"/>
      <c r="Q5" s="763"/>
      <c r="R5" s="763"/>
      <c r="S5" s="763"/>
      <c r="T5" s="763"/>
      <c r="U5" s="763"/>
      <c r="V5" s="619"/>
      <c r="W5" s="619"/>
      <c r="X5" s="619"/>
      <c r="Y5" s="619"/>
      <c r="Z5" s="761">
        <f ca="1">IF(O4="All",SUMIF(CampList[[#All],[Status]:[Total]],"Open",CampList[[#All],[Total]]),SUMIFS(CampList[[#All],[Total]],CampList[[#All],[Status]],"Open",CampList[[#All],[State]],O4))</f>
        <v>0</v>
      </c>
      <c r="AA5" s="620"/>
      <c r="BG5" s="16"/>
      <c r="BH5" s="16"/>
    </row>
    <row r="6" spans="2:60" ht="18" customHeight="1" x14ac:dyDescent="0.3">
      <c r="B6" s="139" t="s">
        <v>1036</v>
      </c>
      <c r="C6" s="305" t="s">
        <v>995</v>
      </c>
      <c r="M6" s="764"/>
      <c r="N6" s="764"/>
      <c r="O6" s="764"/>
      <c r="P6" s="764"/>
      <c r="Q6" s="764"/>
      <c r="R6" s="764"/>
      <c r="S6" s="764"/>
      <c r="T6" s="764"/>
      <c r="U6" s="764"/>
      <c r="V6" s="621"/>
      <c r="W6" s="621"/>
      <c r="X6" s="621"/>
      <c r="Y6" s="621"/>
      <c r="Z6" s="762"/>
      <c r="AA6" s="622"/>
    </row>
    <row r="7" spans="2:60" ht="14.4" customHeight="1" x14ac:dyDescent="0.3">
      <c r="B7" s="139" t="s">
        <v>458</v>
      </c>
      <c r="C7" s="305" t="s">
        <v>1745</v>
      </c>
      <c r="M7" s="763" t="s">
        <v>1405</v>
      </c>
      <c r="N7" s="763"/>
      <c r="O7" s="763"/>
      <c r="P7" s="763"/>
      <c r="Q7" s="763"/>
      <c r="R7" s="763"/>
      <c r="S7" s="763"/>
      <c r="T7" s="763"/>
      <c r="U7" s="763"/>
      <c r="V7" s="623"/>
      <c r="W7" s="623"/>
      <c r="X7" s="623"/>
      <c r="Y7" s="623"/>
      <c r="Z7" s="760">
        <f>IF(O4="All",COUNTIF(CampList[[#All],[Status]],"Open"),COUNTIFS(CampList[[#All],[Status]],"Open",CampList[[#All],[State]],O4))</f>
        <v>0</v>
      </c>
    </row>
    <row r="8" spans="2:60" x14ac:dyDescent="0.3">
      <c r="M8" s="763"/>
      <c r="N8" s="763"/>
      <c r="O8" s="763"/>
      <c r="P8" s="763"/>
      <c r="Q8" s="137" t="s">
        <v>392</v>
      </c>
      <c r="R8" s="134" t="s">
        <v>537</v>
      </c>
      <c r="S8" s="763"/>
      <c r="T8" s="763"/>
      <c r="U8" s="763"/>
      <c r="V8" s="623"/>
      <c r="W8" s="623"/>
      <c r="X8" s="623"/>
      <c r="Y8" s="623"/>
      <c r="Z8" s="760"/>
    </row>
    <row r="9" spans="2:60" ht="31.2" x14ac:dyDescent="0.3">
      <c r="B9" s="139" t="s">
        <v>0</v>
      </c>
      <c r="C9" s="305" t="s">
        <v>1758</v>
      </c>
      <c r="D9" s="305" t="s">
        <v>1443</v>
      </c>
      <c r="M9" s="759"/>
      <c r="N9" s="759"/>
      <c r="O9" s="759"/>
      <c r="P9" s="759"/>
      <c r="Q9" s="134" t="s">
        <v>458</v>
      </c>
      <c r="R9" s="134" t="s">
        <v>1745</v>
      </c>
      <c r="S9" s="759" t="s">
        <v>413</v>
      </c>
      <c r="T9" s="759"/>
      <c r="U9" s="759"/>
      <c r="V9" s="624"/>
      <c r="W9" s="624"/>
    </row>
    <row r="10" spans="2:60" x14ac:dyDescent="0.3">
      <c r="B10" s="6" t="s">
        <v>5</v>
      </c>
      <c r="C10" s="133">
        <v>1442</v>
      </c>
      <c r="D10" s="133">
        <v>7758</v>
      </c>
      <c r="T10" s="624"/>
      <c r="U10" s="624"/>
      <c r="V10" s="624"/>
      <c r="W10" s="624"/>
      <c r="X10" s="615"/>
      <c r="Y10" s="615"/>
    </row>
    <row r="11" spans="2:60" x14ac:dyDescent="0.3">
      <c r="B11" s="6" t="s">
        <v>27</v>
      </c>
      <c r="C11" s="133">
        <v>613</v>
      </c>
      <c r="D11" s="133">
        <v>3010</v>
      </c>
      <c r="Q11" s="134" t="s">
        <v>410</v>
      </c>
      <c r="R11" s="134" t="s">
        <v>412</v>
      </c>
      <c r="S11" s="615"/>
      <c r="T11" s="624"/>
      <c r="U11" s="624"/>
      <c r="V11" s="624"/>
      <c r="W11" s="624"/>
      <c r="X11" s="615"/>
      <c r="Y11" s="615"/>
    </row>
    <row r="12" spans="2:60" x14ac:dyDescent="0.3">
      <c r="B12" s="6" t="s">
        <v>480</v>
      </c>
      <c r="C12" s="133">
        <v>800</v>
      </c>
      <c r="D12" s="133">
        <v>3981</v>
      </c>
      <c r="Q12" s="135" t="s">
        <v>5</v>
      </c>
      <c r="R12" s="136">
        <v>7758</v>
      </c>
      <c r="S12" s="615"/>
      <c r="T12" s="624"/>
      <c r="U12" s="624"/>
      <c r="V12" s="624"/>
      <c r="W12" s="624"/>
      <c r="X12" s="615"/>
      <c r="Y12" s="615"/>
    </row>
    <row r="13" spans="2:60" x14ac:dyDescent="0.3">
      <c r="B13" s="6" t="s">
        <v>719</v>
      </c>
      <c r="C13" s="133">
        <v>32</v>
      </c>
      <c r="D13" s="133">
        <v>170</v>
      </c>
      <c r="Q13" s="135" t="s">
        <v>27</v>
      </c>
      <c r="R13" s="136">
        <v>3010</v>
      </c>
      <c r="S13" s="615"/>
      <c r="T13" s="624"/>
      <c r="U13" s="624"/>
      <c r="V13" s="624"/>
      <c r="W13" s="624"/>
      <c r="X13" s="615"/>
      <c r="Y13" s="615"/>
    </row>
    <row r="14" spans="2:60" x14ac:dyDescent="0.3">
      <c r="B14" s="6" t="s">
        <v>1200</v>
      </c>
      <c r="C14" s="133">
        <v>37</v>
      </c>
      <c r="D14" s="133">
        <v>120</v>
      </c>
      <c r="Q14" s="135" t="s">
        <v>480</v>
      </c>
      <c r="R14" s="136">
        <v>3981</v>
      </c>
      <c r="S14" s="615"/>
      <c r="X14" s="615"/>
      <c r="Y14" s="615"/>
    </row>
    <row r="15" spans="2:60" x14ac:dyDescent="0.3">
      <c r="B15" s="6" t="s">
        <v>146</v>
      </c>
      <c r="C15" s="133">
        <v>833</v>
      </c>
      <c r="D15" s="133">
        <v>4085</v>
      </c>
      <c r="Q15" s="135" t="s">
        <v>719</v>
      </c>
      <c r="R15" s="136">
        <v>170</v>
      </c>
      <c r="S15" s="615"/>
      <c r="X15" s="615"/>
      <c r="Y15" s="615"/>
    </row>
    <row r="16" spans="2:60" x14ac:dyDescent="0.3">
      <c r="B16" s="6" t="s">
        <v>151</v>
      </c>
      <c r="C16" s="133">
        <v>2818</v>
      </c>
      <c r="D16" s="133">
        <v>13197</v>
      </c>
      <c r="Q16" s="135" t="s">
        <v>1200</v>
      </c>
      <c r="R16" s="136">
        <v>120</v>
      </c>
      <c r="S16" s="615"/>
      <c r="X16" s="615"/>
      <c r="Y16" s="615"/>
    </row>
    <row r="17" spans="2:25" x14ac:dyDescent="0.3">
      <c r="B17" s="6" t="s">
        <v>166</v>
      </c>
      <c r="C17" s="133">
        <v>98</v>
      </c>
      <c r="D17" s="133">
        <v>538</v>
      </c>
      <c r="Q17" s="135" t="s">
        <v>146</v>
      </c>
      <c r="R17" s="136">
        <v>4085</v>
      </c>
      <c r="S17" s="615"/>
      <c r="X17" s="615"/>
      <c r="Y17" s="615"/>
    </row>
    <row r="18" spans="2:25" x14ac:dyDescent="0.3">
      <c r="B18" s="6" t="s">
        <v>173</v>
      </c>
      <c r="C18" s="133">
        <v>335</v>
      </c>
      <c r="D18" s="133">
        <v>1557</v>
      </c>
      <c r="Q18" s="135" t="s">
        <v>151</v>
      </c>
      <c r="R18" s="136">
        <v>13197</v>
      </c>
      <c r="S18" s="615"/>
      <c r="X18" s="615"/>
      <c r="Y18" s="615"/>
    </row>
    <row r="19" spans="2:25" x14ac:dyDescent="0.3">
      <c r="B19" s="6" t="s">
        <v>180</v>
      </c>
      <c r="C19" s="133">
        <v>78</v>
      </c>
      <c r="D19" s="133">
        <v>356</v>
      </c>
      <c r="Q19" s="135" t="s">
        <v>166</v>
      </c>
      <c r="R19" s="136">
        <v>538</v>
      </c>
      <c r="S19" s="615"/>
      <c r="X19" s="615"/>
      <c r="Y19" s="615"/>
    </row>
    <row r="20" spans="2:25" x14ac:dyDescent="0.3">
      <c r="B20" s="6" t="s">
        <v>185</v>
      </c>
      <c r="C20" s="133">
        <v>4753</v>
      </c>
      <c r="D20" s="133">
        <v>26874</v>
      </c>
      <c r="Q20" s="135" t="s">
        <v>173</v>
      </c>
      <c r="R20" s="136">
        <v>1557</v>
      </c>
      <c r="S20" s="615"/>
      <c r="X20" s="615"/>
      <c r="Y20" s="615"/>
    </row>
    <row r="21" spans="2:25" x14ac:dyDescent="0.3">
      <c r="B21" s="6" t="s">
        <v>230</v>
      </c>
      <c r="C21" s="133">
        <v>212</v>
      </c>
      <c r="D21" s="133">
        <v>1058</v>
      </c>
      <c r="Q21" s="135" t="s">
        <v>180</v>
      </c>
      <c r="R21" s="136">
        <v>356</v>
      </c>
      <c r="S21" s="615"/>
      <c r="X21" s="615"/>
      <c r="Y21" s="615"/>
    </row>
    <row r="22" spans="2:25" x14ac:dyDescent="0.3">
      <c r="B22" s="6" t="s">
        <v>237</v>
      </c>
      <c r="C22" s="133">
        <v>2590</v>
      </c>
      <c r="D22" s="133">
        <v>13045</v>
      </c>
      <c r="Q22" s="135" t="s">
        <v>185</v>
      </c>
      <c r="R22" s="136">
        <v>26874</v>
      </c>
      <c r="S22" s="615"/>
      <c r="X22" s="615"/>
      <c r="Y22" s="615"/>
    </row>
    <row r="23" spans="2:25" x14ac:dyDescent="0.3">
      <c r="B23" s="6" t="s">
        <v>288</v>
      </c>
      <c r="C23" s="133">
        <v>400</v>
      </c>
      <c r="D23" s="133">
        <v>2001</v>
      </c>
      <c r="Q23" s="135" t="s">
        <v>230</v>
      </c>
      <c r="R23" s="136">
        <v>1058</v>
      </c>
      <c r="S23" s="615"/>
      <c r="X23" s="615"/>
      <c r="Y23" s="615"/>
    </row>
    <row r="24" spans="2:25" x14ac:dyDescent="0.3">
      <c r="B24" s="6" t="s">
        <v>297</v>
      </c>
      <c r="C24" s="133">
        <v>153</v>
      </c>
      <c r="D24" s="133">
        <v>731</v>
      </c>
      <c r="Q24" s="135" t="s">
        <v>237</v>
      </c>
      <c r="R24" s="136">
        <v>13045</v>
      </c>
      <c r="S24" s="615"/>
      <c r="X24" s="615"/>
      <c r="Y24" s="615"/>
    </row>
    <row r="25" spans="2:25" x14ac:dyDescent="0.3">
      <c r="B25" s="6" t="s">
        <v>299</v>
      </c>
      <c r="C25" s="133">
        <v>85</v>
      </c>
      <c r="D25" s="133">
        <v>412</v>
      </c>
      <c r="Q25" s="135" t="s">
        <v>288</v>
      </c>
      <c r="R25" s="136">
        <v>2001</v>
      </c>
      <c r="S25" s="615"/>
      <c r="X25" s="615"/>
      <c r="Y25" s="615"/>
    </row>
    <row r="26" spans="2:25" x14ac:dyDescent="0.3">
      <c r="B26" s="6" t="s">
        <v>301</v>
      </c>
      <c r="C26" s="133">
        <v>138</v>
      </c>
      <c r="D26" s="133">
        <v>541</v>
      </c>
      <c r="Q26" s="135" t="s">
        <v>297</v>
      </c>
      <c r="R26" s="136">
        <v>731</v>
      </c>
      <c r="S26" s="615"/>
      <c r="X26" s="615"/>
      <c r="Y26" s="615"/>
    </row>
    <row r="27" spans="2:25" x14ac:dyDescent="0.3">
      <c r="B27" s="6" t="s">
        <v>746</v>
      </c>
      <c r="C27" s="133">
        <v>191</v>
      </c>
      <c r="D27" s="133">
        <v>1001</v>
      </c>
      <c r="Q27" s="135" t="s">
        <v>299</v>
      </c>
      <c r="R27" s="136">
        <v>412</v>
      </c>
      <c r="X27" s="615"/>
      <c r="Y27" s="615"/>
    </row>
    <row r="28" spans="2:25" x14ac:dyDescent="0.3">
      <c r="B28" s="6" t="s">
        <v>309</v>
      </c>
      <c r="C28" s="133">
        <v>4906</v>
      </c>
      <c r="D28" s="133">
        <v>25414</v>
      </c>
      <c r="Q28" s="135" t="s">
        <v>301</v>
      </c>
      <c r="R28" s="136">
        <v>541</v>
      </c>
      <c r="X28" s="615"/>
      <c r="Y28" s="615"/>
    </row>
    <row r="29" spans="2:25" x14ac:dyDescent="0.3">
      <c r="B29" s="6" t="s">
        <v>1136</v>
      </c>
      <c r="C29" s="133">
        <v>316</v>
      </c>
      <c r="D29" s="133">
        <v>1285</v>
      </c>
      <c r="Q29" s="135" t="s">
        <v>746</v>
      </c>
      <c r="R29" s="136">
        <v>1001</v>
      </c>
      <c r="X29" s="615"/>
      <c r="Y29" s="615"/>
    </row>
    <row r="30" spans="2:25" x14ac:dyDescent="0.3">
      <c r="B30" s="6" t="s">
        <v>411</v>
      </c>
      <c r="C30" s="133">
        <v>20830</v>
      </c>
      <c r="D30" s="133">
        <v>107134</v>
      </c>
      <c r="Q30" s="135" t="s">
        <v>1136</v>
      </c>
      <c r="R30" s="136">
        <v>1285</v>
      </c>
      <c r="X30" s="615"/>
      <c r="Y30" s="615"/>
    </row>
    <row r="31" spans="2:25" x14ac:dyDescent="0.3">
      <c r="B31"/>
      <c r="C31"/>
      <c r="D31"/>
      <c r="Q31" s="135" t="s">
        <v>309</v>
      </c>
      <c r="R31" s="136">
        <v>25414</v>
      </c>
      <c r="X31" s="615"/>
      <c r="Y31" s="615"/>
    </row>
    <row r="32" spans="2:25" x14ac:dyDescent="0.3">
      <c r="B32" s="615"/>
      <c r="C32" s="615"/>
      <c r="D32" s="615"/>
      <c r="Q32" s="169" t="s">
        <v>411</v>
      </c>
      <c r="R32" s="168">
        <v>107134</v>
      </c>
      <c r="X32" s="615"/>
      <c r="Y32" s="615"/>
    </row>
    <row r="33" spans="2:25" x14ac:dyDescent="0.3">
      <c r="B33" s="615"/>
      <c r="C33" s="615"/>
      <c r="D33" s="615"/>
      <c r="Q33"/>
      <c r="R33"/>
      <c r="X33" s="615"/>
      <c r="Y33" s="615"/>
    </row>
    <row r="34" spans="2:25" ht="21" x14ac:dyDescent="0.4">
      <c r="B34" s="387" t="s">
        <v>1424</v>
      </c>
      <c r="C34" s="615"/>
      <c r="D34" s="615"/>
      <c r="Q34" s="615"/>
      <c r="R34" s="615"/>
      <c r="X34" s="615"/>
      <c r="Y34" s="615"/>
    </row>
    <row r="35" spans="2:25" x14ac:dyDescent="0.3">
      <c r="C35" s="615"/>
      <c r="D35" s="615"/>
      <c r="Q35" s="615"/>
      <c r="R35" s="615"/>
      <c r="X35" s="615"/>
      <c r="Y35" s="615"/>
    </row>
    <row r="36" spans="2:25" hidden="1" x14ac:dyDescent="0.3">
      <c r="B36" s="615"/>
      <c r="C36" s="615"/>
      <c r="D36" s="615"/>
      <c r="Q36" s="615"/>
      <c r="R36" s="615"/>
      <c r="X36" s="615"/>
      <c r="Y36" s="615"/>
    </row>
    <row r="37" spans="2:25" hidden="1" x14ac:dyDescent="0.3">
      <c r="Q37" s="615"/>
      <c r="R37" s="615"/>
      <c r="X37" s="615"/>
      <c r="Y37" s="615"/>
    </row>
    <row r="38" spans="2:25" hidden="1" x14ac:dyDescent="0.3">
      <c r="Q38" s="615"/>
      <c r="R38" s="615"/>
      <c r="X38" s="615"/>
      <c r="Y38" s="615"/>
    </row>
    <row r="39" spans="2:25" hidden="1" x14ac:dyDescent="0.3">
      <c r="Q39" s="615"/>
      <c r="R39" s="615"/>
      <c r="X39" s="615"/>
      <c r="Y39" s="615"/>
    </row>
    <row r="40" spans="2:25" hidden="1" x14ac:dyDescent="0.3">
      <c r="Q40" s="615"/>
      <c r="R40" s="615"/>
      <c r="X40" s="615"/>
      <c r="Y40" s="615"/>
    </row>
    <row r="41" spans="2:25" hidden="1" x14ac:dyDescent="0.3">
      <c r="Q41" s="615"/>
      <c r="R41" s="615"/>
      <c r="X41" s="615"/>
      <c r="Y41" s="615"/>
    </row>
    <row r="42" spans="2:25" hidden="1" x14ac:dyDescent="0.3">
      <c r="Q42" s="615"/>
      <c r="R42" s="615"/>
      <c r="X42" s="615"/>
      <c r="Y42" s="615"/>
    </row>
    <row r="43" spans="2:25" x14ac:dyDescent="0.3">
      <c r="B43" s="156" t="s">
        <v>392</v>
      </c>
      <c r="C43" s="154" t="s">
        <v>537</v>
      </c>
      <c r="D43" s="625" t="s">
        <v>413</v>
      </c>
      <c r="Q43" s="615"/>
      <c r="R43" s="615"/>
      <c r="X43" s="615"/>
      <c r="Y43" s="615"/>
    </row>
    <row r="44" spans="2:25" x14ac:dyDescent="0.3">
      <c r="B44" s="156" t="s">
        <v>1036</v>
      </c>
      <c r="C44" s="154" t="s">
        <v>995</v>
      </c>
      <c r="Q44" s="615"/>
      <c r="R44" s="615"/>
      <c r="X44" s="615"/>
      <c r="Y44" s="615"/>
    </row>
    <row r="45" spans="2:25" x14ac:dyDescent="0.3">
      <c r="Q45" s="615"/>
      <c r="R45" s="615"/>
      <c r="X45" s="615"/>
      <c r="Y45" s="615"/>
    </row>
    <row r="46" spans="2:25" x14ac:dyDescent="0.3">
      <c r="B46" s="149" t="s">
        <v>764</v>
      </c>
      <c r="C46" s="141" t="s">
        <v>457</v>
      </c>
      <c r="D46" s="142"/>
      <c r="E46"/>
      <c r="F46"/>
      <c r="G46"/>
      <c r="H46"/>
      <c r="Q46" s="615"/>
      <c r="R46" s="615"/>
      <c r="X46" s="615"/>
      <c r="Y46" s="615"/>
    </row>
    <row r="47" spans="2:25" x14ac:dyDescent="0.3">
      <c r="B47" s="150" t="s">
        <v>410</v>
      </c>
      <c r="C47" s="155" t="s">
        <v>1745</v>
      </c>
      <c r="D47" s="143" t="s">
        <v>1443</v>
      </c>
      <c r="E47"/>
      <c r="F47"/>
      <c r="G47"/>
      <c r="H47"/>
      <c r="Q47" s="615"/>
      <c r="R47" s="615"/>
      <c r="X47" s="615"/>
      <c r="Y47" s="615"/>
    </row>
    <row r="48" spans="2:25" x14ac:dyDescent="0.3">
      <c r="B48" s="151" t="s">
        <v>464</v>
      </c>
      <c r="C48" s="155">
        <v>67166</v>
      </c>
      <c r="D48" s="710">
        <v>67166</v>
      </c>
      <c r="E48"/>
      <c r="F48"/>
      <c r="G48"/>
      <c r="H48"/>
      <c r="Q48" s="615"/>
      <c r="R48" s="615"/>
      <c r="X48" s="615"/>
      <c r="Y48" s="615"/>
    </row>
    <row r="49" spans="2:51" x14ac:dyDescent="0.3">
      <c r="B49" s="151" t="s">
        <v>466</v>
      </c>
      <c r="C49" s="155">
        <v>39968</v>
      </c>
      <c r="D49" s="710">
        <v>39968</v>
      </c>
      <c r="E49"/>
      <c r="F49"/>
      <c r="G49"/>
      <c r="H49"/>
      <c r="Q49" s="615"/>
      <c r="R49" s="615"/>
      <c r="X49" s="615"/>
      <c r="Y49" s="615"/>
    </row>
    <row r="50" spans="2:51" x14ac:dyDescent="0.3">
      <c r="B50" s="171" t="s">
        <v>1443</v>
      </c>
      <c r="C50" s="720">
        <v>107134</v>
      </c>
      <c r="D50" s="170">
        <v>107134</v>
      </c>
      <c r="E50"/>
      <c r="F50"/>
      <c r="G50"/>
      <c r="H50"/>
      <c r="X50" s="615"/>
      <c r="Y50" s="615"/>
    </row>
    <row r="51" spans="2:51" x14ac:dyDescent="0.3">
      <c r="B51" s="615"/>
      <c r="C51" s="615"/>
      <c r="D51" s="615"/>
      <c r="E51" s="615"/>
      <c r="F51" s="615"/>
      <c r="X51" s="615"/>
      <c r="Y51" s="615"/>
    </row>
    <row r="52" spans="2:51" x14ac:dyDescent="0.3">
      <c r="B52" s="757" t="s">
        <v>1425</v>
      </c>
      <c r="C52" s="757"/>
      <c r="D52" s="757"/>
      <c r="E52" s="757"/>
      <c r="F52" s="615"/>
      <c r="X52" s="615"/>
      <c r="Y52" s="615"/>
    </row>
    <row r="53" spans="2:51" ht="27.75" customHeight="1" x14ac:dyDescent="0.3">
      <c r="B53" s="757"/>
      <c r="C53" s="757"/>
      <c r="D53" s="757"/>
      <c r="E53" s="757"/>
      <c r="F53" s="615"/>
      <c r="X53" s="615"/>
      <c r="Y53" s="615"/>
      <c r="AX53" s="139" t="s">
        <v>458</v>
      </c>
      <c r="AY53" s="305" t="s">
        <v>1745</v>
      </c>
    </row>
    <row r="54" spans="2:51" x14ac:dyDescent="0.3">
      <c r="B54" s="164" t="s">
        <v>458</v>
      </c>
      <c r="C54" s="164" t="s">
        <v>1745</v>
      </c>
      <c r="O54"/>
      <c r="X54" s="615"/>
      <c r="Y54" s="615"/>
    </row>
    <row r="55" spans="2:51" x14ac:dyDescent="0.3">
      <c r="B55" s="156" t="s">
        <v>1036</v>
      </c>
      <c r="C55" s="154" t="s">
        <v>537</v>
      </c>
      <c r="O55"/>
      <c r="AX55" s="139" t="s">
        <v>410</v>
      </c>
      <c r="AY55" t="s">
        <v>1543</v>
      </c>
    </row>
    <row r="56" spans="2:51" x14ac:dyDescent="0.3">
      <c r="O56"/>
      <c r="AX56" s="6" t="s">
        <v>5</v>
      </c>
      <c r="AY56" s="133">
        <v>10</v>
      </c>
    </row>
    <row r="57" spans="2:51" x14ac:dyDescent="0.3">
      <c r="B57" s="149"/>
      <c r="C57" s="141" t="s">
        <v>763</v>
      </c>
      <c r="D57" s="141"/>
      <c r="E57" s="142"/>
      <c r="F57"/>
      <c r="O57"/>
      <c r="AX57" s="6" t="s">
        <v>27</v>
      </c>
      <c r="AY57" s="133">
        <v>5</v>
      </c>
    </row>
    <row r="58" spans="2:51" x14ac:dyDescent="0.3">
      <c r="B58" s="150"/>
      <c r="C58" s="140" t="s">
        <v>464</v>
      </c>
      <c r="D58" s="140" t="s">
        <v>466</v>
      </c>
      <c r="E58" s="143" t="s">
        <v>1443</v>
      </c>
      <c r="F58"/>
      <c r="O58"/>
      <c r="AX58" s="6" t="s">
        <v>480</v>
      </c>
      <c r="AY58" s="133">
        <v>23</v>
      </c>
    </row>
    <row r="59" spans="2:51" x14ac:dyDescent="0.3">
      <c r="B59" s="462" t="s">
        <v>764</v>
      </c>
      <c r="C59" s="152">
        <v>67166</v>
      </c>
      <c r="D59" s="152">
        <v>39968</v>
      </c>
      <c r="E59" s="153">
        <v>107134</v>
      </c>
      <c r="F59"/>
      <c r="O59"/>
      <c r="AX59" s="6" t="s">
        <v>719</v>
      </c>
      <c r="AY59" s="133">
        <v>1</v>
      </c>
    </row>
    <row r="60" spans="2:51" x14ac:dyDescent="0.3">
      <c r="B60" s="615"/>
      <c r="C60" s="615"/>
      <c r="D60" s="615"/>
      <c r="E60" s="615"/>
      <c r="F60" s="615"/>
      <c r="O60"/>
      <c r="AX60" s="6" t="s">
        <v>1200</v>
      </c>
      <c r="AY60" s="133">
        <v>1</v>
      </c>
    </row>
    <row r="61" spans="2:51" x14ac:dyDescent="0.3">
      <c r="B61" s="615"/>
      <c r="C61" s="615"/>
      <c r="D61" s="615"/>
      <c r="E61" s="615"/>
      <c r="F61" s="615"/>
      <c r="O61"/>
      <c r="AX61" s="6" t="s">
        <v>146</v>
      </c>
      <c r="AY61" s="133">
        <v>14</v>
      </c>
    </row>
    <row r="62" spans="2:51" x14ac:dyDescent="0.3">
      <c r="B62" s="615"/>
      <c r="C62" s="615"/>
      <c r="D62" s="615"/>
      <c r="E62" s="615"/>
      <c r="F62" s="615"/>
      <c r="O62"/>
      <c r="AX62" s="6" t="s">
        <v>151</v>
      </c>
      <c r="AY62" s="133">
        <v>11</v>
      </c>
    </row>
    <row r="63" spans="2:51" x14ac:dyDescent="0.3">
      <c r="B63" s="615"/>
      <c r="C63" s="615"/>
      <c r="D63" s="615"/>
      <c r="E63" s="615"/>
      <c r="F63" s="615"/>
      <c r="H63" s="293"/>
      <c r="O63"/>
      <c r="AX63" s="6" t="s">
        <v>166</v>
      </c>
      <c r="AY63" s="133">
        <v>3</v>
      </c>
    </row>
    <row r="64" spans="2:51" x14ac:dyDescent="0.3">
      <c r="O64"/>
      <c r="AX64" s="6" t="s">
        <v>173</v>
      </c>
      <c r="AY64" s="133">
        <v>8</v>
      </c>
    </row>
    <row r="65" spans="2:51" x14ac:dyDescent="0.3">
      <c r="B65" s="757" t="s">
        <v>1426</v>
      </c>
      <c r="C65" s="757"/>
      <c r="D65" s="757"/>
      <c r="E65" s="757"/>
      <c r="O65"/>
      <c r="AX65" s="6" t="s">
        <v>180</v>
      </c>
      <c r="AY65" s="133">
        <v>4</v>
      </c>
    </row>
    <row r="66" spans="2:51" ht="27" customHeight="1" x14ac:dyDescent="0.3">
      <c r="B66" s="757"/>
      <c r="C66" s="757"/>
      <c r="D66" s="757"/>
      <c r="E66" s="757"/>
      <c r="O66"/>
      <c r="AX66" s="6" t="s">
        <v>185</v>
      </c>
      <c r="AY66" s="133">
        <v>15</v>
      </c>
    </row>
    <row r="67" spans="2:51" x14ac:dyDescent="0.3">
      <c r="B67" s="147" t="s">
        <v>458</v>
      </c>
      <c r="C67" s="148" t="s">
        <v>1745</v>
      </c>
      <c r="O67"/>
      <c r="AX67" s="6" t="s">
        <v>230</v>
      </c>
      <c r="AY67" s="133">
        <v>3</v>
      </c>
    </row>
    <row r="68" spans="2:51" x14ac:dyDescent="0.3">
      <c r="B68" s="147" t="s">
        <v>1036</v>
      </c>
      <c r="C68" s="148" t="s">
        <v>537</v>
      </c>
      <c r="O68"/>
      <c r="AX68" s="6" t="s">
        <v>237</v>
      </c>
      <c r="AY68" s="133">
        <v>28</v>
      </c>
    </row>
    <row r="69" spans="2:51" x14ac:dyDescent="0.3">
      <c r="O69"/>
      <c r="AX69" s="6" t="s">
        <v>288</v>
      </c>
      <c r="AY69" s="133">
        <v>6</v>
      </c>
    </row>
    <row r="70" spans="2:51" x14ac:dyDescent="0.3">
      <c r="B70" s="459"/>
      <c r="C70" s="158" t="s">
        <v>763</v>
      </c>
      <c r="D70" s="145"/>
      <c r="E70" s="146"/>
      <c r="F70"/>
      <c r="G70" s="615"/>
      <c r="O70"/>
      <c r="AX70" s="6" t="s">
        <v>297</v>
      </c>
      <c r="AY70" s="133">
        <v>4</v>
      </c>
    </row>
    <row r="71" spans="2:51" x14ac:dyDescent="0.3">
      <c r="B71" s="460"/>
      <c r="C71" s="132" t="s">
        <v>464</v>
      </c>
      <c r="D71" s="132" t="s">
        <v>466</v>
      </c>
      <c r="E71" s="144" t="s">
        <v>1444</v>
      </c>
      <c r="F71"/>
      <c r="G71" s="615"/>
      <c r="O71"/>
      <c r="AX71" s="6" t="s">
        <v>299</v>
      </c>
      <c r="AY71" s="133">
        <v>3</v>
      </c>
    </row>
    <row r="72" spans="2:51" x14ac:dyDescent="0.3">
      <c r="B72" s="461" t="s">
        <v>1543</v>
      </c>
      <c r="C72" s="160">
        <v>154</v>
      </c>
      <c r="D72" s="160">
        <v>18</v>
      </c>
      <c r="E72" s="161">
        <v>172</v>
      </c>
      <c r="F72"/>
      <c r="G72" s="615"/>
      <c r="O72"/>
      <c r="AX72" s="6" t="s">
        <v>301</v>
      </c>
      <c r="AY72" s="133">
        <v>2</v>
      </c>
    </row>
    <row r="73" spans="2:51" x14ac:dyDescent="0.3">
      <c r="B73" s="615"/>
      <c r="C73" s="615"/>
      <c r="D73" s="615"/>
      <c r="E73" s="615"/>
      <c r="F73" s="615"/>
      <c r="G73" s="615"/>
      <c r="O73"/>
      <c r="AX73" s="6" t="s">
        <v>746</v>
      </c>
      <c r="AY73" s="133">
        <v>3</v>
      </c>
    </row>
    <row r="74" spans="2:51" x14ac:dyDescent="0.3">
      <c r="B74" s="615"/>
      <c r="C74" s="615"/>
      <c r="D74" s="615"/>
      <c r="E74" s="615"/>
      <c r="F74" s="615"/>
      <c r="O74"/>
      <c r="AX74" s="6" t="s">
        <v>1136</v>
      </c>
      <c r="AY74" s="133">
        <v>4</v>
      </c>
    </row>
    <row r="75" spans="2:51" ht="18" x14ac:dyDescent="0.35">
      <c r="B75" s="723" t="s">
        <v>1755</v>
      </c>
      <c r="C75" s="615"/>
      <c r="D75" s="615"/>
      <c r="E75" s="615"/>
      <c r="F75" s="615"/>
      <c r="O75"/>
      <c r="AX75" s="6" t="s">
        <v>309</v>
      </c>
      <c r="AY75" s="133">
        <v>24</v>
      </c>
    </row>
    <row r="76" spans="2:51" x14ac:dyDescent="0.3">
      <c r="B76" s="615"/>
      <c r="C76" s="615"/>
      <c r="D76" s="615"/>
      <c r="E76" s="615"/>
      <c r="F76" s="615"/>
      <c r="M76"/>
      <c r="N76"/>
      <c r="O76"/>
      <c r="AX76" s="6" t="s">
        <v>411</v>
      </c>
      <c r="AY76" s="133">
        <v>172</v>
      </c>
    </row>
    <row r="77" spans="2:51" x14ac:dyDescent="0.3">
      <c r="B77" s="139" t="s">
        <v>458</v>
      </c>
      <c r="C77" s="305" t="s">
        <v>1745</v>
      </c>
      <c r="M77"/>
      <c r="N77"/>
      <c r="O77"/>
    </row>
    <row r="78" spans="2:51" x14ac:dyDescent="0.3">
      <c r="B78" s="139" t="s">
        <v>457</v>
      </c>
      <c r="C78" s="305" t="s">
        <v>464</v>
      </c>
      <c r="M78"/>
      <c r="N78"/>
      <c r="O78"/>
    </row>
    <row r="79" spans="2:51" ht="15.75" customHeight="1" x14ac:dyDescent="0.4">
      <c r="B79" s="723"/>
      <c r="C79" s="721"/>
      <c r="D79" s="721"/>
      <c r="E79" s="721"/>
    </row>
    <row r="80" spans="2:51" ht="21" x14ac:dyDescent="0.4">
      <c r="B80" s="139" t="s">
        <v>410</v>
      </c>
      <c r="C80" t="s">
        <v>1756</v>
      </c>
      <c r="D80"/>
      <c r="E80" s="721"/>
    </row>
    <row r="81" spans="2:5" x14ac:dyDescent="0.3">
      <c r="B81" s="6" t="s">
        <v>507</v>
      </c>
      <c r="C81" s="36">
        <v>0.7857142857142857</v>
      </c>
      <c r="D81"/>
      <c r="E81"/>
    </row>
    <row r="82" spans="2:5" x14ac:dyDescent="0.3">
      <c r="B82" s="6" t="s">
        <v>1574</v>
      </c>
      <c r="C82" s="36">
        <v>0.14285714285714285</v>
      </c>
      <c r="D82"/>
      <c r="E82"/>
    </row>
    <row r="83" spans="2:5" x14ac:dyDescent="0.3">
      <c r="B83" s="6" t="s">
        <v>12</v>
      </c>
      <c r="C83" s="36">
        <v>7.1428571428571425E-2</v>
      </c>
      <c r="D83"/>
      <c r="E83" s="615"/>
    </row>
    <row r="84" spans="2:5" x14ac:dyDescent="0.3">
      <c r="B84" s="6" t="s">
        <v>411</v>
      </c>
      <c r="C84" s="36">
        <v>1</v>
      </c>
      <c r="D84"/>
      <c r="E84" s="615"/>
    </row>
    <row r="85" spans="2:5" x14ac:dyDescent="0.3">
      <c r="B85"/>
      <c r="C85"/>
      <c r="D85" s="305"/>
      <c r="E85" s="615"/>
    </row>
    <row r="86" spans="2:5" ht="23.25" customHeight="1" x14ac:dyDescent="0.3">
      <c r="B86" s="724" t="s">
        <v>1757</v>
      </c>
      <c r="C86" s="36"/>
      <c r="D86" s="305"/>
      <c r="E86" s="615"/>
    </row>
    <row r="87" spans="2:5" x14ac:dyDescent="0.3">
      <c r="B87" s="139" t="s">
        <v>458</v>
      </c>
      <c r="C87" s="305" t="s">
        <v>1745</v>
      </c>
      <c r="D87"/>
      <c r="E87" s="615"/>
    </row>
    <row r="88" spans="2:5" x14ac:dyDescent="0.3">
      <c r="B88" s="139" t="s">
        <v>1036</v>
      </c>
      <c r="C88" s="305" t="s">
        <v>537</v>
      </c>
      <c r="D88"/>
      <c r="E88" s="615"/>
    </row>
    <row r="89" spans="2:5" x14ac:dyDescent="0.3">
      <c r="B89"/>
      <c r="C89"/>
      <c r="D89"/>
      <c r="E89" s="615"/>
    </row>
    <row r="90" spans="2:5" x14ac:dyDescent="0.3">
      <c r="B90" s="139" t="s">
        <v>410</v>
      </c>
      <c r="C90" s="305" t="s">
        <v>1759</v>
      </c>
      <c r="D90" s="305" t="s">
        <v>788</v>
      </c>
      <c r="E90" s="305" t="s">
        <v>1445</v>
      </c>
    </row>
    <row r="91" spans="2:5" x14ac:dyDescent="0.3">
      <c r="B91" s="6" t="s">
        <v>378</v>
      </c>
      <c r="C91" s="133">
        <v>140</v>
      </c>
      <c r="D91" s="133">
        <v>98431</v>
      </c>
      <c r="E91" s="36">
        <v>0.91876528459686002</v>
      </c>
    </row>
    <row r="92" spans="2:5" x14ac:dyDescent="0.3">
      <c r="B92" s="709" t="s">
        <v>464</v>
      </c>
      <c r="C92" s="133">
        <v>122</v>
      </c>
      <c r="D92" s="133">
        <v>58463</v>
      </c>
      <c r="E92" s="36">
        <v>0.54569977784830215</v>
      </c>
    </row>
    <row r="93" spans="2:5" x14ac:dyDescent="0.3">
      <c r="B93" s="709" t="s">
        <v>466</v>
      </c>
      <c r="C93" s="133">
        <v>18</v>
      </c>
      <c r="D93" s="133">
        <v>39968</v>
      </c>
      <c r="E93" s="36">
        <v>0.37306550674855787</v>
      </c>
    </row>
    <row r="94" spans="2:5" x14ac:dyDescent="0.3">
      <c r="B94" s="6" t="s">
        <v>506</v>
      </c>
      <c r="C94" s="133">
        <v>32</v>
      </c>
      <c r="D94" s="133">
        <v>8703</v>
      </c>
      <c r="E94" s="36">
        <v>8.1234715403139993E-2</v>
      </c>
    </row>
    <row r="95" spans="2:5" x14ac:dyDescent="0.3">
      <c r="B95" s="709" t="s">
        <v>464</v>
      </c>
      <c r="C95" s="133">
        <v>32</v>
      </c>
      <c r="D95" s="133">
        <v>8703</v>
      </c>
      <c r="E95" s="36">
        <v>8.1234715403139993E-2</v>
      </c>
    </row>
    <row r="96" spans="2:5" x14ac:dyDescent="0.3">
      <c r="B96" s="6" t="s">
        <v>411</v>
      </c>
      <c r="C96" s="133">
        <v>172</v>
      </c>
      <c r="D96" s="133">
        <v>107134</v>
      </c>
      <c r="E96" s="722">
        <v>1</v>
      </c>
    </row>
    <row r="97" spans="2:5" x14ac:dyDescent="0.3">
      <c r="B97"/>
      <c r="C97"/>
      <c r="D97"/>
      <c r="E97" s="615"/>
    </row>
    <row r="98" spans="2:5" x14ac:dyDescent="0.3">
      <c r="B98"/>
      <c r="C98"/>
      <c r="D98"/>
      <c r="E98" s="615"/>
    </row>
    <row r="99" spans="2:5" x14ac:dyDescent="0.3">
      <c r="B99"/>
      <c r="C99"/>
      <c r="D99"/>
      <c r="E99" s="615"/>
    </row>
    <row r="100" spans="2:5" x14ac:dyDescent="0.3">
      <c r="B100"/>
      <c r="C100"/>
      <c r="D100"/>
      <c r="E100" s="615"/>
    </row>
    <row r="101" spans="2:5" x14ac:dyDescent="0.3">
      <c r="B101"/>
      <c r="C101"/>
      <c r="D101"/>
      <c r="E101" s="615"/>
    </row>
    <row r="102" spans="2:5" x14ac:dyDescent="0.3">
      <c r="B102"/>
      <c r="C102"/>
      <c r="D102"/>
      <c r="E102" s="615"/>
    </row>
    <row r="103" spans="2:5" x14ac:dyDescent="0.3">
      <c r="B103"/>
      <c r="C103"/>
      <c r="D103"/>
      <c r="E103" s="615"/>
    </row>
    <row r="104" spans="2:5" x14ac:dyDescent="0.3">
      <c r="B104"/>
      <c r="C104"/>
      <c r="D104"/>
      <c r="E104" s="615"/>
    </row>
    <row r="105" spans="2:5" x14ac:dyDescent="0.3">
      <c r="B105"/>
      <c r="C105"/>
      <c r="D105"/>
      <c r="E105" s="615"/>
    </row>
    <row r="106" spans="2:5" x14ac:dyDescent="0.3">
      <c r="B106"/>
      <c r="C106"/>
      <c r="D106"/>
      <c r="E106" s="615"/>
    </row>
    <row r="107" spans="2:5" x14ac:dyDescent="0.3">
      <c r="B107"/>
      <c r="C107"/>
      <c r="D107"/>
      <c r="E107" s="615"/>
    </row>
    <row r="108" spans="2:5" x14ac:dyDescent="0.3">
      <c r="B108"/>
      <c r="C108"/>
      <c r="D108" s="615"/>
      <c r="E108" s="615"/>
    </row>
    <row r="109" spans="2:5" x14ac:dyDescent="0.3">
      <c r="B109"/>
      <c r="C109"/>
      <c r="D109" s="615"/>
      <c r="E109" s="615"/>
    </row>
    <row r="110" spans="2:5" x14ac:dyDescent="0.3">
      <c r="B110"/>
      <c r="C110"/>
      <c r="D110" s="615"/>
      <c r="E110" s="615"/>
    </row>
    <row r="111" spans="2:5" x14ac:dyDescent="0.3">
      <c r="B111"/>
      <c r="C111"/>
      <c r="D111" s="615"/>
      <c r="E111" s="615"/>
    </row>
    <row r="112" spans="2:5" x14ac:dyDescent="0.3">
      <c r="B112"/>
      <c r="C112"/>
      <c r="D112" s="615"/>
      <c r="E112" s="615"/>
    </row>
    <row r="113" spans="2:5" x14ac:dyDescent="0.3">
      <c r="B113"/>
      <c r="C113"/>
      <c r="D113" s="615"/>
      <c r="E113" s="615"/>
    </row>
    <row r="114" spans="2:5" x14ac:dyDescent="0.3">
      <c r="B114" s="615"/>
      <c r="C114" s="615"/>
      <c r="D114" s="615"/>
      <c r="E114" s="615"/>
    </row>
    <row r="115" spans="2:5" x14ac:dyDescent="0.3">
      <c r="B115" s="615"/>
      <c r="C115" s="615"/>
      <c r="D115" s="615"/>
      <c r="E115" s="615"/>
    </row>
    <row r="116" spans="2:5" x14ac:dyDescent="0.3">
      <c r="B116" s="615"/>
      <c r="C116" s="615"/>
      <c r="D116" s="615"/>
      <c r="E116" s="615"/>
    </row>
    <row r="117" spans="2:5" x14ac:dyDescent="0.3">
      <c r="B117" s="615"/>
      <c r="C117" s="615"/>
      <c r="D117" s="615"/>
      <c r="E117" s="615"/>
    </row>
    <row r="118" spans="2:5" x14ac:dyDescent="0.3">
      <c r="B118" s="615"/>
      <c r="C118" s="615"/>
      <c r="D118" s="615"/>
      <c r="E118" s="615"/>
    </row>
    <row r="119" spans="2:5" x14ac:dyDescent="0.3">
      <c r="B119" s="615"/>
      <c r="C119" s="615"/>
      <c r="D119" s="615"/>
      <c r="E119" s="615"/>
    </row>
    <row r="120" spans="2:5" x14ac:dyDescent="0.3">
      <c r="B120" s="615"/>
      <c r="C120" s="615"/>
      <c r="D120" s="615"/>
      <c r="E120" s="615"/>
    </row>
    <row r="121" spans="2:5" x14ac:dyDescent="0.3">
      <c r="B121" s="615"/>
      <c r="C121" s="615"/>
      <c r="D121" s="615"/>
      <c r="E121" s="615"/>
    </row>
    <row r="122" spans="2:5" x14ac:dyDescent="0.3">
      <c r="B122" s="615"/>
      <c r="C122" s="615"/>
      <c r="D122" s="615"/>
      <c r="E122" s="615"/>
    </row>
    <row r="123" spans="2:5" x14ac:dyDescent="0.3">
      <c r="B123" s="615"/>
      <c r="C123" s="615"/>
      <c r="D123" s="615"/>
      <c r="E123" s="615"/>
    </row>
    <row r="124" spans="2:5" x14ac:dyDescent="0.3">
      <c r="B124" s="615"/>
      <c r="C124" s="615"/>
      <c r="D124" s="615"/>
      <c r="E124" s="615"/>
    </row>
    <row r="125" spans="2:5" x14ac:dyDescent="0.3">
      <c r="B125" s="615"/>
      <c r="C125" s="615"/>
      <c r="D125" s="615"/>
      <c r="E125" s="615"/>
    </row>
    <row r="126" spans="2:5" x14ac:dyDescent="0.3">
      <c r="B126" s="615"/>
      <c r="C126" s="615"/>
      <c r="D126" s="615"/>
      <c r="E126" s="615"/>
    </row>
    <row r="127" spans="2:5" x14ac:dyDescent="0.3">
      <c r="B127" s="615"/>
      <c r="C127" s="615"/>
      <c r="D127" s="615"/>
      <c r="E127" s="615"/>
    </row>
    <row r="128" spans="2:5" x14ac:dyDescent="0.3">
      <c r="B128" s="615"/>
      <c r="C128" s="615"/>
      <c r="D128" s="615"/>
      <c r="E128" s="615"/>
    </row>
    <row r="129" spans="2:5" x14ac:dyDescent="0.3">
      <c r="B129" s="615"/>
      <c r="C129" s="615"/>
      <c r="D129" s="615"/>
      <c r="E129" s="615"/>
    </row>
    <row r="130" spans="2:5" x14ac:dyDescent="0.3">
      <c r="B130" s="615"/>
      <c r="C130" s="615"/>
      <c r="D130" s="615"/>
      <c r="E130" s="615"/>
    </row>
    <row r="131" spans="2:5" x14ac:dyDescent="0.3">
      <c r="B131" s="615"/>
      <c r="C131" s="615"/>
      <c r="D131" s="615"/>
      <c r="E131" s="615"/>
    </row>
    <row r="132" spans="2:5" x14ac:dyDescent="0.3">
      <c r="B132" s="615"/>
      <c r="C132" s="615"/>
      <c r="D132" s="615"/>
      <c r="E132" s="615"/>
    </row>
    <row r="133" spans="2:5" x14ac:dyDescent="0.3">
      <c r="B133" s="615"/>
      <c r="C133" s="615"/>
      <c r="D133" s="615"/>
      <c r="E133" s="615"/>
    </row>
    <row r="134" spans="2:5" x14ac:dyDescent="0.3">
      <c r="B134" s="615"/>
      <c r="C134" s="615"/>
      <c r="D134" s="615"/>
      <c r="E134" s="615"/>
    </row>
    <row r="135" spans="2:5" x14ac:dyDescent="0.3">
      <c r="B135" s="615"/>
      <c r="C135" s="615"/>
      <c r="D135" s="615"/>
      <c r="E135" s="615"/>
    </row>
    <row r="136" spans="2:5" x14ac:dyDescent="0.3">
      <c r="B136" s="615"/>
      <c r="C136" s="615"/>
      <c r="D136" s="615"/>
      <c r="E136" s="615"/>
    </row>
    <row r="137" spans="2:5" x14ac:dyDescent="0.3">
      <c r="B137" s="615"/>
      <c r="C137" s="615"/>
      <c r="D137" s="615"/>
      <c r="E137" s="615"/>
    </row>
    <row r="138" spans="2:5" x14ac:dyDescent="0.3">
      <c r="B138" s="615"/>
      <c r="C138" s="615"/>
      <c r="D138" s="615"/>
      <c r="E138" s="615"/>
    </row>
    <row r="139" spans="2:5" x14ac:dyDescent="0.3">
      <c r="B139" s="615"/>
      <c r="C139" s="615"/>
      <c r="D139" s="615"/>
      <c r="E139" s="615"/>
    </row>
    <row r="140" spans="2:5" x14ac:dyDescent="0.3">
      <c r="B140" s="615"/>
      <c r="C140" s="615"/>
      <c r="D140" s="615"/>
      <c r="E140" s="615"/>
    </row>
    <row r="141" spans="2:5" x14ac:dyDescent="0.3">
      <c r="B141" s="615"/>
      <c r="C141" s="615"/>
      <c r="D141" s="615"/>
      <c r="E141" s="615"/>
    </row>
    <row r="142" spans="2:5" x14ac:dyDescent="0.3">
      <c r="B142" s="615"/>
      <c r="C142" s="615"/>
      <c r="D142" s="615"/>
      <c r="E142" s="615"/>
    </row>
    <row r="143" spans="2:5" x14ac:dyDescent="0.3">
      <c r="B143" s="615"/>
      <c r="C143" s="615"/>
      <c r="D143" s="615"/>
      <c r="E143" s="615"/>
    </row>
    <row r="144" spans="2:5" x14ac:dyDescent="0.3">
      <c r="B144" s="615"/>
      <c r="C144" s="615"/>
      <c r="D144" s="615"/>
      <c r="E144" s="615"/>
    </row>
    <row r="145" spans="2:5" x14ac:dyDescent="0.3">
      <c r="B145" s="615"/>
      <c r="C145" s="615"/>
      <c r="D145" s="615"/>
      <c r="E145" s="615"/>
    </row>
    <row r="146" spans="2:5" x14ac:dyDescent="0.3">
      <c r="B146" s="615"/>
      <c r="C146" s="615"/>
      <c r="D146" s="615"/>
      <c r="E146" s="615"/>
    </row>
    <row r="147" spans="2:5" x14ac:dyDescent="0.3">
      <c r="B147" s="615"/>
      <c r="C147" s="615"/>
      <c r="D147" s="615"/>
      <c r="E147" s="615"/>
    </row>
    <row r="148" spans="2:5" x14ac:dyDescent="0.3">
      <c r="B148" s="615"/>
      <c r="C148" s="615"/>
      <c r="D148" s="615"/>
      <c r="E148" s="615"/>
    </row>
    <row r="149" spans="2:5" x14ac:dyDescent="0.3">
      <c r="B149" s="615"/>
      <c r="C149" s="615"/>
      <c r="D149" s="615"/>
      <c r="E149" s="615"/>
    </row>
    <row r="150" spans="2:5" x14ac:dyDescent="0.3">
      <c r="B150" s="615"/>
      <c r="C150" s="615"/>
      <c r="D150" s="615"/>
      <c r="E150" s="615"/>
    </row>
    <row r="151" spans="2:5" x14ac:dyDescent="0.3">
      <c r="B151" s="615"/>
      <c r="C151" s="615"/>
      <c r="D151" s="615"/>
      <c r="E151" s="615"/>
    </row>
    <row r="152" spans="2:5" x14ac:dyDescent="0.3">
      <c r="B152" s="615"/>
      <c r="C152" s="615"/>
      <c r="D152" s="615"/>
      <c r="E152" s="615"/>
    </row>
    <row r="153" spans="2:5" x14ac:dyDescent="0.3">
      <c r="B153" s="615"/>
      <c r="C153" s="615"/>
      <c r="D153" s="615"/>
      <c r="E153" s="615"/>
    </row>
    <row r="154" spans="2:5" x14ac:dyDescent="0.3">
      <c r="B154" s="615"/>
      <c r="C154" s="615"/>
      <c r="D154" s="615"/>
      <c r="E154" s="615"/>
    </row>
    <row r="155" spans="2:5" x14ac:dyDescent="0.3">
      <c r="B155" s="615"/>
      <c r="C155" s="615"/>
      <c r="D155" s="615"/>
      <c r="E155" s="615"/>
    </row>
    <row r="156" spans="2:5" x14ac:dyDescent="0.3">
      <c r="B156" s="615"/>
      <c r="C156" s="615"/>
      <c r="D156" s="615"/>
      <c r="E156" s="615"/>
    </row>
    <row r="157" spans="2:5" x14ac:dyDescent="0.3">
      <c r="B157" s="615"/>
      <c r="C157" s="615"/>
      <c r="D157" s="615"/>
      <c r="E157" s="615"/>
    </row>
    <row r="158" spans="2:5" x14ac:dyDescent="0.3">
      <c r="B158" s="615"/>
      <c r="C158" s="615"/>
      <c r="D158" s="615"/>
      <c r="E158" s="615"/>
    </row>
    <row r="159" spans="2:5" x14ac:dyDescent="0.3">
      <c r="B159" s="615"/>
      <c r="C159" s="615"/>
      <c r="D159" s="615"/>
      <c r="E159" s="615"/>
    </row>
    <row r="160" spans="2:5" x14ac:dyDescent="0.3">
      <c r="B160" s="615"/>
      <c r="C160" s="615"/>
      <c r="D160" s="615"/>
      <c r="E160" s="615"/>
    </row>
    <row r="161" spans="2:5" x14ac:dyDescent="0.3">
      <c r="B161" s="615"/>
      <c r="C161" s="615"/>
      <c r="D161" s="615"/>
      <c r="E161" s="615"/>
    </row>
    <row r="162" spans="2:5" x14ac:dyDescent="0.3">
      <c r="B162" s="615"/>
      <c r="C162" s="615"/>
      <c r="D162" s="615"/>
      <c r="E162" s="615"/>
    </row>
    <row r="163" spans="2:5" x14ac:dyDescent="0.3">
      <c r="B163" s="615"/>
      <c r="C163" s="615"/>
      <c r="D163" s="615"/>
      <c r="E163" s="615"/>
    </row>
    <row r="164" spans="2:5" x14ac:dyDescent="0.3">
      <c r="B164" s="615"/>
      <c r="C164" s="615"/>
      <c r="D164" s="615"/>
      <c r="E164" s="615"/>
    </row>
    <row r="165" spans="2:5" x14ac:dyDescent="0.3">
      <c r="B165" s="615"/>
      <c r="C165" s="615"/>
      <c r="D165" s="615"/>
      <c r="E165" s="615"/>
    </row>
    <row r="166" spans="2:5" x14ac:dyDescent="0.3">
      <c r="B166" s="615"/>
      <c r="C166" s="615"/>
      <c r="D166" s="615"/>
      <c r="E166" s="615"/>
    </row>
    <row r="167" spans="2:5" x14ac:dyDescent="0.3">
      <c r="B167" s="615"/>
      <c r="C167" s="615"/>
      <c r="D167" s="615"/>
      <c r="E167" s="615"/>
    </row>
    <row r="168" spans="2:5" x14ac:dyDescent="0.3">
      <c r="B168" s="615"/>
      <c r="C168" s="615"/>
      <c r="D168" s="615"/>
      <c r="E168" s="615"/>
    </row>
    <row r="169" spans="2:5" x14ac:dyDescent="0.3">
      <c r="B169" s="615"/>
      <c r="C169" s="615"/>
      <c r="D169" s="615"/>
      <c r="E169" s="615"/>
    </row>
    <row r="170" spans="2:5" x14ac:dyDescent="0.3">
      <c r="B170" s="615"/>
      <c r="C170" s="615"/>
      <c r="D170" s="615"/>
      <c r="E170" s="615"/>
    </row>
    <row r="171" spans="2:5" x14ac:dyDescent="0.3">
      <c r="B171" s="615"/>
      <c r="C171" s="615"/>
      <c r="D171" s="615"/>
      <c r="E171" s="615"/>
    </row>
    <row r="172" spans="2:5" x14ac:dyDescent="0.3">
      <c r="B172" s="615"/>
      <c r="C172" s="615"/>
      <c r="D172" s="615"/>
      <c r="E172" s="615"/>
    </row>
    <row r="173" spans="2:5" x14ac:dyDescent="0.3">
      <c r="B173" s="615"/>
      <c r="C173" s="615"/>
      <c r="D173" s="615"/>
      <c r="E173" s="615"/>
    </row>
    <row r="174" spans="2:5" x14ac:dyDescent="0.3">
      <c r="B174" s="615"/>
      <c r="C174" s="615"/>
      <c r="D174" s="615"/>
      <c r="E174" s="615"/>
    </row>
    <row r="175" spans="2:5" x14ac:dyDescent="0.3">
      <c r="B175" s="615"/>
      <c r="C175" s="615"/>
      <c r="D175" s="615"/>
      <c r="E175" s="615"/>
    </row>
    <row r="176" spans="2:5" x14ac:dyDescent="0.3">
      <c r="B176" s="615"/>
      <c r="C176" s="615"/>
      <c r="D176" s="615"/>
      <c r="E176" s="615"/>
    </row>
    <row r="177" spans="2:5" x14ac:dyDescent="0.3">
      <c r="B177" s="615"/>
      <c r="C177" s="615"/>
      <c r="D177" s="615"/>
      <c r="E177" s="615"/>
    </row>
    <row r="178" spans="2:5" x14ac:dyDescent="0.3">
      <c r="B178" s="615"/>
      <c r="C178" s="615"/>
      <c r="D178" s="615"/>
      <c r="E178" s="615"/>
    </row>
    <row r="179" spans="2:5" x14ac:dyDescent="0.3">
      <c r="B179" s="615"/>
      <c r="C179" s="615"/>
      <c r="D179" s="615"/>
      <c r="E179" s="615"/>
    </row>
    <row r="180" spans="2:5" x14ac:dyDescent="0.3">
      <c r="B180" s="615"/>
      <c r="C180" s="615"/>
      <c r="D180" s="615"/>
      <c r="E180" s="615"/>
    </row>
    <row r="181" spans="2:5" x14ac:dyDescent="0.3">
      <c r="B181" s="615"/>
      <c r="C181" s="615"/>
      <c r="D181" s="615"/>
      <c r="E181" s="615"/>
    </row>
    <row r="182" spans="2:5" x14ac:dyDescent="0.3">
      <c r="B182" s="615"/>
      <c r="C182" s="615"/>
      <c r="D182" s="615"/>
      <c r="E182" s="615"/>
    </row>
    <row r="183" spans="2:5" x14ac:dyDescent="0.3">
      <c r="B183" s="615"/>
      <c r="C183" s="615"/>
      <c r="D183" s="615"/>
      <c r="E183" s="615"/>
    </row>
    <row r="184" spans="2:5" x14ac:dyDescent="0.3">
      <c r="B184" s="615"/>
      <c r="C184" s="615"/>
      <c r="D184" s="615"/>
      <c r="E184" s="615"/>
    </row>
    <row r="185" spans="2:5" x14ac:dyDescent="0.3">
      <c r="B185" s="615"/>
      <c r="C185" s="615"/>
      <c r="D185" s="615"/>
      <c r="E185" s="615"/>
    </row>
    <row r="186" spans="2:5" x14ac:dyDescent="0.3">
      <c r="B186" s="615"/>
      <c r="C186" s="615"/>
      <c r="D186" s="615"/>
      <c r="E186" s="615"/>
    </row>
    <row r="187" spans="2:5" x14ac:dyDescent="0.3">
      <c r="B187" s="615"/>
      <c r="C187" s="615"/>
      <c r="D187" s="615"/>
      <c r="E187" s="615"/>
    </row>
    <row r="188" spans="2:5" x14ac:dyDescent="0.3">
      <c r="B188" s="615"/>
      <c r="C188" s="615"/>
      <c r="D188" s="615"/>
      <c r="E188" s="615"/>
    </row>
    <row r="189" spans="2:5" x14ac:dyDescent="0.3">
      <c r="B189" s="615"/>
      <c r="C189" s="615"/>
      <c r="D189" s="615"/>
      <c r="E189" s="615"/>
    </row>
    <row r="190" spans="2:5" x14ac:dyDescent="0.3">
      <c r="B190" s="615"/>
      <c r="C190" s="615"/>
      <c r="D190" s="615"/>
      <c r="E190" s="615"/>
    </row>
    <row r="191" spans="2:5" x14ac:dyDescent="0.3">
      <c r="B191" s="615"/>
      <c r="C191" s="615"/>
      <c r="D191" s="615"/>
      <c r="E191" s="615"/>
    </row>
    <row r="192" spans="2:5" x14ac:dyDescent="0.3">
      <c r="B192" s="615"/>
      <c r="C192" s="615"/>
      <c r="D192" s="615"/>
      <c r="E192" s="615"/>
    </row>
    <row r="193" spans="2:5" x14ac:dyDescent="0.3">
      <c r="B193" s="615"/>
      <c r="C193" s="615"/>
      <c r="D193" s="615"/>
      <c r="E193" s="615"/>
    </row>
    <row r="194" spans="2:5" x14ac:dyDescent="0.3">
      <c r="B194" s="615"/>
      <c r="C194" s="615"/>
      <c r="D194" s="615"/>
      <c r="E194" s="615"/>
    </row>
    <row r="195" spans="2:5" x14ac:dyDescent="0.3">
      <c r="B195" s="615"/>
      <c r="C195" s="615"/>
      <c r="D195" s="615"/>
      <c r="E195" s="615"/>
    </row>
    <row r="196" spans="2:5" x14ac:dyDescent="0.3">
      <c r="B196" s="615"/>
      <c r="C196" s="615"/>
      <c r="D196" s="615"/>
      <c r="E196" s="615"/>
    </row>
    <row r="197" spans="2:5" x14ac:dyDescent="0.3">
      <c r="B197" s="615"/>
      <c r="C197" s="615"/>
      <c r="D197" s="615"/>
      <c r="E197" s="615"/>
    </row>
    <row r="198" spans="2:5" x14ac:dyDescent="0.3">
      <c r="B198" s="615"/>
      <c r="C198" s="615"/>
      <c r="D198" s="615"/>
      <c r="E198" s="615"/>
    </row>
    <row r="199" spans="2:5" x14ac:dyDescent="0.3">
      <c r="B199" s="615"/>
      <c r="C199" s="615"/>
      <c r="D199" s="615"/>
      <c r="E199" s="615"/>
    </row>
    <row r="200" spans="2:5" x14ac:dyDescent="0.3">
      <c r="B200" s="615"/>
      <c r="C200" s="615"/>
      <c r="D200" s="615"/>
      <c r="E200" s="615"/>
    </row>
    <row r="201" spans="2:5" x14ac:dyDescent="0.3">
      <c r="B201" s="615"/>
      <c r="C201" s="615"/>
      <c r="D201" s="615"/>
      <c r="E201" s="615"/>
    </row>
    <row r="202" spans="2:5" x14ac:dyDescent="0.3">
      <c r="B202" s="615"/>
      <c r="C202" s="615"/>
      <c r="D202" s="615"/>
      <c r="E202" s="615"/>
    </row>
    <row r="203" spans="2:5" x14ac:dyDescent="0.3">
      <c r="B203" s="615"/>
      <c r="C203" s="615"/>
      <c r="D203" s="615"/>
      <c r="E203" s="615"/>
    </row>
    <row r="204" spans="2:5" x14ac:dyDescent="0.3">
      <c r="B204" s="615"/>
      <c r="C204" s="615"/>
      <c r="D204" s="615"/>
      <c r="E204" s="615"/>
    </row>
    <row r="205" spans="2:5" x14ac:dyDescent="0.3">
      <c r="B205" s="615"/>
      <c r="C205" s="615"/>
      <c r="D205" s="615"/>
      <c r="E205" s="615"/>
    </row>
    <row r="206" spans="2:5" x14ac:dyDescent="0.3">
      <c r="B206" s="615"/>
      <c r="C206" s="615"/>
      <c r="D206" s="615"/>
      <c r="E206" s="615"/>
    </row>
    <row r="207" spans="2:5" x14ac:dyDescent="0.3">
      <c r="B207" s="615"/>
      <c r="C207" s="615"/>
      <c r="D207" s="615"/>
      <c r="E207" s="615"/>
    </row>
    <row r="208" spans="2:5" x14ac:dyDescent="0.3">
      <c r="B208" s="615"/>
      <c r="C208" s="615"/>
      <c r="D208" s="615"/>
      <c r="E208" s="615"/>
    </row>
    <row r="209" spans="2:5" x14ac:dyDescent="0.3">
      <c r="B209" s="615"/>
      <c r="C209" s="615"/>
      <c r="D209" s="615"/>
      <c r="E209" s="615"/>
    </row>
    <row r="210" spans="2:5" x14ac:dyDescent="0.3">
      <c r="B210" s="615"/>
      <c r="C210" s="615"/>
      <c r="D210" s="615"/>
      <c r="E210" s="615"/>
    </row>
    <row r="211" spans="2:5" x14ac:dyDescent="0.3">
      <c r="B211" s="615"/>
      <c r="C211" s="615"/>
      <c r="D211" s="615"/>
      <c r="E211" s="615"/>
    </row>
    <row r="212" spans="2:5" x14ac:dyDescent="0.3">
      <c r="B212" s="615"/>
      <c r="C212" s="615"/>
      <c r="D212" s="615"/>
      <c r="E212" s="615"/>
    </row>
    <row r="213" spans="2:5" x14ac:dyDescent="0.3">
      <c r="B213" s="615"/>
      <c r="C213" s="615"/>
      <c r="D213" s="615"/>
      <c r="E213" s="615"/>
    </row>
    <row r="214" spans="2:5" x14ac:dyDescent="0.3">
      <c r="B214" s="615"/>
      <c r="C214" s="615"/>
      <c r="D214" s="615"/>
      <c r="E214" s="615"/>
    </row>
    <row r="215" spans="2:5" x14ac:dyDescent="0.3">
      <c r="B215" s="615"/>
      <c r="C215" s="615"/>
      <c r="D215" s="615"/>
      <c r="E215" s="615"/>
    </row>
    <row r="216" spans="2:5" x14ac:dyDescent="0.3">
      <c r="B216" s="615"/>
      <c r="C216" s="615"/>
      <c r="D216" s="615"/>
      <c r="E216" s="615"/>
    </row>
    <row r="217" spans="2:5" x14ac:dyDescent="0.3">
      <c r="B217" s="615"/>
      <c r="C217" s="615"/>
      <c r="D217" s="615"/>
      <c r="E217" s="615"/>
    </row>
    <row r="218" spans="2:5" x14ac:dyDescent="0.3">
      <c r="B218" s="615"/>
      <c r="C218" s="615"/>
      <c r="D218" s="615"/>
      <c r="E218" s="615"/>
    </row>
    <row r="219" spans="2:5" x14ac:dyDescent="0.3">
      <c r="B219" s="615"/>
      <c r="C219" s="615"/>
      <c r="D219" s="615"/>
      <c r="E219" s="615"/>
    </row>
    <row r="220" spans="2:5" x14ac:dyDescent="0.3">
      <c r="B220" s="615"/>
      <c r="C220" s="615"/>
      <c r="D220" s="615"/>
      <c r="E220" s="615"/>
    </row>
    <row r="221" spans="2:5" x14ac:dyDescent="0.3">
      <c r="B221" s="615"/>
      <c r="C221" s="615"/>
      <c r="D221" s="615"/>
      <c r="E221" s="615"/>
    </row>
    <row r="222" spans="2:5" x14ac:dyDescent="0.3">
      <c r="B222" s="615"/>
      <c r="C222" s="615"/>
      <c r="D222" s="615"/>
      <c r="E222" s="615"/>
    </row>
    <row r="223" spans="2:5" x14ac:dyDescent="0.3">
      <c r="B223" s="615"/>
      <c r="C223" s="615"/>
      <c r="D223" s="615"/>
      <c r="E223" s="615"/>
    </row>
    <row r="224" spans="2:5" x14ac:dyDescent="0.3">
      <c r="B224" s="615"/>
      <c r="C224" s="615"/>
      <c r="D224" s="615"/>
      <c r="E224" s="615"/>
    </row>
    <row r="225" spans="2:5" x14ac:dyDescent="0.3">
      <c r="B225" s="615"/>
      <c r="C225" s="615"/>
      <c r="D225" s="615"/>
      <c r="E225" s="615"/>
    </row>
    <row r="226" spans="2:5" x14ac:dyDescent="0.3">
      <c r="B226" s="615"/>
      <c r="C226" s="615"/>
      <c r="D226" s="615"/>
      <c r="E226" s="615"/>
    </row>
    <row r="227" spans="2:5" x14ac:dyDescent="0.3">
      <c r="B227" s="615"/>
      <c r="C227" s="615"/>
      <c r="D227" s="615"/>
      <c r="E227" s="615"/>
    </row>
    <row r="228" spans="2:5" x14ac:dyDescent="0.3">
      <c r="B228" s="615"/>
      <c r="C228" s="615"/>
      <c r="D228" s="615"/>
      <c r="E228" s="615"/>
    </row>
    <row r="229" spans="2:5" x14ac:dyDescent="0.3">
      <c r="B229" s="615"/>
      <c r="C229" s="615"/>
      <c r="D229" s="615"/>
      <c r="E229" s="615"/>
    </row>
    <row r="230" spans="2:5" x14ac:dyDescent="0.3">
      <c r="B230" s="615"/>
      <c r="C230" s="615"/>
      <c r="D230" s="615"/>
      <c r="E230" s="615"/>
    </row>
    <row r="231" spans="2:5" x14ac:dyDescent="0.3">
      <c r="B231" s="615"/>
      <c r="C231" s="615"/>
      <c r="D231" s="615"/>
      <c r="E231" s="615"/>
    </row>
    <row r="232" spans="2:5" x14ac:dyDescent="0.3">
      <c r="B232" s="615"/>
      <c r="C232" s="615"/>
      <c r="D232" s="615"/>
      <c r="E232" s="615"/>
    </row>
    <row r="233" spans="2:5" x14ac:dyDescent="0.3">
      <c r="B233" s="615"/>
      <c r="C233" s="615"/>
      <c r="D233" s="615"/>
      <c r="E233" s="615"/>
    </row>
    <row r="234" spans="2:5" x14ac:dyDescent="0.3">
      <c r="B234" s="615"/>
      <c r="C234" s="615"/>
      <c r="D234" s="615"/>
      <c r="E234" s="615"/>
    </row>
    <row r="235" spans="2:5" x14ac:dyDescent="0.3">
      <c r="B235" s="615"/>
      <c r="C235" s="615"/>
      <c r="D235" s="615"/>
      <c r="E235" s="615"/>
    </row>
    <row r="236" spans="2:5" x14ac:dyDescent="0.3">
      <c r="B236" s="615"/>
      <c r="C236" s="615"/>
      <c r="D236" s="615"/>
      <c r="E236" s="615"/>
    </row>
    <row r="237" spans="2:5" x14ac:dyDescent="0.3">
      <c r="B237" s="615"/>
      <c r="C237" s="615"/>
      <c r="D237" s="615"/>
      <c r="E237" s="615"/>
    </row>
    <row r="238" spans="2:5" x14ac:dyDescent="0.3">
      <c r="B238" s="615"/>
      <c r="C238" s="615"/>
      <c r="D238" s="615"/>
      <c r="E238" s="615"/>
    </row>
    <row r="239" spans="2:5" x14ac:dyDescent="0.3">
      <c r="B239" s="615"/>
      <c r="C239" s="615"/>
      <c r="D239" s="615"/>
      <c r="E239" s="615"/>
    </row>
    <row r="240" spans="2:5" x14ac:dyDescent="0.3">
      <c r="B240" s="615"/>
      <c r="C240" s="615"/>
      <c r="D240" s="615"/>
      <c r="E240" s="615"/>
    </row>
    <row r="241" spans="2:5" x14ac:dyDescent="0.3">
      <c r="B241" s="615"/>
      <c r="C241" s="615"/>
      <c r="D241" s="615"/>
      <c r="E241" s="615"/>
    </row>
    <row r="242" spans="2:5" x14ac:dyDescent="0.3">
      <c r="B242" s="615"/>
      <c r="C242" s="615"/>
      <c r="D242" s="615"/>
      <c r="E242" s="615"/>
    </row>
    <row r="243" spans="2:5" x14ac:dyDescent="0.3">
      <c r="B243" s="615"/>
      <c r="C243" s="615"/>
      <c r="D243" s="615"/>
      <c r="E243" s="615"/>
    </row>
    <row r="244" spans="2:5" x14ac:dyDescent="0.3">
      <c r="B244" s="615"/>
      <c r="C244" s="615"/>
      <c r="D244" s="615"/>
      <c r="E244" s="615"/>
    </row>
    <row r="245" spans="2:5" x14ac:dyDescent="0.3">
      <c r="B245" s="615"/>
      <c r="C245" s="615"/>
      <c r="D245" s="615"/>
      <c r="E245" s="615"/>
    </row>
    <row r="246" spans="2:5" x14ac:dyDescent="0.3">
      <c r="B246" s="615"/>
      <c r="C246" s="615"/>
      <c r="D246" s="615"/>
      <c r="E246" s="615"/>
    </row>
    <row r="247" spans="2:5" x14ac:dyDescent="0.3">
      <c r="B247" s="615"/>
      <c r="C247" s="615"/>
      <c r="D247" s="615"/>
      <c r="E247" s="615"/>
    </row>
    <row r="248" spans="2:5" x14ac:dyDescent="0.3">
      <c r="B248" s="615"/>
      <c r="C248" s="615"/>
      <c r="D248" s="615"/>
      <c r="E248" s="615"/>
    </row>
    <row r="249" spans="2:5" x14ac:dyDescent="0.3">
      <c r="B249" s="615"/>
      <c r="C249" s="615"/>
      <c r="D249" s="615"/>
      <c r="E249" s="615"/>
    </row>
    <row r="250" spans="2:5" x14ac:dyDescent="0.3">
      <c r="B250" s="615"/>
      <c r="C250" s="615"/>
      <c r="D250" s="615"/>
      <c r="E250" s="615"/>
    </row>
    <row r="251" spans="2:5" x14ac:dyDescent="0.3">
      <c r="B251" s="615"/>
      <c r="C251" s="615"/>
      <c r="D251" s="615"/>
      <c r="E251" s="615"/>
    </row>
    <row r="252" spans="2:5" x14ac:dyDescent="0.3">
      <c r="B252" s="615"/>
      <c r="C252" s="615"/>
      <c r="D252" s="615"/>
      <c r="E252" s="615"/>
    </row>
    <row r="253" spans="2:5" x14ac:dyDescent="0.3">
      <c r="B253" s="615"/>
      <c r="C253" s="615"/>
      <c r="D253" s="615"/>
      <c r="E253" s="615"/>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view="pageBreakPreview" zoomScaleNormal="90" zoomScaleSheetLayoutView="100" workbookViewId="0">
      <selection activeCell="G45" sqref="G45"/>
    </sheetView>
  </sheetViews>
  <sheetFormatPr defaultColWidth="9.109375" defaultRowHeight="14.4" x14ac:dyDescent="0.3"/>
  <cols>
    <col min="1" max="1" width="1.109375" style="181" customWidth="1"/>
    <col min="2" max="2" width="21.109375" style="181" customWidth="1"/>
    <col min="3" max="3" width="10" style="181" customWidth="1"/>
    <col min="4" max="4" width="9.88671875" style="181" customWidth="1"/>
    <col min="5" max="5" width="9.6640625" style="181" customWidth="1"/>
    <col min="6" max="6" width="10.88671875" style="181" customWidth="1"/>
    <col min="7" max="7" width="11.109375" style="181" customWidth="1"/>
    <col min="8" max="8" width="11.5546875" style="181" customWidth="1"/>
    <col min="9" max="9" width="13.6640625" style="181" customWidth="1"/>
    <col min="10" max="10" width="8.33203125" style="181" customWidth="1"/>
    <col min="11" max="11" width="7.6640625" style="181" customWidth="1"/>
    <col min="12" max="12" width="9.6640625" style="181" customWidth="1"/>
    <col min="13" max="13" width="5.109375" style="181" customWidth="1"/>
    <col min="14" max="15" width="9.6640625" style="181" customWidth="1"/>
    <col min="16" max="16" width="9" style="181" customWidth="1"/>
    <col min="17" max="17" width="0.6640625" style="181" customWidth="1"/>
    <col min="18" max="18" width="26.44140625" style="181" customWidth="1"/>
    <col min="19" max="19" width="1" style="181" customWidth="1"/>
    <col min="20" max="20" width="2.88671875" style="181" customWidth="1"/>
    <col min="21" max="21" width="7.109375" style="270" customWidth="1"/>
    <col min="22" max="22" width="16.6640625" style="270" customWidth="1"/>
    <col min="23" max="25" width="7.109375" style="270" customWidth="1"/>
    <col min="26" max="26" width="13" style="270" customWidth="1"/>
    <col min="27" max="27" width="12" style="270" customWidth="1"/>
    <col min="28" max="28" width="14.109375" style="270" customWidth="1"/>
    <col min="29" max="33" width="7.109375" style="270" customWidth="1"/>
    <col min="34" max="34" width="3.88671875" style="183" customWidth="1"/>
    <col min="35" max="35" width="14.5546875" style="183" bestFit="1" customWidth="1"/>
    <col min="36" max="36" width="31.44140625" style="183" bestFit="1" customWidth="1"/>
    <col min="37" max="39" width="8" style="183" bestFit="1" customWidth="1"/>
    <col min="40" max="40" width="9.6640625" style="183" bestFit="1" customWidth="1"/>
    <col min="41" max="46" width="9.109375" style="183"/>
    <col min="47" max="80" width="9.109375" style="270"/>
    <col min="81" max="16384" width="9.109375" style="181"/>
  </cols>
  <sheetData>
    <row r="1" spans="1:80" ht="4.5" customHeight="1" thickBot="1" x14ac:dyDescent="0.35"/>
    <row r="2" spans="1:80" ht="6" customHeight="1" x14ac:dyDescent="0.3">
      <c r="A2" s="392"/>
      <c r="B2" s="393"/>
      <c r="C2" s="393"/>
      <c r="D2" s="393"/>
      <c r="E2" s="393"/>
      <c r="F2" s="393"/>
      <c r="G2" s="393"/>
      <c r="H2" s="393"/>
      <c r="I2" s="393"/>
      <c r="J2" s="393"/>
      <c r="K2" s="393"/>
      <c r="L2" s="393"/>
      <c r="M2" s="393"/>
      <c r="N2" s="393"/>
      <c r="O2" s="393"/>
      <c r="P2" s="393"/>
      <c r="Q2" s="393"/>
      <c r="R2" s="393"/>
      <c r="S2" s="394"/>
    </row>
    <row r="3" spans="1:80" s="177" customFormat="1" ht="4.5" customHeight="1" x14ac:dyDescent="0.3">
      <c r="A3" s="395"/>
      <c r="B3" s="399"/>
      <c r="C3" s="399"/>
      <c r="D3" s="399"/>
      <c r="E3" s="399"/>
      <c r="F3" s="399"/>
      <c r="G3" s="399"/>
      <c r="H3" s="399"/>
      <c r="I3" s="399"/>
      <c r="J3" s="399"/>
      <c r="K3" s="399"/>
      <c r="L3" s="399"/>
      <c r="M3" s="399"/>
      <c r="N3" s="399"/>
      <c r="O3" s="399"/>
      <c r="P3" s="399"/>
      <c r="Q3" s="396"/>
      <c r="R3" s="396"/>
      <c r="S3" s="397"/>
      <c r="U3" s="271"/>
      <c r="V3" s="271"/>
      <c r="W3" s="271"/>
      <c r="X3" s="271"/>
      <c r="Y3" s="271"/>
      <c r="Z3" s="271"/>
      <c r="AA3" s="271"/>
      <c r="AB3" s="271"/>
      <c r="AC3" s="271"/>
      <c r="AD3" s="271"/>
      <c r="AE3" s="271"/>
      <c r="AF3" s="271"/>
      <c r="AG3" s="271"/>
      <c r="AH3" s="183"/>
      <c r="AI3" s="183"/>
      <c r="AJ3" s="183"/>
      <c r="AK3" s="183"/>
      <c r="AL3" s="183"/>
      <c r="AM3" s="183"/>
      <c r="AN3" s="183"/>
      <c r="AO3" s="183"/>
      <c r="AP3" s="183"/>
      <c r="AQ3" s="183"/>
      <c r="AR3" s="183"/>
      <c r="AS3" s="183"/>
      <c r="AT3" s="183"/>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row>
    <row r="4" spans="1:80" s="177" customFormat="1" ht="26.25" customHeight="1" x14ac:dyDescent="0.3">
      <c r="A4" s="395"/>
      <c r="B4" s="766" t="s">
        <v>1411</v>
      </c>
      <c r="C4" s="766"/>
      <c r="D4" s="766"/>
      <c r="E4" s="766"/>
      <c r="F4" s="766"/>
      <c r="G4" s="766"/>
      <c r="H4" s="766"/>
      <c r="I4" s="766"/>
      <c r="J4" s="85"/>
      <c r="K4" s="85"/>
      <c r="L4" s="85"/>
      <c r="M4" s="85"/>
      <c r="N4" s="85"/>
      <c r="O4" s="85"/>
      <c r="P4" s="85"/>
      <c r="Q4" s="396"/>
      <c r="R4" s="396"/>
      <c r="S4" s="397"/>
      <c r="U4" s="271"/>
      <c r="V4" s="270"/>
      <c r="W4" s="270"/>
      <c r="X4" s="270"/>
      <c r="Y4" s="270"/>
      <c r="Z4" s="270"/>
      <c r="AA4" s="270"/>
      <c r="AB4" s="270"/>
      <c r="AC4" s="270"/>
      <c r="AD4" s="270"/>
      <c r="AE4" s="270"/>
      <c r="AF4" s="270"/>
      <c r="AG4" s="270"/>
      <c r="AH4" s="183"/>
      <c r="AI4" s="183"/>
      <c r="AJ4" s="183"/>
      <c r="AK4" s="183"/>
      <c r="AL4" s="183"/>
      <c r="AM4" s="183"/>
      <c r="AN4" s="183"/>
      <c r="AO4" s="183"/>
      <c r="AP4" s="183"/>
      <c r="AQ4" s="183"/>
      <c r="AR4" s="183"/>
      <c r="AS4" s="183"/>
      <c r="AT4" s="183"/>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row>
    <row r="5" spans="1:80" s="306" customFormat="1" ht="23.25" customHeight="1" x14ac:dyDescent="0.3">
      <c r="A5" s="395"/>
      <c r="B5" s="767">
        <f>Definition!B23</f>
        <v>43313</v>
      </c>
      <c r="C5" s="767"/>
      <c r="D5" s="767"/>
      <c r="E5" s="767"/>
      <c r="F5" s="767"/>
      <c r="G5" s="767"/>
      <c r="H5" s="767"/>
      <c r="I5" s="767"/>
      <c r="J5" s="85"/>
      <c r="K5" s="85"/>
      <c r="L5" s="85"/>
      <c r="M5" s="85"/>
      <c r="N5" s="85"/>
      <c r="O5" s="85"/>
      <c r="P5" s="85"/>
      <c r="Q5" s="396"/>
      <c r="R5" s="396"/>
      <c r="S5" s="397"/>
      <c r="U5" s="183"/>
      <c r="V5" s="183"/>
      <c r="W5" s="270"/>
      <c r="X5" s="270"/>
      <c r="Y5" s="270"/>
      <c r="Z5" s="270"/>
      <c r="AA5" s="270"/>
      <c r="AB5" s="270"/>
      <c r="AC5" s="270"/>
      <c r="AD5" s="270"/>
      <c r="AE5" s="270"/>
      <c r="AF5" s="270"/>
      <c r="AG5" s="270"/>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3">
      <c r="A6" s="400"/>
      <c r="B6" s="401"/>
      <c r="C6" s="401"/>
      <c r="D6" s="401"/>
      <c r="E6" s="401"/>
      <c r="F6" s="401"/>
      <c r="G6" s="401"/>
      <c r="H6" s="401"/>
      <c r="I6" s="401"/>
      <c r="J6" s="401"/>
      <c r="K6" s="401"/>
      <c r="L6" s="401"/>
      <c r="M6" s="190"/>
      <c r="N6" s="190"/>
      <c r="O6" s="190"/>
      <c r="P6" s="190"/>
      <c r="Q6" s="190"/>
      <c r="R6" s="190"/>
      <c r="S6" s="402"/>
      <c r="T6" s="403"/>
      <c r="U6" s="403"/>
      <c r="V6" s="403"/>
      <c r="W6" s="403"/>
      <c r="X6" s="403"/>
      <c r="Y6" s="403"/>
      <c r="Z6" s="403"/>
      <c r="AA6" s="403"/>
      <c r="AB6" s="403"/>
      <c r="AC6" s="403"/>
      <c r="AD6" s="403"/>
      <c r="AE6" s="403"/>
      <c r="AF6" s="403"/>
      <c r="AI6" s="183" t="s">
        <v>0</v>
      </c>
      <c r="AJ6" s="183" t="s">
        <v>1412</v>
      </c>
      <c r="AK6" s="183" t="s">
        <v>1413</v>
      </c>
      <c r="AL6" s="183" t="s">
        <v>1414</v>
      </c>
      <c r="AM6" s="183" t="s">
        <v>1415</v>
      </c>
    </row>
    <row r="7" spans="1:80" ht="12" customHeight="1" x14ac:dyDescent="0.3">
      <c r="A7" s="400"/>
      <c r="B7" s="401"/>
      <c r="C7" s="401"/>
      <c r="D7" s="401"/>
      <c r="E7" s="401"/>
      <c r="F7" s="401"/>
      <c r="G7" s="401"/>
      <c r="H7" s="401"/>
      <c r="I7" s="401"/>
      <c r="J7" s="401"/>
      <c r="K7" s="401"/>
      <c r="L7" s="401"/>
      <c r="M7" s="190"/>
      <c r="N7" s="190"/>
      <c r="O7" s="190"/>
      <c r="P7" s="190"/>
      <c r="Q7" s="190"/>
      <c r="R7" s="190"/>
      <c r="S7" s="404"/>
      <c r="AI7" s="183" t="s">
        <v>5</v>
      </c>
      <c r="AJ7" s="712" t="e">
        <v>#REF!</v>
      </c>
      <c r="AK7" s="712" t="e">
        <v>#REF!</v>
      </c>
      <c r="AL7" s="712" t="e">
        <v>#REF!</v>
      </c>
      <c r="AM7" s="712" t="e">
        <v>#REF!</v>
      </c>
    </row>
    <row r="8" spans="1:80" ht="12" customHeight="1" x14ac:dyDescent="0.3">
      <c r="A8" s="400"/>
      <c r="B8" s="401"/>
      <c r="C8" s="401"/>
      <c r="D8" s="401"/>
      <c r="E8" s="401"/>
      <c r="F8" s="401"/>
      <c r="G8" s="401"/>
      <c r="H8" s="401"/>
      <c r="I8" s="401"/>
      <c r="J8" s="401"/>
      <c r="K8" s="401"/>
      <c r="L8" s="401"/>
      <c r="M8" s="190"/>
      <c r="N8" s="190"/>
      <c r="O8" s="190"/>
      <c r="P8" s="190"/>
      <c r="Q8" s="190"/>
      <c r="R8" s="190"/>
      <c r="S8" s="404"/>
      <c r="AI8" s="183" t="s">
        <v>27</v>
      </c>
      <c r="AJ8" s="712" t="e">
        <v>#REF!</v>
      </c>
      <c r="AK8" s="712" t="e">
        <v>#REF!</v>
      </c>
      <c r="AL8" s="712" t="e">
        <v>#REF!</v>
      </c>
      <c r="AM8" s="712" t="e">
        <v>#REF!</v>
      </c>
    </row>
    <row r="9" spans="1:80" ht="12" customHeight="1" x14ac:dyDescent="0.3">
      <c r="A9" s="400"/>
      <c r="B9" s="401"/>
      <c r="C9" s="401"/>
      <c r="D9" s="401"/>
      <c r="E9" s="401"/>
      <c r="F9" s="401"/>
      <c r="G9" s="401"/>
      <c r="H9" s="401"/>
      <c r="I9" s="401"/>
      <c r="J9" s="401"/>
      <c r="K9" s="401"/>
      <c r="L9" s="401"/>
      <c r="M9" s="190"/>
      <c r="N9" s="190"/>
      <c r="O9" s="190"/>
      <c r="P9" s="190"/>
      <c r="Q9" s="190"/>
      <c r="R9" s="190"/>
      <c r="S9" s="404"/>
      <c r="AJ9" s="712" t="e">
        <v>#REF!</v>
      </c>
      <c r="AK9" s="712" t="e">
        <v>#REF!</v>
      </c>
      <c r="AL9" s="712" t="e">
        <v>#REF!</v>
      </c>
      <c r="AM9" s="712" t="e">
        <v>#REF!</v>
      </c>
    </row>
    <row r="10" spans="1:80" ht="12" customHeight="1" x14ac:dyDescent="0.3">
      <c r="A10" s="400"/>
      <c r="B10" s="401"/>
      <c r="C10" s="401"/>
      <c r="D10" s="401"/>
      <c r="E10" s="401"/>
      <c r="F10" s="401"/>
      <c r="G10" s="401"/>
      <c r="H10" s="401"/>
      <c r="I10" s="401"/>
      <c r="J10" s="401"/>
      <c r="K10" s="401"/>
      <c r="L10" s="401"/>
      <c r="M10" s="190"/>
      <c r="N10" s="190"/>
      <c r="O10" s="190"/>
      <c r="P10" s="190"/>
      <c r="Q10" s="190"/>
      <c r="R10" s="190"/>
      <c r="S10" s="404"/>
      <c r="AJ10" s="712" t="e">
        <v>#REF!</v>
      </c>
      <c r="AK10" s="712" t="e">
        <v>#REF!</v>
      </c>
      <c r="AL10" s="712" t="e">
        <v>#REF!</v>
      </c>
      <c r="AM10" s="712" t="e">
        <v>#REF!</v>
      </c>
    </row>
    <row r="11" spans="1:80" ht="8.25" customHeight="1" x14ac:dyDescent="0.3">
      <c r="A11" s="400"/>
      <c r="B11" s="401"/>
      <c r="C11" s="401"/>
      <c r="D11" s="401"/>
      <c r="E11" s="401"/>
      <c r="F11" s="401"/>
      <c r="G11" s="401"/>
      <c r="H11" s="401"/>
      <c r="I11" s="401"/>
      <c r="J11" s="401"/>
      <c r="K11" s="401"/>
      <c r="L11" s="401"/>
      <c r="M11" s="190"/>
      <c r="N11" s="190"/>
      <c r="O11" s="190"/>
      <c r="P11" s="190"/>
      <c r="Q11" s="190"/>
      <c r="R11" s="190"/>
      <c r="S11" s="404"/>
      <c r="AI11" s="183" t="s">
        <v>480</v>
      </c>
      <c r="AJ11" s="712" t="e">
        <v>#REF!</v>
      </c>
      <c r="AK11" s="712" t="e">
        <v>#REF!</v>
      </c>
      <c r="AL11" s="712" t="e">
        <v>#REF!</v>
      </c>
      <c r="AM11" s="712" t="e">
        <v>#REF!</v>
      </c>
    </row>
    <row r="12" spans="1:80" ht="8.25" customHeight="1" x14ac:dyDescent="0.3">
      <c r="A12" s="400"/>
      <c r="B12" s="401"/>
      <c r="C12" s="401"/>
      <c r="D12" s="401"/>
      <c r="E12" s="401"/>
      <c r="F12" s="401"/>
      <c r="G12" s="401"/>
      <c r="H12" s="401"/>
      <c r="I12" s="401"/>
      <c r="J12" s="401"/>
      <c r="K12" s="401"/>
      <c r="L12" s="401"/>
      <c r="M12" s="190"/>
      <c r="N12" s="190"/>
      <c r="O12" s="190"/>
      <c r="P12" s="190"/>
      <c r="Q12" s="190"/>
      <c r="R12" s="190"/>
      <c r="S12" s="404"/>
      <c r="AI12" s="183" t="s">
        <v>719</v>
      </c>
      <c r="AJ12" s="712" t="e">
        <v>#REF!</v>
      </c>
      <c r="AK12" s="712" t="e">
        <v>#REF!</v>
      </c>
      <c r="AL12" s="712" t="e">
        <v>#REF!</v>
      </c>
      <c r="AM12" s="712" t="e">
        <v>#REF!</v>
      </c>
    </row>
    <row r="13" spans="1:80" ht="18.75" customHeight="1" x14ac:dyDescent="0.3">
      <c r="A13" s="400"/>
      <c r="B13" s="259" t="s">
        <v>1149</v>
      </c>
      <c r="C13" s="260" t="s">
        <v>1416</v>
      </c>
      <c r="D13" s="260" t="s">
        <v>1417</v>
      </c>
      <c r="E13" s="260" t="s">
        <v>1029</v>
      </c>
      <c r="F13" s="401"/>
      <c r="G13" s="401"/>
      <c r="H13" s="401"/>
      <c r="I13" s="401"/>
      <c r="J13" s="401"/>
      <c r="K13" s="401"/>
      <c r="L13" s="401"/>
      <c r="M13" s="190"/>
      <c r="N13" s="190"/>
      <c r="O13" s="190"/>
      <c r="P13" s="190"/>
      <c r="Q13" s="190"/>
      <c r="R13" s="190"/>
      <c r="S13" s="404"/>
      <c r="AJ13" s="712" t="e">
        <v>#REF!</v>
      </c>
      <c r="AK13" s="712" t="e">
        <v>#REF!</v>
      </c>
      <c r="AL13" s="712" t="e">
        <v>#REF!</v>
      </c>
      <c r="AM13" s="712" t="e">
        <v>#REF!</v>
      </c>
    </row>
    <row r="14" spans="1:80" ht="18.75" customHeight="1" x14ac:dyDescent="0.3">
      <c r="A14" s="400"/>
      <c r="B14" s="261" t="s">
        <v>378</v>
      </c>
      <c r="C14" s="262"/>
      <c r="D14" s="262"/>
      <c r="E14" s="262"/>
      <c r="F14" s="190"/>
      <c r="G14" s="190"/>
      <c r="H14" s="190"/>
      <c r="I14" s="190"/>
      <c r="J14" s="190"/>
      <c r="K14" s="190"/>
      <c r="L14" s="190"/>
      <c r="M14" s="190"/>
      <c r="N14" s="190"/>
      <c r="O14" s="190"/>
      <c r="P14" s="190"/>
      <c r="Q14" s="405"/>
      <c r="R14" s="190"/>
      <c r="S14" s="404"/>
      <c r="AI14" s="713" t="s">
        <v>361</v>
      </c>
      <c r="AJ14" s="712" t="e">
        <v>#REF!</v>
      </c>
      <c r="AK14" s="712" t="e">
        <v>#REF!</v>
      </c>
      <c r="AL14" s="712" t="e">
        <v>#REF!</v>
      </c>
      <c r="AM14" s="712" t="e">
        <v>#REF!</v>
      </c>
    </row>
    <row r="15" spans="1:80" ht="12.9" customHeight="1" x14ac:dyDescent="0.3">
      <c r="A15" s="400"/>
      <c r="B15" s="263" t="s">
        <v>5</v>
      </c>
      <c r="C15" s="406">
        <f>SUMIFS(CampList[HH],CampList[Township],$B15,CampList[Status],Definition!X$3,CampList[Affected Population],Definition!Y$3,CampList[State],Definition!J$2)</f>
        <v>1443</v>
      </c>
      <c r="D15" s="406">
        <f>SUMIFS(CampList[Total],CampList[Township],$B15,CampList[Status],Definition!X$3,CampList[Affected Population],Definition!Y$3,CampList[State],Definition!J$2)</f>
        <v>7784</v>
      </c>
      <c r="E15" s="264">
        <f>COUNTIFS(CampList[Township],$B15,CampList[Status],Definition!X$3,CampList[Affected Population],Definition!Y$3,CampList[State],Definition!J$2)</f>
        <v>10</v>
      </c>
      <c r="F15" s="190"/>
      <c r="G15" s="407"/>
      <c r="H15" s="190"/>
      <c r="I15" s="190"/>
      <c r="J15" s="190"/>
      <c r="K15" s="190"/>
      <c r="L15" s="190"/>
      <c r="M15" s="190"/>
      <c r="N15" s="190"/>
      <c r="O15" s="190"/>
      <c r="P15" s="190"/>
      <c r="Q15" s="405"/>
      <c r="R15" s="190"/>
      <c r="S15" s="404"/>
      <c r="AI15" s="183" t="s">
        <v>144</v>
      </c>
      <c r="AJ15" s="712" t="e">
        <v>#REF!</v>
      </c>
      <c r="AK15" s="712" t="e">
        <v>#REF!</v>
      </c>
      <c r="AL15" s="712" t="e">
        <v>#REF!</v>
      </c>
      <c r="AM15" s="712" t="e">
        <v>#REF!</v>
      </c>
    </row>
    <row r="16" spans="1:80" ht="12.9" customHeight="1" x14ac:dyDescent="0.3">
      <c r="A16" s="400"/>
      <c r="B16" s="263" t="s">
        <v>27</v>
      </c>
      <c r="C16" s="406">
        <f>SUMIFS(CampList[HH],CampList[Township],$B16,CampList[Status],Definition!X$3,CampList[Affected Population],Definition!Y$3,CampList[State],Definition!J$2)</f>
        <v>613</v>
      </c>
      <c r="D16" s="406">
        <f>SUMIFS(CampList[Total],CampList[Township],$B16,CampList[Status],Definition!X$3,CampList[Affected Population],Definition!Y$3,CampList[State],Definition!J$2)</f>
        <v>3010</v>
      </c>
      <c r="E16" s="264">
        <f>COUNTIFS(CampList[Township],$B16,CampList[Status],Definition!X$3,CampList[Affected Population],Definition!Y$3,CampList[State],Definition!J$2)</f>
        <v>5</v>
      </c>
      <c r="F16" s="190"/>
      <c r="G16" s="407"/>
      <c r="H16" s="190"/>
      <c r="I16" s="190"/>
      <c r="J16" s="190"/>
      <c r="K16" s="190"/>
      <c r="L16" s="190"/>
      <c r="M16" s="190"/>
      <c r="N16" s="190"/>
      <c r="O16" s="190"/>
      <c r="P16" s="190"/>
      <c r="Q16" s="190"/>
      <c r="R16" s="190"/>
      <c r="S16" s="404"/>
      <c r="AI16" s="183" t="s">
        <v>146</v>
      </c>
      <c r="AJ16" s="712" t="e">
        <v>#REF!</v>
      </c>
      <c r="AK16" s="712" t="e">
        <v>#REF!</v>
      </c>
      <c r="AL16" s="712" t="e">
        <v>#REF!</v>
      </c>
      <c r="AM16" s="712" t="e">
        <v>#REF!</v>
      </c>
    </row>
    <row r="17" spans="1:40" ht="12.9" customHeight="1" x14ac:dyDescent="0.3">
      <c r="A17" s="400"/>
      <c r="B17" s="263" t="s">
        <v>480</v>
      </c>
      <c r="C17" s="406">
        <f>SUMIFS(CampList[HH],CampList[Township],$B17,CampList[Status],Definition!X$3,CampList[Affected Population],Definition!Y$3,CampList[State],Definition!J$2)</f>
        <v>800</v>
      </c>
      <c r="D17" s="406">
        <f>SUMIFS(CampList[Total],CampList[Township],$B17,CampList[Status],Definition!X$3,CampList[Affected Population],Definition!Y$3,CampList[State],Definition!J$2)</f>
        <v>3981</v>
      </c>
      <c r="E17" s="264">
        <f>COUNTIFS(CampList[Township],$B17,CampList[Status],Definition!X$3,CampList[Affected Population],Definition!Y$3,CampList[State],Definition!J$2)</f>
        <v>23</v>
      </c>
      <c r="F17" s="190"/>
      <c r="G17" s="407"/>
      <c r="H17" s="190"/>
      <c r="I17" s="190"/>
      <c r="J17" s="190"/>
      <c r="K17" s="190"/>
      <c r="L17" s="190"/>
      <c r="M17" s="190"/>
      <c r="N17" s="190"/>
      <c r="O17" s="190"/>
      <c r="P17" s="190"/>
      <c r="Q17" s="190"/>
      <c r="R17" s="190"/>
      <c r="S17" s="404"/>
      <c r="AI17" s="183" t="s">
        <v>817</v>
      </c>
      <c r="AJ17" s="712" t="e">
        <v>#REF!</v>
      </c>
      <c r="AK17" s="712" t="e">
        <v>#REF!</v>
      </c>
      <c r="AL17" s="712" t="e">
        <v>#REF!</v>
      </c>
      <c r="AM17" s="712" t="e">
        <v>#REF!</v>
      </c>
    </row>
    <row r="18" spans="1:40" ht="12.9" customHeight="1" x14ac:dyDescent="0.3">
      <c r="A18" s="400"/>
      <c r="B18" s="263" t="s">
        <v>361</v>
      </c>
      <c r="C18" s="406">
        <f>SUMIFS(CampList[HH],CampList[Township],$B18,CampList[Status],Definition!X$3,CampList[Affected Population],Definition!Y$3,CampList[State],Definition!J$2)</f>
        <v>0</v>
      </c>
      <c r="D18" s="406">
        <f>SUMIFS(CampList[Total],CampList[Township],$B18,CampList[Status],Definition!X$3,CampList[Affected Population],Definition!Y$3,CampList[State],Definition!J$2)</f>
        <v>0</v>
      </c>
      <c r="E18" s="264">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4"/>
      <c r="AI18" s="183" t="s">
        <v>151</v>
      </c>
      <c r="AJ18" s="712" t="e">
        <v>#REF!</v>
      </c>
      <c r="AK18" s="712" t="e">
        <v>#REF!</v>
      </c>
      <c r="AL18" s="712" t="e">
        <v>#REF!</v>
      </c>
      <c r="AM18" s="712" t="e">
        <v>#REF!</v>
      </c>
    </row>
    <row r="19" spans="1:40" ht="12.9" customHeight="1" x14ac:dyDescent="0.3">
      <c r="A19" s="400"/>
      <c r="B19" s="263" t="s">
        <v>144</v>
      </c>
      <c r="C19" s="406">
        <f>SUMIFS(CampList[HH],CampList[Township],$B19,CampList[Status],Definition!X$3,CampList[Affected Population],Definition!Y$3,CampList[State],Definition!J$2)</f>
        <v>0</v>
      </c>
      <c r="D19" s="406">
        <f>SUMIFS(CampList[Total],CampList[Township],$B19,CampList[Status],Definition!X$3,CampList[Affected Population],Definition!Y$3,CampList[State],Definition!J$2)</f>
        <v>0</v>
      </c>
      <c r="E19" s="264">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4"/>
      <c r="T19" s="181">
        <f>V25</f>
        <v>0</v>
      </c>
      <c r="AI19" s="183" t="s">
        <v>166</v>
      </c>
      <c r="AJ19" s="712" t="e">
        <v>#REF!</v>
      </c>
      <c r="AK19" s="712" t="e">
        <v>#REF!</v>
      </c>
      <c r="AL19" s="712" t="e">
        <v>#REF!</v>
      </c>
      <c r="AM19" s="712" t="e">
        <v>#REF!</v>
      </c>
    </row>
    <row r="20" spans="1:40" ht="12.9" customHeight="1" x14ac:dyDescent="0.3">
      <c r="A20" s="400"/>
      <c r="B20" s="263" t="s">
        <v>817</v>
      </c>
      <c r="C20" s="406">
        <f>SUMIFS(CampList[HH],CampList[Township],$B20,CampList[Status],Definition!X$3,CampList[Affected Population],Definition!Y$3,CampList[State],Definition!J$2)</f>
        <v>0</v>
      </c>
      <c r="D20" s="406">
        <f>SUMIFS(CampList[Total],CampList[Township],$B20,CampList[Status],Definition!X$3,CampList[Affected Population],Definition!Y$3,CampList[State],Definition!J$2)</f>
        <v>0</v>
      </c>
      <c r="E20" s="264">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4"/>
      <c r="U20" s="408"/>
      <c r="AI20" s="183" t="s">
        <v>173</v>
      </c>
      <c r="AJ20" s="712" t="e">
        <v>#REF!</v>
      </c>
      <c r="AK20" s="712" t="e">
        <v>#REF!</v>
      </c>
      <c r="AL20" s="712" t="e">
        <v>#REF!</v>
      </c>
      <c r="AM20" s="712" t="e">
        <v>#REF!</v>
      </c>
    </row>
    <row r="21" spans="1:40" ht="12.9" customHeight="1" x14ac:dyDescent="0.3">
      <c r="A21" s="400"/>
      <c r="B21" s="263" t="s">
        <v>151</v>
      </c>
      <c r="C21" s="406">
        <f>SUMIFS(CampList[HH],CampList[Township],$B21,CampList[Status],Definition!X$3,CampList[Affected Population],Definition!Y$3,CampList[State],Definition!J$2)</f>
        <v>2818</v>
      </c>
      <c r="D21" s="406">
        <f>SUMIFS(CampList[Total],CampList[Township],$B21,CampList[Status],Definition!X$3,CampList[Affected Population],Definition!Y$3,CampList[State],Definition!J$2)</f>
        <v>13197</v>
      </c>
      <c r="E21" s="264">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4"/>
      <c r="AI21" s="183" t="s">
        <v>180</v>
      </c>
      <c r="AJ21" s="712" t="e">
        <v>#REF!</v>
      </c>
      <c r="AK21" s="712" t="e">
        <v>#REF!</v>
      </c>
      <c r="AL21" s="712" t="e">
        <v>#REF!</v>
      </c>
      <c r="AM21" s="712" t="e">
        <v>#REF!</v>
      </c>
    </row>
    <row r="22" spans="1:40" ht="12.9" customHeight="1" x14ac:dyDescent="0.3">
      <c r="A22" s="400"/>
      <c r="B22" s="263" t="s">
        <v>173</v>
      </c>
      <c r="C22" s="406">
        <f>SUMIFS(CampList[HH],CampList[Township],$B22,CampList[Status],Definition!X$3,CampList[Affected Population],Definition!Y$3,CampList[State],Definition!J$2)</f>
        <v>307</v>
      </c>
      <c r="D22" s="406">
        <f>SUMIFS(CampList[Total],CampList[Township],$B22,CampList[Status],Definition!X$3,CampList[Affected Population],Definition!Y$3,CampList[State],Definition!J$2)</f>
        <v>1473</v>
      </c>
      <c r="E22" s="264">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4"/>
      <c r="AI22" s="183" t="s">
        <v>185</v>
      </c>
      <c r="AJ22" s="712" t="e">
        <v>#REF!</v>
      </c>
      <c r="AK22" s="712" t="e">
        <v>#REF!</v>
      </c>
      <c r="AL22" s="712" t="e">
        <v>#REF!</v>
      </c>
      <c r="AM22" s="712" t="e">
        <v>#REF!</v>
      </c>
    </row>
    <row r="23" spans="1:40" ht="12.9" customHeight="1" x14ac:dyDescent="0.3">
      <c r="A23" s="400"/>
      <c r="B23" s="263" t="s">
        <v>180</v>
      </c>
      <c r="C23" s="406">
        <f>SUMIFS(CampList[HH],CampList[Township],$B23,CampList[Status],Definition!X$3,CampList[Affected Population],Definition!Y$3,CampList[State],Definition!J$2)</f>
        <v>78</v>
      </c>
      <c r="D23" s="406">
        <f>SUMIFS(CampList[Total],CampList[Township],$B23,CampList[Status],Definition!X$3,CampList[Affected Population],Definition!Y$3,CampList[State],Definition!J$2)</f>
        <v>356</v>
      </c>
      <c r="E23" s="264">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4"/>
      <c r="AI23" s="183" t="s">
        <v>230</v>
      </c>
      <c r="AJ23" s="712" t="e">
        <v>#REF!</v>
      </c>
      <c r="AK23" s="712" t="e">
        <v>#REF!</v>
      </c>
      <c r="AL23" s="712" t="e">
        <v>#REF!</v>
      </c>
      <c r="AM23" s="712" t="e">
        <v>#REF!</v>
      </c>
    </row>
    <row r="24" spans="1:40" ht="12.9" customHeight="1" x14ac:dyDescent="0.3">
      <c r="A24" s="400"/>
      <c r="B24" s="263" t="s">
        <v>185</v>
      </c>
      <c r="C24" s="406">
        <f>SUMIFS(CampList[HH],CampList[Township],$B24,CampList[Status],Definition!X$3,CampList[Affected Population],Definition!Y$3,CampList[State],Definition!J$2)</f>
        <v>4752</v>
      </c>
      <c r="D24" s="406">
        <f>SUMIFS(CampList[Total],CampList[Township],$B24,CampList[Status],Definition!X$3,CampList[Affected Population],Definition!Y$3,CampList[State],Definition!J$2)</f>
        <v>27034</v>
      </c>
      <c r="E24" s="264">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4"/>
      <c r="AI24" s="183" t="s">
        <v>237</v>
      </c>
      <c r="AJ24" s="712" t="e">
        <v>#REF!</v>
      </c>
      <c r="AK24" s="712" t="e">
        <v>#REF!</v>
      </c>
      <c r="AL24" s="712" t="e">
        <v>#REF!</v>
      </c>
      <c r="AM24" s="712" t="e">
        <v>#REF!</v>
      </c>
    </row>
    <row r="25" spans="1:40" ht="12.9" customHeight="1" x14ac:dyDescent="0.3">
      <c r="A25" s="400"/>
      <c r="B25" s="263" t="s">
        <v>237</v>
      </c>
      <c r="C25" s="406">
        <f>SUMIFS(CampList[HH],CampList[Township],$B25,CampList[Status],Definition!X$3,CampList[Affected Population],Definition!Y$3,CampList[State],Definition!J$2)</f>
        <v>2594</v>
      </c>
      <c r="D25" s="406">
        <f>SUMIFS(CampList[Total],CampList[Township],$B25,CampList[Status],Definition!X$3,CampList[Affected Population],Definition!Y$3,CampList[State],Definition!J$2)</f>
        <v>13090</v>
      </c>
      <c r="E25" s="264">
        <f>COUNTIFS(CampList[Township],$B25,CampList[Status],Definition!X$3,CampList[Affected Population],Definition!Y$3,CampList[State],Definition!J$2)</f>
        <v>28</v>
      </c>
      <c r="F25" s="190"/>
      <c r="G25" s="177"/>
      <c r="H25" s="177"/>
      <c r="I25" s="177"/>
      <c r="J25" s="177"/>
      <c r="K25" s="177"/>
      <c r="L25" s="177"/>
      <c r="M25" s="190"/>
      <c r="N25" s="190"/>
      <c r="O25" s="190"/>
      <c r="P25" s="190"/>
      <c r="Q25" s="190"/>
      <c r="R25" s="190"/>
      <c r="S25" s="404"/>
      <c r="AI25" s="183" t="s">
        <v>288</v>
      </c>
      <c r="AJ25" s="712" t="e">
        <v>#REF!</v>
      </c>
      <c r="AK25" s="712" t="e">
        <v>#REF!</v>
      </c>
      <c r="AL25" s="712" t="e">
        <v>#REF!</v>
      </c>
      <c r="AM25" s="712" t="e">
        <v>#REF!</v>
      </c>
    </row>
    <row r="26" spans="1:40" ht="12.9" customHeight="1" x14ac:dyDescent="0.3">
      <c r="A26" s="400"/>
      <c r="B26" s="263" t="s">
        <v>299</v>
      </c>
      <c r="C26" s="406">
        <f>SUMIFS(CampList[HH],CampList[Township],$B26,CampList[Status],Definition!X$3,CampList[Affected Population],Definition!Y$3,CampList[State],Definition!J$2)</f>
        <v>85</v>
      </c>
      <c r="D26" s="406">
        <f>SUMIFS(CampList[Total],CampList[Township],$B26,CampList[Status],Definition!X$3,CampList[Affected Population],Definition!Y$3,CampList[State],Definition!J$2)</f>
        <v>412</v>
      </c>
      <c r="E26" s="264">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4"/>
      <c r="AI26" s="183" t="s">
        <v>297</v>
      </c>
      <c r="AJ26" s="712" t="e">
        <v>#REF!</v>
      </c>
      <c r="AK26" s="712" t="e">
        <v>#REF!</v>
      </c>
      <c r="AL26" s="712" t="e">
        <v>#REF!</v>
      </c>
      <c r="AM26" s="712" t="e">
        <v>#REF!</v>
      </c>
    </row>
    <row r="27" spans="1:40" ht="12.9" customHeight="1" x14ac:dyDescent="0.3">
      <c r="A27" s="400"/>
      <c r="B27" s="263" t="s">
        <v>301</v>
      </c>
      <c r="C27" s="406">
        <f>SUMIFS(CampList[HH],CampList[Township],$B27,CampList[Status],Definition!X$3,CampList[Affected Population],Definition!Y$3,CampList[State],Definition!J$2)</f>
        <v>138</v>
      </c>
      <c r="D27" s="406">
        <f>SUMIFS(CampList[Total],CampList[Township],$B27,CampList[Status],Definition!X$3,CampList[Affected Population],Definition!Y$3,CampList[State],Definition!J$2)</f>
        <v>541</v>
      </c>
      <c r="E27" s="264">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4"/>
      <c r="AI27" s="183" t="s">
        <v>299</v>
      </c>
      <c r="AJ27" s="712" t="e">
        <v>#REF!</v>
      </c>
      <c r="AK27" s="712" t="e">
        <v>#REF!</v>
      </c>
      <c r="AL27" s="712" t="e">
        <v>#REF!</v>
      </c>
      <c r="AM27" s="712" t="e">
        <v>#REF!</v>
      </c>
    </row>
    <row r="28" spans="1:40" ht="12.9" customHeight="1" x14ac:dyDescent="0.3">
      <c r="A28" s="400"/>
      <c r="B28" s="263" t="s">
        <v>746</v>
      </c>
      <c r="C28" s="406">
        <f>SUMIFS(CampList[HH],CampList[Township],$B28,CampList[Status],Definition!X$3,CampList[Affected Population],Definition!Y$3,CampList[State],Definition!J$2)</f>
        <v>191</v>
      </c>
      <c r="D28" s="406">
        <f>SUMIFS(CampList[Total],CampList[Township],$B28,CampList[Status],Definition!X$3,CampList[Affected Population],Definition!Y$3,CampList[State],Definition!J$2)</f>
        <v>1001</v>
      </c>
      <c r="E28" s="264">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4"/>
      <c r="AI28" s="183" t="s">
        <v>301</v>
      </c>
      <c r="AJ28" s="712" t="e">
        <v>#REF!</v>
      </c>
      <c r="AK28" s="712" t="e">
        <v>#REF!</v>
      </c>
      <c r="AL28" s="712" t="e">
        <v>#REF!</v>
      </c>
      <c r="AM28" s="712" t="e">
        <v>#REF!</v>
      </c>
    </row>
    <row r="29" spans="1:40" ht="12.9" customHeight="1" x14ac:dyDescent="0.3">
      <c r="A29" s="400"/>
      <c r="B29" s="263" t="s">
        <v>1136</v>
      </c>
      <c r="C29" s="406">
        <f>SUMIFS(CampList[HH],CampList[Township],$B29,CampList[Status],Definition!X$3,CampList[Affected Population],Definition!Y$3,CampList[State],Definition!J$2)</f>
        <v>274</v>
      </c>
      <c r="D29" s="406">
        <f>SUMIFS(CampList[Total],CampList[Township],$B29,CampList[Status],Definition!X$3,CampList[Affected Population],Definition!Y$3,CampList[State],Definition!J$2)</f>
        <v>1095</v>
      </c>
      <c r="E29" s="264">
        <f>COUNTIFS(CampList[Township],$B29,CampList[Status],Definition!X$3,CampList[Affected Population],Definition!Y$3,CampList[State],Definition!J$2)</f>
        <v>3</v>
      </c>
      <c r="F29" s="177"/>
      <c r="G29" s="177"/>
      <c r="H29" s="177"/>
      <c r="I29" s="177"/>
      <c r="J29" s="177"/>
      <c r="K29" s="177"/>
      <c r="L29" s="177"/>
      <c r="M29" s="190"/>
      <c r="N29" s="190"/>
      <c r="O29" s="190"/>
      <c r="P29" s="190"/>
      <c r="Q29" s="190"/>
      <c r="R29" s="190"/>
      <c r="S29" s="404"/>
      <c r="AI29" s="183" t="s">
        <v>1200</v>
      </c>
      <c r="AJ29" s="712" t="e">
        <v>#REF!</v>
      </c>
      <c r="AK29" s="712" t="e">
        <v>#REF!</v>
      </c>
      <c r="AL29" s="712" t="e">
        <v>#REF!</v>
      </c>
      <c r="AM29" s="712" t="e">
        <v>#REF!</v>
      </c>
    </row>
    <row r="30" spans="1:40" ht="12.9" customHeight="1" x14ac:dyDescent="0.3">
      <c r="A30" s="400"/>
      <c r="B30" s="263" t="s">
        <v>309</v>
      </c>
      <c r="C30" s="406">
        <f>SUMIFS(CampList[HH],CampList[Township],$B30,CampList[Status],Definition!X$3,CampList[Affected Population],Definition!Y$3,CampList[State],Definition!J$2)</f>
        <v>4906</v>
      </c>
      <c r="D30" s="406">
        <f>SUMIFS(CampList[Total],CampList[Township],$B30,CampList[Status],Definition!X$3,CampList[Affected Population],Definition!Y$3,CampList[State],Definition!J$2)</f>
        <v>25414</v>
      </c>
      <c r="E30" s="264">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4"/>
      <c r="AI30" s="183" t="s">
        <v>746</v>
      </c>
      <c r="AJ30" s="712" t="e">
        <v>#REF!</v>
      </c>
      <c r="AK30" s="712" t="e">
        <v>#REF!</v>
      </c>
      <c r="AL30" s="712" t="e">
        <v>#REF!</v>
      </c>
      <c r="AM30" s="712" t="e">
        <v>#REF!</v>
      </c>
      <c r="AN30" s="714" t="e">
        <f>AM40+AJ40+AK40+AL40</f>
        <v>#REF!</v>
      </c>
    </row>
    <row r="31" spans="1:40" ht="15.75" customHeight="1" x14ac:dyDescent="0.3">
      <c r="A31" s="420" t="s">
        <v>378</v>
      </c>
      <c r="B31" s="265" t="s">
        <v>779</v>
      </c>
      <c r="C31" s="409">
        <f>SUM(C15:C30)</f>
        <v>18999</v>
      </c>
      <c r="D31" s="409">
        <f>SUM(D15:D30)</f>
        <v>98388</v>
      </c>
      <c r="E31" s="266">
        <f>SUM(E15:E30)</f>
        <v>139</v>
      </c>
      <c r="F31" s="177"/>
      <c r="G31" s="177"/>
      <c r="H31" s="177"/>
      <c r="I31" s="177"/>
      <c r="J31" s="177"/>
      <c r="K31" s="177"/>
      <c r="L31" s="177"/>
      <c r="M31" s="190"/>
      <c r="N31" s="190"/>
      <c r="O31" s="190"/>
      <c r="P31" s="190"/>
      <c r="Q31" s="190"/>
      <c r="R31" s="190"/>
      <c r="S31" s="404"/>
      <c r="AI31" s="183" t="s">
        <v>1136</v>
      </c>
      <c r="AJ31" s="712" t="e">
        <v>#REF!</v>
      </c>
      <c r="AK31" s="712" t="e">
        <v>#REF!</v>
      </c>
      <c r="AL31" s="712" t="e">
        <v>#REF!</v>
      </c>
      <c r="AM31" s="712" t="e">
        <v>#REF!</v>
      </c>
      <c r="AN31" s="714"/>
    </row>
    <row r="32" spans="1:40" ht="15.75" customHeight="1" x14ac:dyDescent="0.3">
      <c r="A32" s="400"/>
      <c r="B32" s="261" t="s">
        <v>1150</v>
      </c>
      <c r="C32" s="262"/>
      <c r="D32" s="262"/>
      <c r="E32" s="262"/>
      <c r="F32" s="177"/>
      <c r="G32" s="177"/>
      <c r="H32" s="177"/>
      <c r="I32" s="177"/>
      <c r="J32" s="177"/>
      <c r="K32" s="177"/>
      <c r="L32" s="177"/>
      <c r="M32" s="190"/>
      <c r="N32" s="190"/>
      <c r="O32" s="190"/>
      <c r="P32" s="190"/>
      <c r="Q32" s="190"/>
      <c r="R32" s="190"/>
      <c r="S32" s="404"/>
      <c r="AJ32" s="712" t="e">
        <v>#REF!</v>
      </c>
      <c r="AK32" s="712" t="e">
        <v>#REF!</v>
      </c>
      <c r="AL32" s="712" t="e">
        <v>#REF!</v>
      </c>
      <c r="AM32" s="712" t="e">
        <v>#REF!</v>
      </c>
      <c r="AN32" s="714"/>
    </row>
    <row r="33" spans="1:80" ht="14.1" customHeight="1" x14ac:dyDescent="0.3">
      <c r="A33" s="400"/>
      <c r="B33" s="267" t="s">
        <v>719</v>
      </c>
      <c r="C33" s="406">
        <f>SUMIFS(CampList[HH],CampList[Township],$B33,CampList[Status],Definition!X$3,CampList[Affected Population],Definition!Y$3,CampList[State],Definition!J$4)</f>
        <v>32</v>
      </c>
      <c r="D33" s="406">
        <f>SUMIFS(CampList[Total],CampList[Township],$B33,CampList[Status],Definition!X$3,CampList[Affected Population],Definition!Y$3,CampList[State],Definition!J$4)</f>
        <v>170</v>
      </c>
      <c r="E33" s="264">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4"/>
      <c r="AJ33" s="712" t="e">
        <v>#REF!</v>
      </c>
      <c r="AK33" s="712" t="e">
        <v>#REF!</v>
      </c>
      <c r="AL33" s="712" t="e">
        <v>#REF!</v>
      </c>
      <c r="AM33" s="712" t="e">
        <v>#REF!</v>
      </c>
      <c r="AN33" s="714"/>
    </row>
    <row r="34" spans="1:80" ht="14.1" customHeight="1" x14ac:dyDescent="0.3">
      <c r="A34" s="400"/>
      <c r="B34" s="267" t="s">
        <v>146</v>
      </c>
      <c r="C34" s="406">
        <f>SUMIFS(CampList[HH],CampList[Township],$B34,CampList[Status],Definition!X$3,CampList[Affected Population],Definition!Y$3,CampList[State],Definition!J$4)</f>
        <v>833</v>
      </c>
      <c r="D34" s="406">
        <f>SUMIFS(CampList[Total],CampList[Township],$B34,CampList[Status],Definition!X$3,CampList[Affected Population],Definition!Y$3,CampList[State],Definition!J$4)</f>
        <v>4085</v>
      </c>
      <c r="E34" s="264">
        <f>COUNTIFS(CampList[Township],$B34,CampList[Status],Definition!X$3,CampList[Affected Population],Definition!Y$3,CampList[State],Definition!J$4)</f>
        <v>14</v>
      </c>
      <c r="F34" s="177"/>
      <c r="G34" s="177"/>
      <c r="H34" s="177"/>
      <c r="I34" s="177"/>
      <c r="J34" s="177"/>
      <c r="K34" s="177"/>
      <c r="L34" s="177"/>
      <c r="M34" s="190"/>
      <c r="N34" s="190"/>
      <c r="O34" s="190"/>
      <c r="P34" s="190"/>
      <c r="Q34" s="190"/>
      <c r="R34" s="190"/>
      <c r="S34" s="404"/>
      <c r="AJ34" s="712" t="e">
        <v>#REF!</v>
      </c>
      <c r="AK34" s="712" t="e">
        <v>#REF!</v>
      </c>
      <c r="AL34" s="712" t="e">
        <v>#REF!</v>
      </c>
      <c r="AM34" s="712" t="e">
        <v>#REF!</v>
      </c>
      <c r="AN34" s="714"/>
    </row>
    <row r="35" spans="1:80" ht="14.1" customHeight="1" x14ac:dyDescent="0.3">
      <c r="A35" s="400"/>
      <c r="B35" s="267" t="s">
        <v>166</v>
      </c>
      <c r="C35" s="406">
        <f>SUMIFS(CampList[HH],CampList[Township],$B35,CampList[Status],Definition!X$3,CampList[Affected Population],Definition!Y$3,CampList[State],Definition!J$4)</f>
        <v>62</v>
      </c>
      <c r="D35" s="406">
        <f>SUMIFS(CampList[Total],CampList[Township],$B35,CampList[Status],Definition!X$3,CampList[Affected Population],Definition!Y$3,CampList[State],Definition!J$4)</f>
        <v>350</v>
      </c>
      <c r="E35" s="264">
        <f>COUNTIFS(CampList[Township],$B35,CampList[Status],Definition!X$3,CampList[Affected Population],Definition!Y$3,CampList[State],Definition!J$4)</f>
        <v>2</v>
      </c>
      <c r="F35" s="177"/>
      <c r="G35" s="177"/>
      <c r="H35" s="177"/>
      <c r="I35" s="177"/>
      <c r="J35" s="177"/>
      <c r="K35" s="177"/>
      <c r="L35" s="177"/>
      <c r="M35" s="190"/>
      <c r="N35" s="190"/>
      <c r="O35" s="190"/>
      <c r="P35" s="190"/>
      <c r="Q35" s="190"/>
      <c r="R35" s="190"/>
      <c r="S35" s="404"/>
      <c r="AJ35" s="712" t="e">
        <v>#REF!</v>
      </c>
      <c r="AK35" s="712" t="e">
        <v>#REF!</v>
      </c>
      <c r="AL35" s="712" t="e">
        <v>#REF!</v>
      </c>
      <c r="AM35" s="712" t="e">
        <v>#REF!</v>
      </c>
      <c r="AN35" s="714"/>
    </row>
    <row r="36" spans="1:80" ht="14.1" customHeight="1" x14ac:dyDescent="0.3">
      <c r="A36" s="400"/>
      <c r="B36" s="263" t="s">
        <v>230</v>
      </c>
      <c r="C36" s="406">
        <f>SUMIFS(CampList[HH],CampList[Township],$B36,CampList[Status],Definition!X$3,CampList[Affected Population],Definition!Y$3,CampList[State],Definition!J$4)</f>
        <v>212</v>
      </c>
      <c r="D36" s="406">
        <f>SUMIFS(CampList[Total],CampList[Township],$B36,CampList[Status],Definition!X$3,CampList[Affected Population],Definition!Y$3,CampList[State],Definition!J$4)</f>
        <v>1058</v>
      </c>
      <c r="E36" s="264">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4"/>
      <c r="AJ36" s="712" t="e">
        <v>#REF!</v>
      </c>
      <c r="AK36" s="712" t="e">
        <v>#REF!</v>
      </c>
      <c r="AL36" s="712" t="e">
        <v>#REF!</v>
      </c>
      <c r="AM36" s="712" t="e">
        <v>#REF!</v>
      </c>
      <c r="AN36" s="714"/>
    </row>
    <row r="37" spans="1:80" ht="14.1" customHeight="1" x14ac:dyDescent="0.3">
      <c r="A37" s="400"/>
      <c r="B37" s="263" t="s">
        <v>288</v>
      </c>
      <c r="C37" s="406">
        <f>SUMIFS(CampList[HH],CampList[Township],$B37,CampList[Status],Definition!X$3,CampList[Affected Population],Definition!Y$3,CampList[State],Definition!J$4)</f>
        <v>400</v>
      </c>
      <c r="D37" s="406">
        <f>SUMIFS(CampList[Total],CampList[Township],$B37,CampList[Status],Definition!X$3,CampList[Affected Population],Definition!Y$3,CampList[State],Definition!J$4)</f>
        <v>2001</v>
      </c>
      <c r="E37" s="264">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4"/>
      <c r="AJ37" s="712" t="e">
        <v>#REF!</v>
      </c>
      <c r="AK37" s="712" t="e">
        <v>#REF!</v>
      </c>
      <c r="AL37" s="712" t="e">
        <v>#REF!</v>
      </c>
      <c r="AM37" s="712" t="e">
        <v>#REF!</v>
      </c>
      <c r="AN37" s="714"/>
    </row>
    <row r="38" spans="1:80" ht="14.1" customHeight="1" x14ac:dyDescent="0.3">
      <c r="A38" s="400"/>
      <c r="B38" s="263" t="s">
        <v>1200</v>
      </c>
      <c r="C38" s="406">
        <f>SUMIFS(CampList[HH],CampList[Township],$B38,CampList[Status],Definition!X$3,CampList[Affected Population],Definition!Y$3,CampList[State],Definition!J$4)</f>
        <v>37</v>
      </c>
      <c r="D38" s="406">
        <f>SUMIFS(CampList[Total],CampList[Township],$B38,CampList[Status],Definition!X$3,CampList[Affected Population],Definition!Y$3,CampList[State],Definition!J$4)</f>
        <v>120</v>
      </c>
      <c r="E38" s="264">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4"/>
      <c r="AJ38" s="712"/>
      <c r="AK38" s="712"/>
      <c r="AL38" s="712"/>
      <c r="AM38" s="712"/>
      <c r="AN38" s="714"/>
    </row>
    <row r="39" spans="1:80" ht="14.1" customHeight="1" x14ac:dyDescent="0.3">
      <c r="A39" s="400"/>
      <c r="B39" s="263" t="s">
        <v>297</v>
      </c>
      <c r="C39" s="406">
        <f>SUMIFS(CampList[HH],CampList[Township],$B39,CampList[Status],Definition!X$3,CampList[Affected Population],Definition!Y$3,CampList[State],Definition!J$4)</f>
        <v>153</v>
      </c>
      <c r="D39" s="406">
        <f>SUMIFS(CampList[Total],CampList[Township],$B39,CampList[Status],Definition!X$3,CampList[Affected Population],Definition!Y$3,CampList[State],Definition!J$4)</f>
        <v>731</v>
      </c>
      <c r="E39" s="264">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4"/>
      <c r="AI39" s="183" t="s">
        <v>309</v>
      </c>
      <c r="AJ39" s="712" t="e">
        <v>#REF!</v>
      </c>
      <c r="AK39" s="712" t="e">
        <v>#REF!</v>
      </c>
      <c r="AL39" s="712" t="e">
        <v>#REF!</v>
      </c>
      <c r="AM39" s="712" t="e">
        <v>#REF!</v>
      </c>
      <c r="AN39" s="715"/>
    </row>
    <row r="40" spans="1:80" ht="15" customHeight="1" x14ac:dyDescent="0.3">
      <c r="A40" s="420" t="s">
        <v>1150</v>
      </c>
      <c r="B40" s="268" t="s">
        <v>1151</v>
      </c>
      <c r="C40" s="406">
        <f>SUM(C33:C39)</f>
        <v>1729</v>
      </c>
      <c r="D40" s="409">
        <f>SUM(D33:D39)</f>
        <v>8515</v>
      </c>
      <c r="E40" s="266">
        <f>SUM(E33:E39)</f>
        <v>31</v>
      </c>
      <c r="F40" s="177"/>
      <c r="G40" s="177"/>
      <c r="H40" s="177"/>
      <c r="I40" s="177"/>
      <c r="J40" s="177"/>
      <c r="K40" s="177"/>
      <c r="L40" s="177"/>
      <c r="M40" s="177"/>
      <c r="N40" s="177"/>
      <c r="O40" s="177"/>
      <c r="P40" s="177"/>
      <c r="Q40" s="177"/>
      <c r="R40" s="177"/>
      <c r="S40" s="404"/>
      <c r="AI40" s="183" t="s">
        <v>3</v>
      </c>
      <c r="AJ40" s="212" t="e">
        <f>SUM(AJ7:AJ39)</f>
        <v>#REF!</v>
      </c>
      <c r="AK40" s="212" t="e">
        <f>SUM(AK7:AK39)</f>
        <v>#REF!</v>
      </c>
      <c r="AL40" s="212" t="e">
        <f>SUM(AL7:AL39)</f>
        <v>#REF!</v>
      </c>
      <c r="AM40" s="212" t="e">
        <f>SUM(AM7:AM39)</f>
        <v>#REF!</v>
      </c>
      <c r="AN40" s="716"/>
      <c r="AO40" s="715"/>
    </row>
    <row r="41" spans="1:80" ht="15.75" customHeight="1" x14ac:dyDescent="0.3">
      <c r="A41" s="410"/>
      <c r="B41" s="259" t="s">
        <v>411</v>
      </c>
      <c r="C41" s="626">
        <f>C31+C40</f>
        <v>20728</v>
      </c>
      <c r="D41" s="626">
        <f>D31+D40</f>
        <v>106903</v>
      </c>
      <c r="E41" s="626">
        <f>E31+E40</f>
        <v>170</v>
      </c>
      <c r="F41" s="177"/>
      <c r="G41" s="177"/>
      <c r="H41" s="177"/>
      <c r="I41" s="177"/>
      <c r="J41" s="177"/>
      <c r="K41" s="177"/>
      <c r="L41" s="177"/>
      <c r="M41" s="190"/>
      <c r="N41" s="190"/>
      <c r="O41" s="190"/>
      <c r="P41" s="190"/>
      <c r="Q41" s="190"/>
      <c r="R41" s="190"/>
      <c r="S41" s="404"/>
      <c r="AO41" s="715"/>
    </row>
    <row r="42" spans="1:80" ht="9" customHeight="1" x14ac:dyDescent="0.3">
      <c r="A42" s="400"/>
      <c r="B42" s="177"/>
      <c r="C42" s="177"/>
      <c r="D42" s="177"/>
      <c r="E42" s="177"/>
      <c r="F42" s="177"/>
      <c r="G42" s="177"/>
      <c r="H42" s="177"/>
      <c r="I42" s="177"/>
      <c r="J42" s="177"/>
      <c r="K42" s="177"/>
      <c r="L42" s="177"/>
      <c r="M42" s="190"/>
      <c r="N42" s="190"/>
      <c r="O42" s="190"/>
      <c r="P42" s="190"/>
      <c r="Q42" s="190"/>
      <c r="R42" s="190"/>
      <c r="S42" s="404"/>
      <c r="AJ42" s="604" t="s">
        <v>1419</v>
      </c>
      <c r="AK42" s="604"/>
      <c r="AL42" s="604"/>
      <c r="AN42" s="183" t="s">
        <v>1418</v>
      </c>
      <c r="AO42" s="715">
        <f>SUM(AK42:AN42)</f>
        <v>0</v>
      </c>
    </row>
    <row r="43" spans="1:80" ht="14.1" customHeight="1" x14ac:dyDescent="0.3">
      <c r="A43" s="400"/>
      <c r="B43" s="768" t="s">
        <v>1442</v>
      </c>
      <c r="C43" s="769" t="s">
        <v>464</v>
      </c>
      <c r="D43" s="770"/>
      <c r="E43" s="771" t="s">
        <v>466</v>
      </c>
      <c r="F43" s="770"/>
      <c r="G43" s="771" t="s">
        <v>3</v>
      </c>
      <c r="H43" s="769"/>
      <c r="I43" s="770"/>
      <c r="J43" s="177"/>
      <c r="K43" s="177"/>
      <c r="L43" s="177"/>
      <c r="M43" s="190"/>
      <c r="N43" s="190"/>
      <c r="O43" s="190"/>
      <c r="P43" s="190"/>
      <c r="Q43" s="190"/>
      <c r="R43" s="190"/>
      <c r="S43" s="404"/>
      <c r="AJ43" s="604"/>
      <c r="AK43" s="604"/>
      <c r="AL43" s="604"/>
      <c r="AO43" s="715"/>
    </row>
    <row r="44" spans="1:80" ht="18.75" customHeight="1" x14ac:dyDescent="0.3">
      <c r="A44" s="400"/>
      <c r="B44" s="768"/>
      <c r="C44" s="181" t="s">
        <v>1421</v>
      </c>
      <c r="D44" s="418" t="s">
        <v>788</v>
      </c>
      <c r="E44" s="181" t="s">
        <v>1421</v>
      </c>
      <c r="F44" s="418" t="s">
        <v>788</v>
      </c>
      <c r="G44" s="291" t="s">
        <v>1421</v>
      </c>
      <c r="H44" s="419" t="s">
        <v>788</v>
      </c>
      <c r="I44" s="424" t="s">
        <v>1427</v>
      </c>
      <c r="J44" s="177"/>
      <c r="K44" s="177"/>
      <c r="L44" s="177"/>
      <c r="M44" s="190"/>
      <c r="N44" s="190"/>
      <c r="O44" s="190"/>
      <c r="P44" s="190"/>
      <c r="Q44" s="190"/>
      <c r="R44" s="190"/>
      <c r="S44" s="404"/>
      <c r="AJ44" s="604"/>
      <c r="AK44" s="604"/>
      <c r="AL44" s="604"/>
      <c r="AO44" s="715"/>
    </row>
    <row r="45" spans="1:80" ht="18.75" customHeight="1" x14ac:dyDescent="0.3">
      <c r="A45" s="400"/>
      <c r="B45" s="411" t="s">
        <v>507</v>
      </c>
      <c r="C45" s="406">
        <f>COUNTIFS(CampList[Status],Definition!$X$3,CampList[Type of Accomodation],$B45,CampList[Accessibility],Definition!$AA$2)</f>
        <v>121</v>
      </c>
      <c r="D45" s="418">
        <f>SUMIFS(CampList[Total],CampList[Status],Definition!$X$3,CampList[Type of Accomodation],$B45,CampList[Accessibility],Definition!$AA$2)</f>
        <v>57656</v>
      </c>
      <c r="E45" s="406">
        <f>COUNTIFS(CampList[Status],Definition!$X$3,CampList[Type of Accomodation],$B45,CampList[Accessibility],Definition!$AA$3)</f>
        <v>17</v>
      </c>
      <c r="F45" s="418">
        <f>SUMIFS(CampList[Total],CampList[Status],Definition!$X$3,CampList[Type of Accomodation],$B45,CampList[Accessibility],Definition!$AA$3)</f>
        <v>39096</v>
      </c>
      <c r="G45" s="181">
        <f>C45+E45</f>
        <v>138</v>
      </c>
      <c r="H45" s="418">
        <f>F45+D45</f>
        <v>96752</v>
      </c>
      <c r="I45" s="423">
        <f t="shared" ref="I45:I50" si="0">H45/$H$49</f>
        <v>0.90504476020317481</v>
      </c>
      <c r="J45" s="177"/>
      <c r="K45" s="177"/>
      <c r="L45" s="177"/>
      <c r="M45" s="190"/>
      <c r="N45" s="190"/>
      <c r="O45" s="190"/>
      <c r="P45" s="190"/>
      <c r="Q45" s="190"/>
      <c r="R45" s="190"/>
      <c r="S45" s="404"/>
      <c r="AI45" s="183" t="s">
        <v>0</v>
      </c>
      <c r="AJ45" s="183" t="s">
        <v>1412</v>
      </c>
      <c r="AK45" s="183" t="s">
        <v>1413</v>
      </c>
      <c r="AL45" s="183" t="s">
        <v>1420</v>
      </c>
      <c r="AM45" s="183" t="s">
        <v>1415</v>
      </c>
      <c r="AN45" s="183" t="s">
        <v>1418</v>
      </c>
      <c r="AO45" s="715">
        <f>SUM(AJ45:AN45)</f>
        <v>0</v>
      </c>
    </row>
    <row r="46" spans="1:80" ht="18.75" customHeight="1" x14ac:dyDescent="0.3">
      <c r="A46" s="400"/>
      <c r="B46" s="411" t="s">
        <v>12</v>
      </c>
      <c r="C46" s="406">
        <f>COUNTIFS(CampList[Status],Definition!$X$3,CampList[Type of Accomodation],$B46,CampList[Accessibility],Definition!$AA$2)</f>
        <v>11</v>
      </c>
      <c r="D46" s="418">
        <f>SUMIFS(CampList[Total],CampList[Status],Definition!$X$3,CampList[Type of Accomodation],$B46,CampList[Accessibility],Definition!$AA$2)</f>
        <v>5296</v>
      </c>
      <c r="E46" s="406">
        <f>COUNTIFS(CampList[Status],Definition!$X$3,CampList[Type of Accomodation],$B46,CampList[Accessibility],Definition!$AA$3)</f>
        <v>0</v>
      </c>
      <c r="F46" s="418">
        <f>SUMIFS(CampList[Total],CampList[Status],Definition!$X$3,CampList[Type of Accomodation],$B46,CampList[Accessibility],Definition!$AA$3)</f>
        <v>0</v>
      </c>
      <c r="G46" s="181">
        <f t="shared" ref="G46:G48" si="1">C46+E46</f>
        <v>11</v>
      </c>
      <c r="H46" s="418">
        <f t="shared" ref="H46:H48" si="2">F46+D46</f>
        <v>5296</v>
      </c>
      <c r="I46" s="423">
        <f t="shared" si="0"/>
        <v>4.954023741148518E-2</v>
      </c>
      <c r="J46" s="177"/>
      <c r="K46" s="177"/>
      <c r="L46" s="177"/>
      <c r="M46" s="190"/>
      <c r="N46" s="190"/>
      <c r="O46" s="190"/>
      <c r="P46" s="190"/>
      <c r="Q46" s="190"/>
      <c r="R46" s="190"/>
      <c r="S46" s="404"/>
      <c r="AI46" s="183" t="s">
        <v>5</v>
      </c>
      <c r="AJ46" s="712" t="e">
        <v>#REF!</v>
      </c>
      <c r="AK46" s="712" t="e">
        <v>#REF!</v>
      </c>
      <c r="AL46" s="712" t="e">
        <v>#REF!</v>
      </c>
      <c r="AM46" s="712" t="e">
        <v>#REF!</v>
      </c>
      <c r="AN46" s="183" t="e">
        <v>#REF!</v>
      </c>
      <c r="AO46" s="717" t="e">
        <f>SUM(AJ46:AN46)</f>
        <v>#REF!</v>
      </c>
    </row>
    <row r="47" spans="1:80" s="391" customFormat="1" ht="18.75" customHeight="1" x14ac:dyDescent="0.3">
      <c r="A47" s="400"/>
      <c r="B47" s="411" t="s">
        <v>849</v>
      </c>
      <c r="C47" s="406">
        <f>COUNTIFS(CampList[Status],Definition!$X$3,CampList[Type of Accomodation],$B47,CampList[Accessibility],Definition!$AA$2)</f>
        <v>0</v>
      </c>
      <c r="D47" s="418">
        <f>SUMIFS(CampList[Total],CampList[Status],Definition!$X$3,CampList[Type of Accomodation],$B47,CampList[Accessibility],Definition!$AA$2)</f>
        <v>0</v>
      </c>
      <c r="E47" s="406">
        <f>COUNTIFS(CampList[Status],Definition!$X$3,CampList[Type of Accomodation],$B47,CampList[Accessibility],Definition!$AA$3)</f>
        <v>1</v>
      </c>
      <c r="F47" s="418">
        <f>SUMIFS(CampList[Total],CampList[Status],Definition!$X$3,CampList[Type of Accomodation],$B47,CampList[Accessibility],Definition!$AA$3)</f>
        <v>872</v>
      </c>
      <c r="G47" s="181">
        <f t="shared" si="1"/>
        <v>1</v>
      </c>
      <c r="H47" s="418">
        <f t="shared" si="2"/>
        <v>872</v>
      </c>
      <c r="I47" s="423">
        <f t="shared" si="0"/>
        <v>8.1569273079333607E-3</v>
      </c>
      <c r="J47" s="177"/>
      <c r="K47" s="177"/>
      <c r="L47" s="177"/>
      <c r="M47" s="190"/>
      <c r="N47" s="190"/>
      <c r="O47" s="190"/>
      <c r="P47" s="190"/>
      <c r="Q47" s="190"/>
      <c r="R47" s="190"/>
      <c r="S47" s="404"/>
      <c r="T47" s="181"/>
      <c r="U47" s="270"/>
      <c r="V47" s="270"/>
      <c r="W47" s="270"/>
      <c r="X47" s="270"/>
      <c r="Y47" s="270"/>
      <c r="Z47" s="270"/>
      <c r="AA47" s="270"/>
      <c r="AB47" s="270"/>
      <c r="AC47" s="270"/>
      <c r="AD47" s="270"/>
      <c r="AE47" s="270"/>
      <c r="AF47" s="270"/>
      <c r="AG47" s="270"/>
      <c r="AH47" s="183"/>
      <c r="AI47" s="183" t="s">
        <v>27</v>
      </c>
      <c r="AJ47" s="712" t="e">
        <v>#REF!</v>
      </c>
      <c r="AK47" s="712" t="e">
        <v>#REF!</v>
      </c>
      <c r="AL47" s="712" t="e">
        <v>#REF!</v>
      </c>
      <c r="AM47" s="712" t="e">
        <v>#REF!</v>
      </c>
      <c r="AN47" s="183" t="e">
        <v>#REF!</v>
      </c>
      <c r="AO47" s="717" t="e">
        <f t="shared" ref="AO47:AO65" si="3">SUM(AJ47:AN47)</f>
        <v>#REF!</v>
      </c>
      <c r="AP47" s="183"/>
      <c r="AQ47" s="183"/>
      <c r="AR47" s="183"/>
      <c r="AS47" s="183"/>
      <c r="AT47" s="183"/>
      <c r="AU47" s="270"/>
      <c r="AV47" s="270"/>
      <c r="AW47" s="270"/>
      <c r="AX47" s="270"/>
      <c r="AY47" s="270"/>
      <c r="AZ47" s="270"/>
      <c r="BA47" s="270"/>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91" customFormat="1" ht="18.75" customHeight="1" x14ac:dyDescent="0.3">
      <c r="A48" s="400"/>
      <c r="B48" s="411" t="s">
        <v>1384</v>
      </c>
      <c r="C48" s="406">
        <f>COUNTIFS(CampList[Status],Definition!$X$3,CampList[Type of Accomodation],$B48,CampList[Accessibility],Definition!$AA$2)</f>
        <v>20</v>
      </c>
      <c r="D48" s="418">
        <f>SUMIFS(CampList[Total],CampList[Status],Definition!$X$3,CampList[Type of Accomodation],$B48,CampList[Accessibility],Definition!$AA$2)</f>
        <v>3983</v>
      </c>
      <c r="E48" s="406">
        <f>COUNTIFS(CampList[Status],Definition!$X$3,CampList[Type of Accomodation],$B48,CampList[Accessibility],Definition!$AA$3)</f>
        <v>0</v>
      </c>
      <c r="F48" s="418">
        <f>SUMIFS(CampList[Total],CampList[Status],Definition!$X$3,CampList[Type of Accomodation],$B48,CampList[Accessibility],Definition!$AA$3)</f>
        <v>0</v>
      </c>
      <c r="G48" s="181">
        <f t="shared" si="1"/>
        <v>20</v>
      </c>
      <c r="H48" s="418">
        <f t="shared" si="2"/>
        <v>3983</v>
      </c>
      <c r="I48" s="423">
        <f t="shared" si="0"/>
        <v>3.7258075077406624E-2</v>
      </c>
      <c r="J48" s="177"/>
      <c r="K48" s="177"/>
      <c r="L48" s="177"/>
      <c r="M48" s="190"/>
      <c r="N48" s="190"/>
      <c r="O48" s="190"/>
      <c r="P48" s="190"/>
      <c r="Q48" s="190"/>
      <c r="R48" s="190"/>
      <c r="S48" s="404"/>
      <c r="T48" s="181"/>
      <c r="U48" s="270"/>
      <c r="V48" s="270"/>
      <c r="W48" s="270"/>
      <c r="X48" s="270"/>
      <c r="Y48" s="270"/>
      <c r="Z48" s="270"/>
      <c r="AA48" s="270"/>
      <c r="AB48" s="270"/>
      <c r="AC48" s="270"/>
      <c r="AD48" s="270"/>
      <c r="AE48" s="270"/>
      <c r="AF48" s="270"/>
      <c r="AG48" s="270"/>
      <c r="AH48" s="183"/>
      <c r="AI48" s="183"/>
      <c r="AJ48" s="712"/>
      <c r="AK48" s="712"/>
      <c r="AL48" s="712"/>
      <c r="AM48" s="712"/>
      <c r="AN48" s="183"/>
      <c r="AO48" s="717"/>
      <c r="AP48" s="183"/>
      <c r="AQ48" s="183"/>
      <c r="AR48" s="183"/>
      <c r="AS48" s="183"/>
      <c r="AT48" s="183"/>
      <c r="AU48" s="270"/>
      <c r="AV48" s="270"/>
      <c r="AW48" s="270"/>
      <c r="AX48" s="270"/>
      <c r="AY48" s="270"/>
      <c r="AZ48" s="270"/>
      <c r="BA48" s="270"/>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91" customFormat="1" ht="14.25" customHeight="1" x14ac:dyDescent="0.3">
      <c r="A49" s="400"/>
      <c r="B49" s="412" t="s">
        <v>3</v>
      </c>
      <c r="C49" s="409">
        <f t="shared" ref="C49:H49" si="4">SUM(C45:C48)</f>
        <v>152</v>
      </c>
      <c r="D49" s="419">
        <f t="shared" si="4"/>
        <v>66935</v>
      </c>
      <c r="E49" s="409">
        <f t="shared" si="4"/>
        <v>18</v>
      </c>
      <c r="F49" s="419">
        <f t="shared" si="4"/>
        <v>39968</v>
      </c>
      <c r="G49" s="291">
        <f t="shared" si="4"/>
        <v>170</v>
      </c>
      <c r="H49" s="419">
        <f t="shared" si="4"/>
        <v>106903</v>
      </c>
      <c r="I49" s="447">
        <f t="shared" si="0"/>
        <v>1</v>
      </c>
      <c r="J49" s="177"/>
      <c r="K49" s="177"/>
      <c r="L49" s="177"/>
      <c r="M49" s="190"/>
      <c r="N49" s="190"/>
      <c r="O49" s="190"/>
      <c r="P49" s="190"/>
      <c r="Q49" s="190"/>
      <c r="R49" s="190"/>
      <c r="S49" s="404"/>
      <c r="T49" s="181"/>
      <c r="U49" s="270"/>
      <c r="V49" s="270"/>
      <c r="W49" s="270"/>
      <c r="X49" s="270"/>
      <c r="Y49" s="270"/>
      <c r="Z49" s="270"/>
      <c r="AA49" s="270"/>
      <c r="AB49" s="270"/>
      <c r="AC49" s="270"/>
      <c r="AD49" s="270"/>
      <c r="AE49" s="270"/>
      <c r="AF49" s="270"/>
      <c r="AG49" s="270"/>
      <c r="AH49" s="183"/>
      <c r="AI49" s="183" t="s">
        <v>480</v>
      </c>
      <c r="AJ49" s="712" t="e">
        <v>#REF!</v>
      </c>
      <c r="AK49" s="712" t="e">
        <v>#REF!</v>
      </c>
      <c r="AL49" s="712" t="e">
        <v>#REF!</v>
      </c>
      <c r="AM49" s="712" t="e">
        <v>#REF!</v>
      </c>
      <c r="AN49" s="183" t="e">
        <v>#REF!</v>
      </c>
      <c r="AO49" s="717" t="e">
        <f t="shared" si="3"/>
        <v>#REF!</v>
      </c>
      <c r="AP49" s="183"/>
      <c r="AQ49" s="183"/>
      <c r="AR49" s="183"/>
      <c r="AS49" s="183"/>
      <c r="AT49" s="183"/>
      <c r="AU49" s="270"/>
      <c r="AV49" s="270"/>
      <c r="AW49" s="270"/>
      <c r="AX49" s="270"/>
      <c r="AY49" s="270"/>
      <c r="AZ49" s="270"/>
      <c r="BA49" s="270"/>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91" customFormat="1" ht="3.75" customHeight="1" x14ac:dyDescent="0.3">
      <c r="A50" s="400"/>
      <c r="B50" s="177"/>
      <c r="C50" s="177"/>
      <c r="D50" s="177"/>
      <c r="E50" s="177"/>
      <c r="F50" s="190"/>
      <c r="G50" s="190"/>
      <c r="H50" s="190"/>
      <c r="I50" s="423">
        <f t="shared" si="0"/>
        <v>0</v>
      </c>
      <c r="J50" s="190"/>
      <c r="K50" s="190"/>
      <c r="L50" s="190"/>
      <c r="M50" s="190"/>
      <c r="N50" s="190"/>
      <c r="O50" s="190"/>
      <c r="P50" s="190"/>
      <c r="Q50" s="190"/>
      <c r="R50" s="190"/>
      <c r="S50" s="404"/>
      <c r="T50" s="181"/>
      <c r="U50" s="270"/>
      <c r="V50" s="270"/>
      <c r="W50" s="270"/>
      <c r="X50" s="270"/>
      <c r="Y50" s="270"/>
      <c r="Z50" s="270"/>
      <c r="AA50" s="270"/>
      <c r="AB50" s="270"/>
      <c r="AC50" s="270"/>
      <c r="AD50" s="270"/>
      <c r="AE50" s="270"/>
      <c r="AF50" s="270"/>
      <c r="AG50" s="270"/>
      <c r="AH50" s="183"/>
      <c r="AI50" s="183" t="s">
        <v>144</v>
      </c>
      <c r="AJ50" s="712" t="e">
        <v>#REF!</v>
      </c>
      <c r="AK50" s="712" t="e">
        <v>#REF!</v>
      </c>
      <c r="AL50" s="712" t="e">
        <v>#REF!</v>
      </c>
      <c r="AM50" s="712" t="e">
        <v>#REF!</v>
      </c>
      <c r="AN50" s="183" t="e">
        <v>#REF!</v>
      </c>
      <c r="AO50" s="717" t="e">
        <f t="shared" si="3"/>
        <v>#REF!</v>
      </c>
      <c r="AP50" s="183"/>
      <c r="AQ50" s="183"/>
      <c r="AR50" s="183"/>
      <c r="AS50" s="183"/>
      <c r="AT50" s="183"/>
      <c r="AU50" s="270"/>
      <c r="AV50" s="270"/>
      <c r="AW50" s="270"/>
      <c r="AX50" s="270"/>
      <c r="AY50" s="270"/>
      <c r="AZ50" s="270"/>
      <c r="BA50" s="270"/>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91" customFormat="1" ht="48" customHeight="1" x14ac:dyDescent="0.3">
      <c r="A51" s="400"/>
      <c r="B51" s="177"/>
      <c r="C51" s="177"/>
      <c r="D51" s="177"/>
      <c r="E51" s="177"/>
      <c r="F51" s="190"/>
      <c r="G51" s="190"/>
      <c r="H51" s="190"/>
      <c r="I51" s="190"/>
      <c r="J51" s="190"/>
      <c r="K51" s="190"/>
      <c r="L51" s="190"/>
      <c r="M51" s="190"/>
      <c r="N51" s="190"/>
      <c r="O51" s="190"/>
      <c r="P51" s="190"/>
      <c r="Q51" s="190"/>
      <c r="R51" s="190"/>
      <c r="S51" s="404"/>
      <c r="T51" s="181"/>
      <c r="U51" s="270"/>
      <c r="V51" s="270"/>
      <c r="W51" s="270"/>
      <c r="X51" s="270"/>
      <c r="Y51" s="270"/>
      <c r="Z51" s="270"/>
      <c r="AA51" s="270"/>
      <c r="AB51" s="270"/>
      <c r="AC51" s="270"/>
      <c r="AD51" s="270"/>
      <c r="AE51" s="270"/>
      <c r="AF51" s="270"/>
      <c r="AG51" s="270"/>
      <c r="AH51" s="183"/>
      <c r="AI51" s="183" t="s">
        <v>146</v>
      </c>
      <c r="AJ51" s="712" t="e">
        <v>#REF!</v>
      </c>
      <c r="AK51" s="712" t="e">
        <v>#REF!</v>
      </c>
      <c r="AL51" s="712" t="e">
        <v>#REF!</v>
      </c>
      <c r="AM51" s="712" t="e">
        <v>#REF!</v>
      </c>
      <c r="AN51" s="183" t="e">
        <v>#REF!</v>
      </c>
      <c r="AO51" s="717" t="e">
        <f t="shared" si="3"/>
        <v>#REF!</v>
      </c>
      <c r="AP51" s="183"/>
      <c r="AQ51" s="183"/>
      <c r="AR51" s="183"/>
      <c r="AS51" s="183"/>
      <c r="AT51" s="183"/>
      <c r="AU51" s="270"/>
      <c r="AV51" s="270"/>
      <c r="AW51" s="270"/>
      <c r="AX51" s="270"/>
      <c r="AY51" s="270"/>
      <c r="AZ51" s="270"/>
      <c r="BA51" s="270"/>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91" customFormat="1" ht="1.5" customHeight="1" thickBot="1" x14ac:dyDescent="0.35">
      <c r="A52" s="413"/>
      <c r="B52" s="414"/>
      <c r="C52" s="414"/>
      <c r="D52" s="414"/>
      <c r="E52" s="414"/>
      <c r="F52" s="414"/>
      <c r="G52" s="414"/>
      <c r="H52" s="414"/>
      <c r="I52" s="414"/>
      <c r="J52" s="414"/>
      <c r="K52" s="414"/>
      <c r="L52" s="414"/>
      <c r="M52" s="414"/>
      <c r="N52" s="414"/>
      <c r="O52" s="414"/>
      <c r="P52" s="414"/>
      <c r="Q52" s="415"/>
      <c r="R52" s="415"/>
      <c r="S52" s="416"/>
      <c r="T52" s="181"/>
      <c r="U52" s="270"/>
      <c r="V52" s="270"/>
      <c r="W52" s="270"/>
      <c r="X52" s="270"/>
      <c r="Y52" s="270"/>
      <c r="Z52" s="270"/>
      <c r="AA52" s="270"/>
      <c r="AB52" s="270"/>
      <c r="AC52" s="270"/>
      <c r="AD52" s="270"/>
      <c r="AE52" s="270"/>
      <c r="AF52" s="270"/>
      <c r="AG52" s="270"/>
      <c r="AH52" s="183"/>
      <c r="AI52" s="183" t="s">
        <v>151</v>
      </c>
      <c r="AJ52" s="712" t="e">
        <v>#REF!</v>
      </c>
      <c r="AK52" s="712" t="e">
        <v>#REF!</v>
      </c>
      <c r="AL52" s="712" t="e">
        <v>#REF!</v>
      </c>
      <c r="AM52" s="712" t="e">
        <v>#REF!</v>
      </c>
      <c r="AN52" s="183" t="e">
        <v>#REF!</v>
      </c>
      <c r="AO52" s="717" t="e">
        <f t="shared" si="3"/>
        <v>#REF!</v>
      </c>
      <c r="AP52" s="183"/>
      <c r="AQ52" s="183"/>
      <c r="AR52" s="183"/>
      <c r="AS52" s="183"/>
      <c r="AT52" s="183"/>
      <c r="AU52" s="270"/>
      <c r="AV52" s="270"/>
      <c r="AW52" s="270"/>
      <c r="AX52" s="270"/>
      <c r="AY52" s="270"/>
      <c r="AZ52" s="270"/>
      <c r="BA52" s="270"/>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91" customFormat="1" ht="18.600000000000001" customHeight="1" x14ac:dyDescent="0.3">
      <c r="A53" s="401"/>
      <c r="B53" s="401"/>
      <c r="C53" s="401"/>
      <c r="D53" s="401"/>
      <c r="E53" s="401"/>
      <c r="F53" s="401"/>
      <c r="G53" s="401"/>
      <c r="H53" s="401"/>
      <c r="I53" s="401"/>
      <c r="J53" s="401"/>
      <c r="K53" s="401"/>
      <c r="L53" s="401"/>
      <c r="M53" s="401"/>
      <c r="N53" s="401"/>
      <c r="O53" s="401"/>
      <c r="P53" s="401"/>
      <c r="Q53" s="190"/>
      <c r="R53" s="190"/>
      <c r="S53" s="401"/>
      <c r="T53" s="181"/>
      <c r="U53" s="270"/>
      <c r="V53" s="270"/>
      <c r="W53" s="270"/>
      <c r="X53" s="270"/>
      <c r="Y53" s="270"/>
      <c r="Z53" s="270"/>
      <c r="AA53" s="270"/>
      <c r="AB53" s="270"/>
      <c r="AC53" s="270"/>
      <c r="AD53" s="270"/>
      <c r="AE53" s="270"/>
      <c r="AF53" s="270"/>
      <c r="AG53" s="270"/>
      <c r="AH53" s="183"/>
      <c r="AI53" s="183" t="s">
        <v>361</v>
      </c>
      <c r="AJ53" s="712" t="e">
        <v>#REF!</v>
      </c>
      <c r="AK53" s="712" t="e">
        <v>#REF!</v>
      </c>
      <c r="AL53" s="712" t="e">
        <v>#REF!</v>
      </c>
      <c r="AM53" s="712" t="e">
        <v>#REF!</v>
      </c>
      <c r="AN53" s="183" t="e">
        <v>#REF!</v>
      </c>
      <c r="AO53" s="717" t="e">
        <f t="shared" si="3"/>
        <v>#REF!</v>
      </c>
      <c r="AP53" s="183"/>
      <c r="AQ53" s="183"/>
      <c r="AR53" s="183"/>
      <c r="AS53" s="183"/>
      <c r="AT53" s="183"/>
      <c r="AU53" s="270"/>
      <c r="AV53" s="270"/>
      <c r="AW53" s="270"/>
      <c r="AX53" s="270"/>
      <c r="AY53" s="270"/>
      <c r="AZ53" s="270"/>
      <c r="BA53" s="270"/>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91" customFormat="1" x14ac:dyDescent="0.3">
      <c r="A54" s="181"/>
      <c r="B54" s="181"/>
      <c r="C54" s="181"/>
      <c r="D54" s="181"/>
      <c r="E54" s="181"/>
      <c r="F54" s="181"/>
      <c r="G54" s="181"/>
      <c r="H54" s="181"/>
      <c r="I54" s="181"/>
      <c r="J54" s="181"/>
      <c r="K54" s="181"/>
      <c r="L54" s="181"/>
      <c r="M54" s="181"/>
      <c r="N54" s="181"/>
      <c r="O54" s="181"/>
      <c r="P54" s="181"/>
      <c r="Q54" s="181"/>
      <c r="R54" s="181"/>
      <c r="S54" s="181"/>
      <c r="T54" s="181"/>
      <c r="U54" s="270"/>
      <c r="V54" s="270"/>
      <c r="W54" s="270"/>
      <c r="X54" s="270"/>
      <c r="Y54" s="270"/>
      <c r="Z54" s="270"/>
      <c r="AA54" s="270"/>
      <c r="AB54" s="270"/>
      <c r="AC54" s="270"/>
      <c r="AD54" s="270"/>
      <c r="AE54" s="270"/>
      <c r="AF54" s="270"/>
      <c r="AG54" s="270"/>
      <c r="AH54" s="183"/>
      <c r="AI54" s="183" t="s">
        <v>166</v>
      </c>
      <c r="AJ54" s="712" t="e">
        <v>#REF!</v>
      </c>
      <c r="AK54" s="712" t="e">
        <v>#REF!</v>
      </c>
      <c r="AL54" s="712" t="e">
        <v>#REF!</v>
      </c>
      <c r="AM54" s="712" t="e">
        <v>#REF!</v>
      </c>
      <c r="AN54" s="183" t="e">
        <v>#REF!</v>
      </c>
      <c r="AO54" s="717" t="e">
        <f t="shared" si="3"/>
        <v>#REF!</v>
      </c>
      <c r="AP54" s="183"/>
      <c r="AQ54" s="183"/>
      <c r="AR54" s="183"/>
      <c r="AS54" s="183"/>
      <c r="AT54" s="183"/>
      <c r="AU54" s="270"/>
      <c r="AV54" s="270"/>
      <c r="AW54" s="270"/>
      <c r="AX54" s="270"/>
      <c r="AY54" s="270"/>
      <c r="AZ54" s="270"/>
      <c r="BA54" s="270"/>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91" customFormat="1" x14ac:dyDescent="0.3">
      <c r="A55" s="181"/>
      <c r="B55" s="181"/>
      <c r="C55" s="181"/>
      <c r="D55" s="181"/>
      <c r="E55" s="181"/>
      <c r="F55" s="421"/>
      <c r="G55" s="181"/>
      <c r="H55" s="181"/>
      <c r="I55" s="181"/>
      <c r="J55" s="181"/>
      <c r="K55" s="181"/>
      <c r="L55" s="181"/>
      <c r="M55" s="181"/>
      <c r="N55" s="181"/>
      <c r="O55" s="181"/>
      <c r="P55" s="181"/>
      <c r="Q55" s="181"/>
      <c r="R55" s="181"/>
      <c r="S55" s="181"/>
      <c r="T55" s="181"/>
      <c r="U55" s="270"/>
      <c r="V55" s="270"/>
      <c r="W55" s="270"/>
      <c r="X55" s="270"/>
      <c r="Y55" s="270"/>
      <c r="Z55" s="270"/>
      <c r="AA55" s="270"/>
      <c r="AB55" s="270"/>
      <c r="AC55" s="270"/>
      <c r="AD55" s="270"/>
      <c r="AE55" s="270"/>
      <c r="AF55" s="270"/>
      <c r="AG55" s="270"/>
      <c r="AH55" s="183"/>
      <c r="AI55" s="183" t="s">
        <v>173</v>
      </c>
      <c r="AJ55" s="712" t="e">
        <v>#REF!</v>
      </c>
      <c r="AK55" s="712" t="e">
        <v>#REF!</v>
      </c>
      <c r="AL55" s="712" t="e">
        <v>#REF!</v>
      </c>
      <c r="AM55" s="712" t="e">
        <v>#REF!</v>
      </c>
      <c r="AN55" s="183" t="e">
        <v>#REF!</v>
      </c>
      <c r="AO55" s="717" t="e">
        <f t="shared" si="3"/>
        <v>#REF!</v>
      </c>
      <c r="AP55" s="183"/>
      <c r="AQ55" s="183"/>
      <c r="AR55" s="183"/>
      <c r="AS55" s="183"/>
      <c r="AT55" s="183"/>
      <c r="AU55" s="270"/>
      <c r="AV55" s="270"/>
      <c r="AW55" s="270"/>
      <c r="AX55" s="270"/>
      <c r="AY55" s="270"/>
      <c r="AZ55" s="270"/>
      <c r="BA55" s="270"/>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91" customFormat="1" x14ac:dyDescent="0.3">
      <c r="A56" s="181"/>
      <c r="B56" s="181"/>
      <c r="C56" s="181"/>
      <c r="D56" s="181"/>
      <c r="E56" s="181"/>
      <c r="F56" s="181"/>
      <c r="G56" s="421"/>
      <c r="H56" s="181"/>
      <c r="I56" s="181"/>
      <c r="J56" s="181"/>
      <c r="K56" s="181"/>
      <c r="L56" s="181"/>
      <c r="M56" s="181"/>
      <c r="N56" s="181"/>
      <c r="O56" s="181"/>
      <c r="P56" s="181"/>
      <c r="Q56" s="181"/>
      <c r="R56" s="181"/>
      <c r="S56" s="181"/>
      <c r="T56" s="181"/>
      <c r="U56" s="270"/>
      <c r="V56" s="270"/>
      <c r="W56" s="270"/>
      <c r="X56" s="270"/>
      <c r="Y56" s="270"/>
      <c r="Z56" s="270"/>
      <c r="AA56" s="270"/>
      <c r="AB56" s="270"/>
      <c r="AC56" s="270"/>
      <c r="AD56" s="270"/>
      <c r="AE56" s="270"/>
      <c r="AF56" s="270"/>
      <c r="AG56" s="270"/>
      <c r="AH56" s="183"/>
      <c r="AI56" s="183" t="s">
        <v>719</v>
      </c>
      <c r="AJ56" s="712" t="e">
        <v>#REF!</v>
      </c>
      <c r="AK56" s="712" t="e">
        <v>#REF!</v>
      </c>
      <c r="AL56" s="712" t="e">
        <v>#REF!</v>
      </c>
      <c r="AM56" s="712" t="e">
        <v>#REF!</v>
      </c>
      <c r="AN56" s="183" t="e">
        <v>#REF!</v>
      </c>
      <c r="AO56" s="717" t="e">
        <f t="shared" si="3"/>
        <v>#REF!</v>
      </c>
      <c r="AP56" s="183"/>
      <c r="AQ56" s="183"/>
      <c r="AR56" s="183"/>
      <c r="AS56" s="183"/>
      <c r="AT56" s="183"/>
      <c r="AU56" s="270"/>
      <c r="AV56" s="270"/>
      <c r="AW56" s="270"/>
      <c r="AX56" s="270"/>
      <c r="AY56" s="270"/>
      <c r="AZ56" s="270"/>
      <c r="BA56" s="270"/>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91" customFormat="1" x14ac:dyDescent="0.3">
      <c r="A57" s="181"/>
      <c r="B57" s="181"/>
      <c r="C57" s="181"/>
      <c r="D57" s="181"/>
      <c r="E57" s="417"/>
      <c r="F57" s="181"/>
      <c r="G57" s="181"/>
      <c r="H57" s="181"/>
      <c r="I57" s="181"/>
      <c r="J57" s="181"/>
      <c r="K57" s="181"/>
      <c r="L57" s="181"/>
      <c r="M57" s="181"/>
      <c r="N57" s="181"/>
      <c r="O57" s="181"/>
      <c r="P57" s="181"/>
      <c r="Q57" s="181"/>
      <c r="R57" s="181"/>
      <c r="S57" s="181"/>
      <c r="T57" s="181"/>
      <c r="U57" s="270"/>
      <c r="V57" s="270"/>
      <c r="W57" s="270"/>
      <c r="X57" s="270"/>
      <c r="Y57" s="270"/>
      <c r="Z57" s="270"/>
      <c r="AA57" s="270"/>
      <c r="AB57" s="270"/>
      <c r="AC57" s="270"/>
      <c r="AD57" s="270"/>
      <c r="AE57" s="270"/>
      <c r="AF57" s="270"/>
      <c r="AG57" s="270"/>
      <c r="AH57" s="183"/>
      <c r="AI57" s="183" t="s">
        <v>180</v>
      </c>
      <c r="AJ57" s="712" t="e">
        <v>#REF!</v>
      </c>
      <c r="AK57" s="712" t="e">
        <v>#REF!</v>
      </c>
      <c r="AL57" s="712" t="e">
        <v>#REF!</v>
      </c>
      <c r="AM57" s="712" t="e">
        <v>#REF!</v>
      </c>
      <c r="AN57" s="183" t="e">
        <v>#REF!</v>
      </c>
      <c r="AO57" s="717" t="e">
        <f t="shared" si="3"/>
        <v>#REF!</v>
      </c>
      <c r="AP57" s="183"/>
      <c r="AQ57" s="183"/>
      <c r="AR57" s="183"/>
      <c r="AS57" s="183"/>
      <c r="AT57" s="183"/>
      <c r="AU57" s="270"/>
      <c r="AV57" s="270"/>
      <c r="AW57" s="270"/>
      <c r="AX57" s="270"/>
      <c r="AY57" s="270"/>
      <c r="AZ57" s="270"/>
      <c r="BA57" s="270"/>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91" customFormat="1" x14ac:dyDescent="0.3">
      <c r="A58" s="181"/>
      <c r="B58" s="181"/>
      <c r="C58" s="181"/>
      <c r="D58" s="181"/>
      <c r="E58" s="181"/>
      <c r="F58" s="181"/>
      <c r="G58" s="181"/>
      <c r="H58" s="181"/>
      <c r="I58" s="181"/>
      <c r="J58" s="181"/>
      <c r="K58" s="181"/>
      <c r="L58" s="181"/>
      <c r="M58" s="181"/>
      <c r="N58" s="181"/>
      <c r="O58" s="181"/>
      <c r="P58" s="181"/>
      <c r="Q58" s="181"/>
      <c r="R58" s="181"/>
      <c r="S58" s="181"/>
      <c r="T58" s="181"/>
      <c r="U58" s="270"/>
      <c r="V58" s="270"/>
      <c r="W58" s="270"/>
      <c r="X58" s="270"/>
      <c r="Y58" s="270"/>
      <c r="Z58" s="270"/>
      <c r="AA58" s="270"/>
      <c r="AB58" s="270"/>
      <c r="AC58" s="270"/>
      <c r="AD58" s="270"/>
      <c r="AE58" s="270"/>
      <c r="AF58" s="270"/>
      <c r="AG58" s="270"/>
      <c r="AH58" s="183"/>
      <c r="AI58" s="183" t="s">
        <v>185</v>
      </c>
      <c r="AJ58" s="712" t="e">
        <v>#REF!</v>
      </c>
      <c r="AK58" s="712" t="e">
        <v>#REF!</v>
      </c>
      <c r="AL58" s="712" t="e">
        <v>#REF!</v>
      </c>
      <c r="AM58" s="712" t="e">
        <v>#REF!</v>
      </c>
      <c r="AN58" s="183" t="e">
        <v>#REF!</v>
      </c>
      <c r="AO58" s="717" t="e">
        <f t="shared" si="3"/>
        <v>#REF!</v>
      </c>
      <c r="AP58" s="183"/>
      <c r="AQ58" s="183"/>
      <c r="AR58" s="183"/>
      <c r="AS58" s="183"/>
      <c r="AT58" s="183"/>
      <c r="AU58" s="270"/>
      <c r="AV58" s="270"/>
      <c r="AW58" s="270"/>
      <c r="AX58" s="270"/>
      <c r="AY58" s="270"/>
      <c r="AZ58" s="270"/>
      <c r="BA58" s="270"/>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91" customFormat="1" x14ac:dyDescent="0.3">
      <c r="A59" s="181"/>
      <c r="B59" s="181"/>
      <c r="C59" s="181"/>
      <c r="D59" s="181"/>
      <c r="E59" s="181"/>
      <c r="F59" s="181"/>
      <c r="G59" s="181"/>
      <c r="H59" s="181"/>
      <c r="I59" s="181"/>
      <c r="J59" s="181"/>
      <c r="K59" s="181"/>
      <c r="L59" s="181"/>
      <c r="M59" s="181"/>
      <c r="N59" s="181"/>
      <c r="O59" s="181"/>
      <c r="P59" s="181"/>
      <c r="Q59" s="181"/>
      <c r="R59" s="181"/>
      <c r="S59" s="181"/>
      <c r="T59" s="181"/>
      <c r="U59" s="270"/>
      <c r="V59" s="270"/>
      <c r="W59" s="270"/>
      <c r="X59" s="270"/>
      <c r="Y59" s="270"/>
      <c r="Z59" s="270"/>
      <c r="AA59" s="270"/>
      <c r="AB59" s="270"/>
      <c r="AC59" s="270"/>
      <c r="AD59" s="270"/>
      <c r="AE59" s="270"/>
      <c r="AF59" s="270"/>
      <c r="AG59" s="270"/>
      <c r="AH59" s="183"/>
      <c r="AI59" s="183" t="s">
        <v>230</v>
      </c>
      <c r="AJ59" s="712" t="e">
        <v>#REF!</v>
      </c>
      <c r="AK59" s="712" t="e">
        <v>#REF!</v>
      </c>
      <c r="AL59" s="712" t="e">
        <v>#REF!</v>
      </c>
      <c r="AM59" s="712" t="e">
        <v>#REF!</v>
      </c>
      <c r="AN59" s="183" t="e">
        <v>#REF!</v>
      </c>
      <c r="AO59" s="717" t="e">
        <f t="shared" si="3"/>
        <v>#REF!</v>
      </c>
      <c r="AP59" s="183"/>
      <c r="AQ59" s="183"/>
      <c r="AR59" s="183"/>
      <c r="AS59" s="183"/>
      <c r="AT59" s="183"/>
      <c r="AU59" s="270"/>
      <c r="AV59" s="270"/>
      <c r="AW59" s="270"/>
      <c r="AX59" s="270"/>
      <c r="AY59" s="270"/>
      <c r="AZ59" s="270"/>
      <c r="BA59" s="270"/>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91" customFormat="1" x14ac:dyDescent="0.3">
      <c r="A60" s="181"/>
      <c r="B60" s="181"/>
      <c r="C60" s="181"/>
      <c r="D60" s="181"/>
      <c r="E60" s="181"/>
      <c r="F60" s="181"/>
      <c r="G60" s="181"/>
      <c r="H60" s="181"/>
      <c r="I60" s="181"/>
      <c r="J60" s="181"/>
      <c r="K60" s="181"/>
      <c r="L60" s="181"/>
      <c r="M60" s="181"/>
      <c r="N60" s="181"/>
      <c r="O60" s="181"/>
      <c r="P60" s="181"/>
      <c r="Q60" s="181"/>
      <c r="R60" s="181"/>
      <c r="S60" s="181"/>
      <c r="T60" s="181"/>
      <c r="U60" s="270"/>
      <c r="V60" s="270"/>
      <c r="W60" s="270"/>
      <c r="X60" s="270"/>
      <c r="Y60" s="270"/>
      <c r="Z60" s="270"/>
      <c r="AA60" s="270"/>
      <c r="AB60" s="270"/>
      <c r="AC60" s="270"/>
      <c r="AD60" s="270"/>
      <c r="AE60" s="270"/>
      <c r="AF60" s="270"/>
      <c r="AG60" s="270"/>
      <c r="AH60" s="183"/>
      <c r="AI60" s="183" t="s">
        <v>237</v>
      </c>
      <c r="AJ60" s="712" t="e">
        <v>#REF!</v>
      </c>
      <c r="AK60" s="712" t="e">
        <v>#REF!</v>
      </c>
      <c r="AL60" s="712" t="e">
        <v>#REF!</v>
      </c>
      <c r="AM60" s="712" t="e">
        <v>#REF!</v>
      </c>
      <c r="AN60" s="183" t="e">
        <v>#REF!</v>
      </c>
      <c r="AO60" s="717" t="e">
        <f t="shared" si="3"/>
        <v>#REF!</v>
      </c>
      <c r="AP60" s="183"/>
      <c r="AQ60" s="183"/>
      <c r="AR60" s="183"/>
      <c r="AS60" s="183"/>
      <c r="AT60" s="183"/>
      <c r="AU60" s="270"/>
      <c r="AV60" s="270"/>
      <c r="AW60" s="270"/>
      <c r="AX60" s="270"/>
      <c r="AY60" s="270"/>
      <c r="AZ60" s="270"/>
      <c r="BA60" s="270"/>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91" customFormat="1" x14ac:dyDescent="0.3">
      <c r="A61" s="181"/>
      <c r="B61" s="181"/>
      <c r="C61" s="181"/>
      <c r="D61" s="181"/>
      <c r="E61" s="181"/>
      <c r="F61" s="181"/>
      <c r="G61" s="181"/>
      <c r="H61" s="181"/>
      <c r="I61" s="181"/>
      <c r="J61" s="181"/>
      <c r="K61" s="181"/>
      <c r="L61" s="181"/>
      <c r="M61" s="181"/>
      <c r="N61" s="181"/>
      <c r="O61" s="181"/>
      <c r="P61" s="181"/>
      <c r="Q61" s="181"/>
      <c r="R61" s="181"/>
      <c r="S61" s="181"/>
      <c r="T61" s="181"/>
      <c r="U61" s="270"/>
      <c r="V61" s="270"/>
      <c r="W61" s="270"/>
      <c r="X61" s="270"/>
      <c r="Y61" s="270"/>
      <c r="Z61" s="270"/>
      <c r="AA61" s="270"/>
      <c r="AB61" s="270"/>
      <c r="AC61" s="270"/>
      <c r="AD61" s="270"/>
      <c r="AE61" s="270"/>
      <c r="AF61" s="270"/>
      <c r="AG61" s="270"/>
      <c r="AH61" s="183"/>
      <c r="AI61" s="183" t="s">
        <v>288</v>
      </c>
      <c r="AJ61" s="712" t="e">
        <v>#REF!</v>
      </c>
      <c r="AK61" s="712" t="e">
        <v>#REF!</v>
      </c>
      <c r="AL61" s="712" t="e">
        <v>#REF!</v>
      </c>
      <c r="AM61" s="712" t="e">
        <v>#REF!</v>
      </c>
      <c r="AN61" s="183" t="e">
        <v>#REF!</v>
      </c>
      <c r="AO61" s="717" t="e">
        <f t="shared" si="3"/>
        <v>#REF!</v>
      </c>
      <c r="AP61" s="183"/>
      <c r="AQ61" s="183"/>
      <c r="AR61" s="183"/>
      <c r="AS61" s="183"/>
      <c r="AT61" s="183"/>
      <c r="AU61" s="270"/>
      <c r="AV61" s="270"/>
      <c r="AW61" s="270"/>
      <c r="AX61" s="270"/>
      <c r="AY61" s="270"/>
      <c r="AZ61" s="270"/>
      <c r="BA61" s="270"/>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91" customFormat="1" x14ac:dyDescent="0.3">
      <c r="A62" s="181"/>
      <c r="B62" s="181"/>
      <c r="C62" s="181"/>
      <c r="D62" s="181"/>
      <c r="E62" s="181"/>
      <c r="F62" s="181"/>
      <c r="G62" s="181"/>
      <c r="H62" s="181"/>
      <c r="I62" s="181"/>
      <c r="J62" s="181"/>
      <c r="K62" s="181"/>
      <c r="L62" s="181"/>
      <c r="M62" s="181"/>
      <c r="N62" s="181"/>
      <c r="O62" s="181"/>
      <c r="P62" s="181"/>
      <c r="Q62" s="181"/>
      <c r="R62" s="181"/>
      <c r="S62" s="181"/>
      <c r="T62" s="181"/>
      <c r="U62" s="270"/>
      <c r="V62" s="270"/>
      <c r="W62" s="270"/>
      <c r="X62" s="270"/>
      <c r="Y62" s="270"/>
      <c r="Z62" s="270"/>
      <c r="AA62" s="270"/>
      <c r="AB62" s="270"/>
      <c r="AC62" s="270"/>
      <c r="AD62" s="270"/>
      <c r="AE62" s="270"/>
      <c r="AF62" s="270"/>
      <c r="AG62" s="270"/>
      <c r="AH62" s="183"/>
      <c r="AI62" s="183" t="s">
        <v>297</v>
      </c>
      <c r="AJ62" s="712" t="e">
        <v>#REF!</v>
      </c>
      <c r="AK62" s="712" t="e">
        <v>#REF!</v>
      </c>
      <c r="AL62" s="712" t="e">
        <v>#REF!</v>
      </c>
      <c r="AM62" s="712" t="e">
        <v>#REF!</v>
      </c>
      <c r="AN62" s="183" t="e">
        <v>#REF!</v>
      </c>
      <c r="AO62" s="717" t="e">
        <f t="shared" si="3"/>
        <v>#REF!</v>
      </c>
      <c r="AP62" s="183"/>
      <c r="AQ62" s="183"/>
      <c r="AR62" s="183"/>
      <c r="AS62" s="183"/>
      <c r="AT62" s="183"/>
      <c r="AU62" s="270"/>
      <c r="AV62" s="270"/>
      <c r="AW62" s="270"/>
      <c r="AX62" s="270"/>
      <c r="AY62" s="270"/>
      <c r="AZ62" s="270"/>
      <c r="BA62" s="270"/>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91" customFormat="1" x14ac:dyDescent="0.3">
      <c r="A63" s="181"/>
      <c r="B63" s="181"/>
      <c r="C63" s="181"/>
      <c r="D63" s="181"/>
      <c r="E63" s="181"/>
      <c r="F63" s="181"/>
      <c r="G63" s="181"/>
      <c r="H63" s="181"/>
      <c r="I63" s="181"/>
      <c r="J63" s="181"/>
      <c r="K63" s="181"/>
      <c r="L63" s="181"/>
      <c r="M63" s="181"/>
      <c r="N63" s="181"/>
      <c r="O63" s="181"/>
      <c r="P63" s="181"/>
      <c r="Q63" s="181"/>
      <c r="R63" s="181"/>
      <c r="S63" s="181"/>
      <c r="T63" s="181"/>
      <c r="U63" s="270"/>
      <c r="V63" s="270"/>
      <c r="W63" s="270"/>
      <c r="X63" s="270"/>
      <c r="Y63" s="270"/>
      <c r="Z63" s="270"/>
      <c r="AA63" s="270"/>
      <c r="AB63" s="270"/>
      <c r="AC63" s="270"/>
      <c r="AD63" s="270"/>
      <c r="AE63" s="270"/>
      <c r="AF63" s="270"/>
      <c r="AG63" s="270"/>
      <c r="AH63" s="183"/>
      <c r="AI63" s="183" t="s">
        <v>299</v>
      </c>
      <c r="AJ63" s="712" t="e">
        <v>#REF!</v>
      </c>
      <c r="AK63" s="712" t="e">
        <v>#REF!</v>
      </c>
      <c r="AL63" s="712" t="e">
        <v>#REF!</v>
      </c>
      <c r="AM63" s="712" t="e">
        <v>#REF!</v>
      </c>
      <c r="AN63" s="183" t="e">
        <v>#REF!</v>
      </c>
      <c r="AO63" s="717" t="e">
        <f t="shared" si="3"/>
        <v>#REF!</v>
      </c>
      <c r="AP63" s="183"/>
      <c r="AQ63" s="183"/>
      <c r="AR63" s="183"/>
      <c r="AS63" s="183"/>
      <c r="AT63" s="183"/>
      <c r="AU63" s="270"/>
      <c r="AV63" s="270"/>
      <c r="AW63" s="270"/>
      <c r="AX63" s="270"/>
      <c r="AY63" s="270"/>
      <c r="AZ63" s="270"/>
      <c r="BA63" s="270"/>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91" customFormat="1" x14ac:dyDescent="0.3">
      <c r="A64" s="181"/>
      <c r="B64" s="181"/>
      <c r="C64" s="181"/>
      <c r="D64" s="181"/>
      <c r="E64" s="181"/>
      <c r="F64" s="181"/>
      <c r="G64" s="181"/>
      <c r="H64" s="181"/>
      <c r="I64" s="181"/>
      <c r="J64" s="181"/>
      <c r="K64" s="181"/>
      <c r="L64" s="181"/>
      <c r="M64" s="181"/>
      <c r="N64" s="181"/>
      <c r="O64" s="181"/>
      <c r="P64" s="181"/>
      <c r="Q64" s="181"/>
      <c r="R64" s="181"/>
      <c r="S64" s="181"/>
      <c r="T64" s="181"/>
      <c r="U64" s="270"/>
      <c r="V64" s="270"/>
      <c r="W64" s="270"/>
      <c r="X64" s="270"/>
      <c r="Y64" s="270"/>
      <c r="Z64" s="270"/>
      <c r="AA64" s="270"/>
      <c r="AB64" s="270"/>
      <c r="AC64" s="270"/>
      <c r="AD64" s="270"/>
      <c r="AE64" s="270"/>
      <c r="AF64" s="270"/>
      <c r="AG64" s="270"/>
      <c r="AH64" s="183"/>
      <c r="AI64" s="183" t="s">
        <v>301</v>
      </c>
      <c r="AJ64" s="712" t="e">
        <v>#REF!</v>
      </c>
      <c r="AK64" s="712" t="e">
        <v>#REF!</v>
      </c>
      <c r="AL64" s="712" t="e">
        <v>#REF!</v>
      </c>
      <c r="AM64" s="712" t="e">
        <v>#REF!</v>
      </c>
      <c r="AN64" s="183" t="e">
        <v>#REF!</v>
      </c>
      <c r="AO64" s="717" t="e">
        <f t="shared" si="3"/>
        <v>#REF!</v>
      </c>
      <c r="AP64" s="183"/>
      <c r="AQ64" s="183"/>
      <c r="AR64" s="183"/>
      <c r="AS64" s="183"/>
      <c r="AT64" s="183"/>
      <c r="AU64" s="270"/>
      <c r="AV64" s="270"/>
      <c r="AW64" s="270"/>
      <c r="AX64" s="270"/>
      <c r="AY64" s="270"/>
      <c r="AZ64" s="270"/>
      <c r="BA64" s="270"/>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90" customFormat="1" x14ac:dyDescent="0.3">
      <c r="A65" s="181"/>
      <c r="B65" s="181"/>
      <c r="C65" s="181"/>
      <c r="D65" s="181"/>
      <c r="E65" s="181"/>
      <c r="F65" s="181"/>
      <c r="G65" s="181"/>
      <c r="H65" s="181"/>
      <c r="I65" s="181"/>
      <c r="J65" s="181"/>
      <c r="K65" s="181"/>
      <c r="L65" s="181"/>
      <c r="M65" s="181"/>
      <c r="N65" s="181"/>
      <c r="O65" s="181"/>
      <c r="P65" s="181"/>
      <c r="Q65" s="181"/>
      <c r="R65" s="181"/>
      <c r="S65" s="181"/>
      <c r="T65" s="181"/>
      <c r="U65" s="270"/>
      <c r="V65" s="270"/>
      <c r="W65" s="270"/>
      <c r="X65" s="270"/>
      <c r="Y65" s="270"/>
      <c r="Z65" s="270"/>
      <c r="AA65" s="270"/>
      <c r="AB65" s="270"/>
      <c r="AC65" s="270"/>
      <c r="AD65" s="270"/>
      <c r="AE65" s="270"/>
      <c r="AF65" s="270"/>
      <c r="AG65" s="270"/>
      <c r="AH65" s="183"/>
      <c r="AI65" s="183" t="s">
        <v>746</v>
      </c>
      <c r="AJ65" s="712" t="e">
        <v>#REF!</v>
      </c>
      <c r="AK65" s="712" t="e">
        <v>#REF!</v>
      </c>
      <c r="AL65" s="712" t="e">
        <v>#REF!</v>
      </c>
      <c r="AM65" s="712" t="e">
        <v>#REF!</v>
      </c>
      <c r="AN65" s="183" t="e">
        <v>#REF!</v>
      </c>
      <c r="AO65" s="717" t="e">
        <f t="shared" si="3"/>
        <v>#REF!</v>
      </c>
      <c r="AP65" s="183"/>
      <c r="AQ65" s="183"/>
      <c r="AR65" s="183"/>
      <c r="AS65" s="183"/>
      <c r="AT65" s="183"/>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row>
    <row r="66" spans="1:80" s="390" customFormat="1" x14ac:dyDescent="0.3">
      <c r="A66" s="181"/>
      <c r="B66" s="181"/>
      <c r="C66" s="181"/>
      <c r="D66" s="181"/>
      <c r="E66" s="181"/>
      <c r="F66" s="181"/>
      <c r="G66" s="181"/>
      <c r="H66" s="181"/>
      <c r="I66" s="181"/>
      <c r="J66" s="181"/>
      <c r="K66" s="181"/>
      <c r="L66" s="181"/>
      <c r="M66" s="181"/>
      <c r="N66" s="181"/>
      <c r="O66" s="181"/>
      <c r="P66" s="181"/>
      <c r="Q66" s="181"/>
      <c r="R66" s="181"/>
      <c r="S66" s="181"/>
      <c r="T66" s="181"/>
      <c r="U66" s="270"/>
      <c r="V66" s="270"/>
      <c r="W66" s="270"/>
      <c r="X66" s="270"/>
      <c r="Y66" s="270"/>
      <c r="Z66" s="270"/>
      <c r="AA66" s="270"/>
      <c r="AB66" s="270"/>
      <c r="AC66" s="270"/>
      <c r="AD66" s="270"/>
      <c r="AE66" s="270"/>
      <c r="AF66" s="270"/>
      <c r="AG66" s="270"/>
      <c r="AH66" s="183"/>
      <c r="AI66" s="183" t="s">
        <v>309</v>
      </c>
      <c r="AJ66" s="712" t="e">
        <v>#REF!</v>
      </c>
      <c r="AK66" s="712" t="e">
        <v>#REF!</v>
      </c>
      <c r="AL66" s="712" t="e">
        <v>#REF!</v>
      </c>
      <c r="AM66" s="712" t="e">
        <v>#REF!</v>
      </c>
      <c r="AN66" s="183" t="e">
        <v>#REF!</v>
      </c>
      <c r="AO66" s="717" t="e">
        <f>SUM(AJ66:AN66)</f>
        <v>#REF!</v>
      </c>
      <c r="AP66" s="183"/>
      <c r="AQ66" s="183"/>
      <c r="AR66" s="183"/>
      <c r="AS66" s="183"/>
      <c r="AT66" s="183"/>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row>
    <row r="67" spans="1:80" s="270" customFormat="1" x14ac:dyDescent="0.3">
      <c r="AH67" s="183"/>
      <c r="AI67" s="270" t="s">
        <v>817</v>
      </c>
      <c r="AJ67" s="712" t="e">
        <v>#REF!</v>
      </c>
      <c r="AK67" s="712" t="e">
        <v>#REF!</v>
      </c>
      <c r="AL67" s="712" t="e">
        <v>#REF!</v>
      </c>
      <c r="AM67" s="712" t="e">
        <v>#REF!</v>
      </c>
      <c r="AN67" s="183" t="e">
        <v>#REF!</v>
      </c>
      <c r="AO67" s="717" t="e">
        <f>SUM(AJ67:AN67)</f>
        <v>#REF!</v>
      </c>
      <c r="AP67" s="183"/>
      <c r="AQ67" s="183"/>
      <c r="AR67" s="183"/>
      <c r="AS67" s="183"/>
      <c r="AT67" s="183"/>
    </row>
    <row r="68" spans="1:80" s="390" customFormat="1" x14ac:dyDescent="0.3">
      <c r="A68" s="181"/>
      <c r="B68" s="181"/>
      <c r="C68" s="181"/>
      <c r="D68" s="181"/>
      <c r="E68" s="181"/>
      <c r="F68" s="181"/>
      <c r="G68" s="181"/>
      <c r="H68" s="181"/>
      <c r="I68" s="181"/>
      <c r="J68" s="181"/>
      <c r="K68" s="181"/>
      <c r="L68" s="181"/>
      <c r="M68" s="181"/>
      <c r="N68" s="181"/>
      <c r="O68" s="181"/>
      <c r="P68" s="181"/>
      <c r="Q68" s="181"/>
      <c r="R68" s="181"/>
      <c r="S68" s="181"/>
      <c r="T68" s="181"/>
      <c r="U68" s="270"/>
      <c r="V68" s="270"/>
      <c r="W68" s="270"/>
      <c r="X68" s="270"/>
      <c r="Y68" s="270"/>
      <c r="Z68" s="270"/>
      <c r="AA68" s="270"/>
      <c r="AB68" s="270"/>
      <c r="AC68" s="270"/>
      <c r="AD68" s="270"/>
      <c r="AE68" s="270"/>
      <c r="AF68" s="270"/>
      <c r="AG68" s="270"/>
      <c r="AH68" s="183"/>
      <c r="AI68" s="183" t="s">
        <v>1136</v>
      </c>
      <c r="AJ68" s="712" t="e">
        <v>#REF!</v>
      </c>
      <c r="AK68" s="712" t="e">
        <v>#REF!</v>
      </c>
      <c r="AL68" s="712" t="e">
        <v>#REF!</v>
      </c>
      <c r="AM68" s="712" t="e">
        <v>#REF!</v>
      </c>
      <c r="AN68" s="183" t="e">
        <v>#REF!</v>
      </c>
      <c r="AO68" s="717" t="e">
        <f>SUM(AJ68:AN68)</f>
        <v>#REF!</v>
      </c>
      <c r="AP68" s="183"/>
      <c r="AQ68" s="183"/>
      <c r="AR68" s="183"/>
      <c r="AS68" s="183"/>
      <c r="AT68" s="183"/>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row>
    <row r="69" spans="1:80" s="390" customFormat="1" x14ac:dyDescent="0.3">
      <c r="A69" s="181"/>
      <c r="B69" s="181"/>
      <c r="C69" s="181"/>
      <c r="D69" s="181"/>
      <c r="E69" s="181"/>
      <c r="F69" s="181"/>
      <c r="G69" s="181"/>
      <c r="H69" s="181"/>
      <c r="I69" s="181"/>
      <c r="J69" s="181"/>
      <c r="K69" s="181"/>
      <c r="L69" s="181"/>
      <c r="M69" s="181"/>
      <c r="N69" s="181"/>
      <c r="O69" s="181"/>
      <c r="P69" s="181"/>
      <c r="Q69" s="181"/>
      <c r="R69" s="181"/>
      <c r="S69" s="181"/>
      <c r="T69" s="181"/>
      <c r="U69" s="270"/>
      <c r="V69" s="270"/>
      <c r="W69" s="270"/>
      <c r="X69" s="270"/>
      <c r="Y69" s="270"/>
      <c r="Z69" s="270"/>
      <c r="AA69" s="270"/>
      <c r="AB69" s="270"/>
      <c r="AC69" s="270"/>
      <c r="AD69" s="270"/>
      <c r="AE69" s="270"/>
      <c r="AF69" s="270"/>
      <c r="AG69" s="270"/>
      <c r="AH69" s="183"/>
      <c r="AI69" s="183" t="s">
        <v>1200</v>
      </c>
      <c r="AJ69" s="712" t="e">
        <v>#REF!</v>
      </c>
      <c r="AK69" s="712" t="e">
        <v>#REF!</v>
      </c>
      <c r="AL69" s="712" t="e">
        <v>#REF!</v>
      </c>
      <c r="AM69" s="712" t="e">
        <v>#REF!</v>
      </c>
      <c r="AN69" s="183" t="e">
        <v>#REF!</v>
      </c>
      <c r="AO69" s="717" t="e">
        <f>SUM(AJ69:AN69)</f>
        <v>#REF!</v>
      </c>
      <c r="AP69" s="183"/>
      <c r="AQ69" s="183"/>
      <c r="AR69" s="183"/>
      <c r="AS69" s="183"/>
      <c r="AT69" s="183"/>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row>
    <row r="70" spans="1:80" s="390" customFormat="1" x14ac:dyDescent="0.3">
      <c r="A70" s="181"/>
      <c r="B70" s="181"/>
      <c r="C70" s="181"/>
      <c r="D70" s="181"/>
      <c r="E70" s="181"/>
      <c r="F70" s="181"/>
      <c r="G70" s="181"/>
      <c r="H70" s="181"/>
      <c r="I70" s="181"/>
      <c r="J70" s="181"/>
      <c r="K70" s="181"/>
      <c r="L70" s="181"/>
      <c r="M70" s="181"/>
      <c r="N70" s="181"/>
      <c r="O70" s="181"/>
      <c r="P70" s="181"/>
      <c r="Q70" s="181"/>
      <c r="R70" s="181"/>
      <c r="S70" s="181"/>
      <c r="T70" s="181"/>
      <c r="U70" s="270"/>
      <c r="V70" s="270"/>
      <c r="W70" s="270"/>
      <c r="X70" s="270"/>
      <c r="Y70" s="270"/>
      <c r="Z70" s="270"/>
      <c r="AA70" s="270"/>
      <c r="AB70" s="270"/>
      <c r="AC70" s="270"/>
      <c r="AD70" s="270"/>
      <c r="AE70" s="270"/>
      <c r="AF70" s="270"/>
      <c r="AG70" s="270"/>
      <c r="AH70" s="183"/>
      <c r="AI70" s="183" t="s">
        <v>3</v>
      </c>
      <c r="AJ70" s="212" t="e">
        <f>SUM(AJ46:AJ69)</f>
        <v>#REF!</v>
      </c>
      <c r="AK70" s="212" t="e">
        <f>SUM(AK46:AK69)</f>
        <v>#REF!</v>
      </c>
      <c r="AL70" s="212" t="e">
        <f>SUM(AL46:AL69)</f>
        <v>#REF!</v>
      </c>
      <c r="AM70" s="212" t="e">
        <f>SUM(AM46:AM69)</f>
        <v>#REF!</v>
      </c>
      <c r="AN70" s="212" t="e">
        <f>SUM(AN46:AN69)</f>
        <v>#REF!</v>
      </c>
      <c r="AO70" s="717" t="e">
        <f>SUM(AJ70:AN70)</f>
        <v>#REF!</v>
      </c>
      <c r="AP70" s="183"/>
      <c r="AQ70" s="183"/>
      <c r="AR70" s="183"/>
      <c r="AS70" s="183"/>
      <c r="AT70" s="183"/>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row>
    <row r="98" spans="1:80" s="390" customFormat="1" x14ac:dyDescent="0.3">
      <c r="A98" s="181"/>
      <c r="B98" s="181"/>
      <c r="C98" s="181"/>
      <c r="D98" s="181"/>
      <c r="E98" s="181"/>
      <c r="F98" s="181"/>
      <c r="G98" s="181"/>
      <c r="H98" s="181"/>
      <c r="I98" s="181"/>
      <c r="J98" s="181"/>
      <c r="K98" s="181"/>
      <c r="L98" s="181"/>
      <c r="M98" s="181"/>
      <c r="N98" s="181"/>
      <c r="O98" s="181"/>
      <c r="P98" s="181"/>
      <c r="Q98" s="181"/>
      <c r="R98" s="181"/>
      <c r="S98" s="181"/>
      <c r="T98" s="181"/>
      <c r="U98" s="270"/>
      <c r="V98" s="270"/>
      <c r="W98" s="270"/>
      <c r="X98" s="270"/>
      <c r="Y98" s="718"/>
      <c r="Z98" s="270"/>
      <c r="AA98" s="718"/>
      <c r="AB98" s="270"/>
      <c r="AC98" s="270"/>
      <c r="AD98" s="270"/>
      <c r="AE98" s="270"/>
      <c r="AF98" s="270"/>
      <c r="AG98" s="270"/>
      <c r="AH98" s="183"/>
      <c r="AI98" s="183"/>
      <c r="AJ98" s="183"/>
      <c r="AK98" s="183"/>
      <c r="AL98" s="183"/>
      <c r="AM98" s="183"/>
      <c r="AN98" s="183"/>
      <c r="AO98" s="183"/>
      <c r="AP98" s="183"/>
      <c r="AQ98" s="183"/>
      <c r="AR98" s="183"/>
      <c r="AS98" s="183"/>
      <c r="AT98" s="183"/>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row>
    <row r="99" spans="1:80" s="390" customFormat="1" x14ac:dyDescent="0.3">
      <c r="A99" s="181"/>
      <c r="B99" s="181"/>
      <c r="C99" s="181"/>
      <c r="D99" s="181"/>
      <c r="E99" s="181"/>
      <c r="F99" s="181"/>
      <c r="G99" s="181"/>
      <c r="H99" s="181"/>
      <c r="I99" s="181"/>
      <c r="J99" s="181"/>
      <c r="K99" s="181"/>
      <c r="L99" s="181"/>
      <c r="M99" s="181"/>
      <c r="N99" s="181"/>
      <c r="O99" s="181"/>
      <c r="P99" s="181"/>
      <c r="Q99" s="181"/>
      <c r="R99" s="181"/>
      <c r="S99" s="181"/>
      <c r="T99" s="181"/>
      <c r="U99" s="270"/>
      <c r="V99" s="270"/>
      <c r="W99" s="270"/>
      <c r="X99" s="270"/>
      <c r="Y99" s="718"/>
      <c r="Z99" s="270"/>
      <c r="AA99" s="270"/>
      <c r="AB99" s="270"/>
      <c r="AC99" s="270"/>
      <c r="AD99" s="270"/>
      <c r="AE99" s="270"/>
      <c r="AF99" s="270"/>
      <c r="AG99" s="270"/>
      <c r="AH99" s="183"/>
      <c r="AI99" s="183"/>
      <c r="AJ99" s="183"/>
      <c r="AK99" s="183"/>
      <c r="AL99" s="183"/>
      <c r="AM99" s="183"/>
      <c r="AN99" s="183"/>
      <c r="AO99" s="183"/>
      <c r="AP99" s="183"/>
      <c r="AQ99" s="183"/>
      <c r="AR99" s="183"/>
      <c r="AS99" s="183"/>
      <c r="AT99" s="183"/>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row>
    <row r="100" spans="1:80" s="390" customFormat="1" x14ac:dyDescent="0.3">
      <c r="A100" s="181"/>
      <c r="B100" s="181"/>
      <c r="C100" s="181"/>
      <c r="D100" s="181"/>
      <c r="E100" s="181"/>
      <c r="F100" s="181"/>
      <c r="G100" s="181"/>
      <c r="H100" s="181"/>
      <c r="I100" s="181"/>
      <c r="J100" s="181"/>
      <c r="K100" s="181"/>
      <c r="L100" s="181"/>
      <c r="M100" s="181"/>
      <c r="N100" s="181"/>
      <c r="O100" s="181"/>
      <c r="P100" s="181"/>
      <c r="Q100" s="181"/>
      <c r="R100" s="181"/>
      <c r="S100" s="181"/>
      <c r="T100" s="181"/>
      <c r="U100" s="270"/>
      <c r="V100" s="270"/>
      <c r="W100" s="270"/>
      <c r="X100" s="270"/>
      <c r="Y100" s="718"/>
      <c r="Z100" s="270"/>
      <c r="AA100" s="270"/>
      <c r="AB100" s="270"/>
      <c r="AC100" s="270"/>
      <c r="AD100" s="270"/>
      <c r="AE100" s="270"/>
      <c r="AF100" s="270"/>
      <c r="AG100" s="270"/>
      <c r="AH100" s="183"/>
      <c r="AI100" s="183"/>
      <c r="AJ100" s="183"/>
      <c r="AK100" s="183"/>
      <c r="AL100" s="183"/>
      <c r="AM100" s="183"/>
      <c r="AN100" s="183"/>
      <c r="AO100" s="183"/>
      <c r="AP100" s="183"/>
      <c r="AQ100" s="183"/>
      <c r="AR100" s="183"/>
      <c r="AS100" s="183"/>
      <c r="AT100" s="183"/>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5" t="s">
        <v>412</v>
      </c>
      <c r="AJ2" s="435" t="s">
        <v>1441</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1443</v>
      </c>
      <c r="Y3" s="431">
        <f>'CCCM Dashboard'!$D$15</f>
        <v>7784</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31">
        <f>'CCCM Dashboard'!$D$15</f>
        <v>7784</v>
      </c>
      <c r="AJ3" s="457" t="e">
        <f>COUNTIFS('NFI Distributions'!$B$6:$B$279,"&gt;5/1/2017",'NFI Distributions'!$G$6:$G$360,Table58[[#This Row],[Township]])</f>
        <v>#VALUE!</v>
      </c>
      <c r="AK3" s="434"/>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613</v>
      </c>
      <c r="Y4" s="432">
        <f>'CCCM Dashboard'!$D$16</f>
        <v>3010</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32">
        <f>'CCCM Dashboard'!$D$16</f>
        <v>3010</v>
      </c>
      <c r="AJ4" s="457" t="e">
        <f>COUNTIFS('NFI Distributions'!$B$6:$B$279,"&gt;5/1/2017",'NFI Distributions'!$G$6:$G$360,Table58[[#This Row],[Township]])</f>
        <v>#VALUE!</v>
      </c>
      <c r="AK4" s="434"/>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800</v>
      </c>
      <c r="Y5" s="431">
        <f>'CCCM Dashboard'!$D$17</f>
        <v>3981</v>
      </c>
      <c r="Z5" s="62" t="str">
        <f t="shared" si="1"/>
        <v>5 cps</v>
      </c>
      <c r="AA5" s="188" t="e">
        <f>#REF!</f>
        <v>#REF!</v>
      </c>
      <c r="AB5" s="63">
        <v>0.69172932330827064</v>
      </c>
      <c r="AC5" s="63">
        <v>0</v>
      </c>
      <c r="AD5" s="63">
        <v>1</v>
      </c>
      <c r="AE5" s="64">
        <f t="shared" si="2"/>
        <v>288</v>
      </c>
      <c r="AF5" s="65">
        <f t="shared" si="0"/>
        <v>84</v>
      </c>
      <c r="AG5" s="66">
        <f>'CCCM Dashboard'!E17</f>
        <v>23</v>
      </c>
      <c r="AI5" s="431">
        <f>'CCCM Dashboard'!$D$17</f>
        <v>3981</v>
      </c>
      <c r="AJ5" s="457" t="e">
        <f>COUNTIFS('NFI Distributions'!$B$6:$B$279,"&gt;5/1/2017",'NFI Distributions'!$G$6:$G$360,Table58[[#This Row],[Township]])</f>
        <v>#VALUE!</v>
      </c>
      <c r="AK5" s="434"/>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32</v>
      </c>
      <c r="Y6" s="432">
        <f>'CCCM Dashboard'!$D$33</f>
        <v>170</v>
      </c>
      <c r="Z6" s="62" t="str">
        <f t="shared" si="1"/>
        <v>23 cps</v>
      </c>
      <c r="AA6" s="188" t="e">
        <f>#REF!</f>
        <v>#REF!</v>
      </c>
      <c r="AB6" s="63"/>
      <c r="AC6" s="63"/>
      <c r="AD6" s="63"/>
      <c r="AE6" s="64">
        <f t="shared" si="2"/>
        <v>629</v>
      </c>
      <c r="AF6" s="65">
        <f t="shared" si="0"/>
        <v>308</v>
      </c>
      <c r="AG6" s="66">
        <f>'CCCM Dashboard'!E33</f>
        <v>1</v>
      </c>
      <c r="AI6" s="432">
        <f>'CCCM Dashboard'!$D$33</f>
        <v>170</v>
      </c>
      <c r="AJ6" s="457" t="e">
        <f>COUNTIFS('NFI Distributions'!$B$6:$B$279,"&gt;5/1/2017",'NFI Distributions'!$G$6:$G$360,Table58[[#This Row],[Township]])</f>
        <v>#VALUE!</v>
      </c>
      <c r="AK6" s="434"/>
      <c r="CR6" s="3"/>
      <c r="CS6" s="3"/>
      <c r="CT6" s="3"/>
      <c r="CU6" s="3"/>
      <c r="CV6" s="3"/>
      <c r="CW6" s="3"/>
      <c r="CX6" s="3"/>
      <c r="CY6" s="3"/>
      <c r="CZ6" s="3"/>
      <c r="DA6" s="3"/>
      <c r="DB6" s="3"/>
      <c r="DC6" s="3"/>
      <c r="DD6" s="3"/>
      <c r="DE6" s="3"/>
      <c r="DF6" s="3"/>
    </row>
    <row r="7" spans="15:110" ht="18.75" customHeight="1" x14ac:dyDescent="0.5">
      <c r="O7" s="138"/>
      <c r="P7" s="138"/>
      <c r="T7" s="295" t="s">
        <v>1201</v>
      </c>
      <c r="U7" s="296" t="s">
        <v>1200</v>
      </c>
      <c r="V7" s="297">
        <v>97.298102999999998</v>
      </c>
      <c r="W7" s="298">
        <v>22.618938</v>
      </c>
      <c r="X7" s="61">
        <f>'CCCM Dashboard'!C38</f>
        <v>37</v>
      </c>
      <c r="Y7" s="431">
        <f>'CCCM Dashboard'!$D$38</f>
        <v>120</v>
      </c>
      <c r="Z7" s="62" t="str">
        <f t="shared" si="1"/>
        <v>1 cp</v>
      </c>
      <c r="AA7" s="188" t="e">
        <f>#REF!</f>
        <v>#REF!</v>
      </c>
      <c r="AB7" s="299"/>
      <c r="AC7" s="299"/>
      <c r="AD7" s="299"/>
      <c r="AE7" s="300">
        <f>$S$3-ROUND((W7-$S$1)*$S$5,0)</f>
        <v>715</v>
      </c>
      <c r="AF7" s="301">
        <f t="shared" si="0"/>
        <v>204</v>
      </c>
      <c r="AG7" s="66">
        <f>'CCCM Dashboard'!E38</f>
        <v>1</v>
      </c>
      <c r="AI7" s="431">
        <f>'CCCM Dashboard'!$D$38</f>
        <v>120</v>
      </c>
      <c r="AJ7" s="457" t="e">
        <f>COUNTIFS('NFI Distributions'!$B$6:$B$279,"&gt;5/1/2017",'NFI Distributions'!$G$6:$G$360,Table58[[#This Row],[Township]])</f>
        <v>#VALUE!</v>
      </c>
      <c r="AK7" s="434"/>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32">
        <f>'CCCM Dashboard'!$D$18</f>
        <v>0</v>
      </c>
      <c r="Z8" s="62" t="str">
        <f t="shared" si="1"/>
        <v>1 cp</v>
      </c>
      <c r="AA8" s="188" t="e">
        <f>#REF!</f>
        <v>#REF!</v>
      </c>
      <c r="AB8" s="63">
        <v>0</v>
      </c>
      <c r="AC8" s="63">
        <v>0</v>
      </c>
      <c r="AD8" s="63">
        <v>0</v>
      </c>
      <c r="AE8" s="64">
        <f>$S$3-ROUND((W8-$S$1)*$S$5,0)</f>
        <v>245</v>
      </c>
      <c r="AF8" s="65">
        <f t="shared" si="0"/>
        <v>281</v>
      </c>
      <c r="AG8" s="66">
        <f>'CCCM Dashboard'!E18</f>
        <v>0</v>
      </c>
      <c r="AI8" s="432">
        <f>'CCCM Dashboard'!$D$18</f>
        <v>0</v>
      </c>
      <c r="AJ8" s="457" t="e">
        <f>COUNTIFS('NFI Distributions'!$B$6:$B$279,"&gt;5/1/2017",'NFI Distributions'!$G$6:$G$360,Table58[[#This Row],[Township]])</f>
        <v>#VALUE!</v>
      </c>
      <c r="AK8" s="434"/>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31">
        <f>'CCCM Dashboard'!$D$19</f>
        <v>0</v>
      </c>
      <c r="Z9" s="62" t="str">
        <f t="shared" si="1"/>
        <v>0 cp</v>
      </c>
      <c r="AA9" s="188" t="e">
        <f>#REF!</f>
        <v>#REF!</v>
      </c>
      <c r="AB9" s="63">
        <v>0</v>
      </c>
      <c r="AC9" s="63">
        <v>0</v>
      </c>
      <c r="AD9" s="63">
        <v>0</v>
      </c>
      <c r="AE9" s="64">
        <f t="shared" si="2"/>
        <v>132</v>
      </c>
      <c r="AF9" s="65">
        <f t="shared" si="0"/>
        <v>352</v>
      </c>
      <c r="AG9" s="66">
        <f>'CCCM Dashboard'!E19</f>
        <v>0</v>
      </c>
      <c r="AI9" s="431">
        <f>'CCCM Dashboard'!$D$19</f>
        <v>0</v>
      </c>
      <c r="AJ9" s="457" t="e">
        <f>COUNTIFS('NFI Distributions'!$B$6:$B$279,"&gt;5/1/2017",'NFI Distributions'!$G$6:$G$360,Table58[[#This Row],[Township]])</f>
        <v>#VALUE!</v>
      </c>
      <c r="AK9" s="434"/>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833</v>
      </c>
      <c r="Y10" s="432">
        <f>'CCCM Dashboard'!$D$34</f>
        <v>4085</v>
      </c>
      <c r="Z10" s="62" t="str">
        <f t="shared" si="1"/>
        <v>0 cp</v>
      </c>
      <c r="AA10" s="188" t="e">
        <f>#REF!</f>
        <v>#REF!</v>
      </c>
      <c r="AB10" s="63">
        <v>0</v>
      </c>
      <c r="AC10" s="63">
        <v>0</v>
      </c>
      <c r="AD10" s="63">
        <v>1</v>
      </c>
      <c r="AE10" s="64">
        <f>$S$3-ROUND((W10-$S$1)*$S$5,0)</f>
        <v>593</v>
      </c>
      <c r="AF10" s="65">
        <f t="shared" si="0"/>
        <v>308</v>
      </c>
      <c r="AG10" s="66">
        <f>'CCCM Dashboard'!E34</f>
        <v>14</v>
      </c>
      <c r="AI10" s="432">
        <f>'CCCM Dashboard'!$D$34</f>
        <v>4085</v>
      </c>
      <c r="AJ10" s="457" t="e">
        <f>COUNTIFS('NFI Distributions'!$B$6:$B$279,"&gt;5/1/2017",'NFI Distributions'!$G$6:$G$360,Table58[[#This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31">
        <f>'CCCM Dashboard'!$D$20</f>
        <v>0</v>
      </c>
      <c r="Z11" s="62" t="str">
        <f t="shared" si="1"/>
        <v>14 cps</v>
      </c>
      <c r="AA11" s="188" t="e">
        <f>#REF!</f>
        <v>#REF!</v>
      </c>
      <c r="AB11" s="63"/>
      <c r="AC11" s="63"/>
      <c r="AD11" s="63"/>
      <c r="AE11" s="64">
        <f>$S$3-ROUND((W11-$S$1)*$S$5,0)</f>
        <v>119</v>
      </c>
      <c r="AF11" s="65">
        <f t="shared" si="0"/>
        <v>279</v>
      </c>
      <c r="AG11" s="66">
        <f>'CCCM Dashboard'!E20</f>
        <v>0</v>
      </c>
      <c r="AI11" s="431">
        <f>'CCCM Dashboard'!$D$20</f>
        <v>0</v>
      </c>
      <c r="AJ11" s="457" t="e">
        <f>COUNTIFS('NFI Distributions'!$B$6:$B$279,"&gt;5/1/2017",'NFI Distributions'!$G$6:$G$360,Table58[[#This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2818</v>
      </c>
      <c r="Y12" s="432">
        <f>'CCCM Dashboard'!$D$21</f>
        <v>13197</v>
      </c>
      <c r="Z12" s="62" t="str">
        <f t="shared" si="1"/>
        <v>0 cp</v>
      </c>
      <c r="AA12" s="188" t="e">
        <f>#REF!</f>
        <v>#REF!</v>
      </c>
      <c r="AB12" s="63">
        <v>0</v>
      </c>
      <c r="AC12" s="63">
        <v>0</v>
      </c>
      <c r="AD12" s="63">
        <v>0</v>
      </c>
      <c r="AE12" s="64">
        <f t="shared" si="2"/>
        <v>535</v>
      </c>
      <c r="AF12" s="65">
        <f t="shared" si="0"/>
        <v>213</v>
      </c>
      <c r="AG12" s="66">
        <f>'CCCM Dashboard'!E21</f>
        <v>11</v>
      </c>
      <c r="AI12" s="432">
        <f>'CCCM Dashboard'!$D$21</f>
        <v>13197</v>
      </c>
      <c r="AJ12" s="457" t="e">
        <f>COUNTIFS('NFI Distributions'!$B$6:$B$279,"&gt;5/1/2017",'NFI Distributions'!$G$6:$G$360,Table58[[#This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62</v>
      </c>
      <c r="Y13" s="431">
        <f>'CCCM Dashboard'!$D$35</f>
        <v>350</v>
      </c>
      <c r="Z13" s="62" t="str">
        <f t="shared" si="1"/>
        <v>11 cps</v>
      </c>
      <c r="AA13" s="188" t="e">
        <f>#REF!</f>
        <v>#REF!</v>
      </c>
      <c r="AB13" s="63">
        <v>0</v>
      </c>
      <c r="AC13" s="63">
        <v>0</v>
      </c>
      <c r="AD13" s="63">
        <v>0</v>
      </c>
      <c r="AE13" s="64">
        <f>$S$3-ROUND((W13-$S$1)*$S$5,0)</f>
        <v>620</v>
      </c>
      <c r="AF13" s="65">
        <f t="shared" si="0"/>
        <v>200</v>
      </c>
      <c r="AG13" s="66">
        <f>'CCCM Dashboard'!E35</f>
        <v>2</v>
      </c>
      <c r="AI13" s="431">
        <f>'CCCM Dashboard'!$D$35</f>
        <v>350</v>
      </c>
      <c r="AJ13" s="457" t="e">
        <f>COUNTIFS('NFI Distributions'!$B$6:$B$279,"&gt;5/1/2017",'NFI Distributions'!$G$6:$G$360,Table58[[#This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307</v>
      </c>
      <c r="Y14" s="432">
        <f>'CCCM Dashboard'!$D$22</f>
        <v>1473</v>
      </c>
      <c r="Z14" s="62" t="str">
        <f t="shared" si="1"/>
        <v>2 cps</v>
      </c>
      <c r="AA14" s="188" t="e">
        <f>#REF!</f>
        <v>#REF!</v>
      </c>
      <c r="AB14" s="63">
        <v>0</v>
      </c>
      <c r="AC14" s="63">
        <v>0</v>
      </c>
      <c r="AD14" s="63">
        <v>0</v>
      </c>
      <c r="AE14" s="64">
        <f t="shared" si="2"/>
        <v>353</v>
      </c>
      <c r="AF14" s="65">
        <f t="shared" si="0"/>
        <v>152</v>
      </c>
      <c r="AG14" s="66">
        <f>'CCCM Dashboard'!E22</f>
        <v>8</v>
      </c>
      <c r="AI14" s="432">
        <f>'CCCM Dashboard'!$D$22</f>
        <v>1473</v>
      </c>
      <c r="AJ14" s="457" t="e">
        <f>COUNTIFS('NFI Distributions'!$B$6:$B$279,"&gt;5/1/2017",'NFI Distributions'!$G$6:$G$360,Table58[[#This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78</v>
      </c>
      <c r="Y15" s="431">
        <f>'CCCM Dashboard'!$D$23</f>
        <v>356</v>
      </c>
      <c r="Z15" s="62" t="str">
        <f t="shared" si="1"/>
        <v>8 cps</v>
      </c>
      <c r="AA15" s="188" t="e">
        <f>#REF!</f>
        <v>#REF!</v>
      </c>
      <c r="AB15" s="63">
        <v>1</v>
      </c>
      <c r="AC15" s="63">
        <v>0</v>
      </c>
      <c r="AD15" s="63">
        <v>0</v>
      </c>
      <c r="AE15" s="64">
        <f t="shared" si="2"/>
        <v>411</v>
      </c>
      <c r="AF15" s="65">
        <f t="shared" si="0"/>
        <v>84</v>
      </c>
      <c r="AG15" s="66">
        <f>'CCCM Dashboard'!E23</f>
        <v>4</v>
      </c>
      <c r="AI15" s="431">
        <f>'CCCM Dashboard'!$D$23</f>
        <v>356</v>
      </c>
      <c r="AJ15" s="457" t="e">
        <f>COUNTIFS('NFI Distributions'!$B$6:$B$279,"&gt;5/1/2017",'NFI Distributions'!$G$6:$G$360,Table58[[#This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4752</v>
      </c>
      <c r="Y16" s="432">
        <f>'CCCM Dashboard'!$D$24</f>
        <v>27034</v>
      </c>
      <c r="Z16" s="62" t="str">
        <f t="shared" si="1"/>
        <v>4 cps</v>
      </c>
      <c r="AA16" s="188" t="e">
        <f>#REF!</f>
        <v>#REF!</v>
      </c>
      <c r="AB16" s="63">
        <v>0.12549019607843137</v>
      </c>
      <c r="AC16" s="63">
        <v>0</v>
      </c>
      <c r="AD16" s="63">
        <v>0.58263305322128844</v>
      </c>
      <c r="AE16" s="64">
        <f t="shared" si="2"/>
        <v>457</v>
      </c>
      <c r="AF16" s="65">
        <f t="shared" si="0"/>
        <v>223</v>
      </c>
      <c r="AG16" s="66">
        <f>'CCCM Dashboard'!E24</f>
        <v>15</v>
      </c>
      <c r="AI16" s="432">
        <f>'CCCM Dashboard'!$D$24</f>
        <v>27034</v>
      </c>
      <c r="AJ16" s="457" t="e">
        <f>COUNTIFS('NFI Distributions'!$B$6:$B$279,"&gt;5/1/2017",'NFI Distributions'!$G$6:$G$360,Table58[[#This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212</v>
      </c>
      <c r="Y17" s="431">
        <f>'CCCM Dashboard'!$D$36</f>
        <v>1058</v>
      </c>
      <c r="Z17" s="62" t="str">
        <f t="shared" si="1"/>
        <v>15 cps</v>
      </c>
      <c r="AA17" s="188" t="e">
        <f>#REF!</f>
        <v>#REF!</v>
      </c>
      <c r="AB17" s="63">
        <v>0</v>
      </c>
      <c r="AC17" s="63">
        <v>0</v>
      </c>
      <c r="AD17" s="63">
        <v>0</v>
      </c>
      <c r="AE17" s="64">
        <f t="shared" si="2"/>
        <v>539</v>
      </c>
      <c r="AF17" s="65">
        <f t="shared" si="0"/>
        <v>311</v>
      </c>
      <c r="AG17" s="66">
        <f>'CCCM Dashboard'!E36</f>
        <v>3</v>
      </c>
      <c r="AI17" s="431">
        <f>'CCCM Dashboard'!$D$36</f>
        <v>1058</v>
      </c>
      <c r="AJ17" s="457" t="e">
        <f>COUNTIFS('NFI Distributions'!$B$6:$B$279,"&gt;5/1/2017",'NFI Distributions'!$G$6:$G$360,Table58[[#This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2594</v>
      </c>
      <c r="Y18" s="432">
        <f>'CCCM Dashboard'!$D$25</f>
        <v>13090</v>
      </c>
      <c r="Z18" s="62" t="str">
        <f t="shared" si="1"/>
        <v>3 cps</v>
      </c>
      <c r="AA18" s="188" t="e">
        <f>#REF!</f>
        <v>#REF!</v>
      </c>
      <c r="AB18" s="63">
        <v>0.65062761506276146</v>
      </c>
      <c r="AC18" s="63">
        <v>0</v>
      </c>
      <c r="AD18" s="63">
        <v>0.25732217573221761</v>
      </c>
      <c r="AE18" s="64">
        <f t="shared" si="2"/>
        <v>374</v>
      </c>
      <c r="AF18" s="65">
        <f t="shared" si="0"/>
        <v>204</v>
      </c>
      <c r="AG18" s="66">
        <f>'CCCM Dashboard'!E25</f>
        <v>28</v>
      </c>
      <c r="AI18" s="432">
        <f>'CCCM Dashboard'!$D$25</f>
        <v>13090</v>
      </c>
      <c r="AJ18" s="457" t="e">
        <f>COUNTIFS('NFI Distributions'!$B$6:$B$279,"&gt;5/1/2017",'NFI Distributions'!$G$6:$G$360,Table58[[#This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400</v>
      </c>
      <c r="Y19" s="431">
        <f>'CCCM Dashboard'!$D$37</f>
        <v>2001</v>
      </c>
      <c r="Z19" s="62" t="str">
        <f t="shared" si="1"/>
        <v>28 cps</v>
      </c>
      <c r="AA19" s="188" t="e">
        <f>#REF!</f>
        <v>#REF!</v>
      </c>
      <c r="AB19" s="63">
        <v>0</v>
      </c>
      <c r="AC19" s="63">
        <v>0</v>
      </c>
      <c r="AD19" s="63">
        <v>0</v>
      </c>
      <c r="AE19" s="64">
        <f t="shared" si="2"/>
        <v>574</v>
      </c>
      <c r="AF19" s="65">
        <f t="shared" si="0"/>
        <v>246</v>
      </c>
      <c r="AG19" s="66">
        <f>'CCCM Dashboard'!E37</f>
        <v>6</v>
      </c>
      <c r="AI19" s="431">
        <f>'CCCM Dashboard'!$D$37</f>
        <v>2001</v>
      </c>
      <c r="AJ19" s="457" t="e">
        <f>COUNTIFS('NFI Distributions'!$B$6:$B$279,"&gt;5/1/2017",'NFI Distributions'!$G$6:$G$360,Table58[[#This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153</v>
      </c>
      <c r="Y20" s="432">
        <f>'CCCM Dashboard'!$D$39</f>
        <v>731</v>
      </c>
      <c r="Z20" s="62" t="str">
        <f t="shared" si="1"/>
        <v>6 cps</v>
      </c>
      <c r="AA20" s="188" t="e">
        <f>#REF!</f>
        <v>#REF!</v>
      </c>
      <c r="AB20" s="63">
        <v>0</v>
      </c>
      <c r="AC20" s="63">
        <v>0</v>
      </c>
      <c r="AD20" s="63">
        <v>0</v>
      </c>
      <c r="AE20" s="64">
        <f t="shared" si="2"/>
        <v>663</v>
      </c>
      <c r="AF20" s="65">
        <f t="shared" si="0"/>
        <v>227</v>
      </c>
      <c r="AG20" s="66">
        <f>'CCCM Dashboard'!E39</f>
        <v>4</v>
      </c>
      <c r="AI20" s="432">
        <f>'CCCM Dashboard'!$D$39</f>
        <v>731</v>
      </c>
      <c r="AJ20" s="457" t="e">
        <f>COUNTIFS('NFI Distributions'!$B$6:$B$279,"&gt;5/1/2017",'NFI Distributions'!$G$6:$G$360,Table58[[#This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31">
        <f>'CCCM Dashboard'!$D$26</f>
        <v>412</v>
      </c>
      <c r="Z21" s="62" t="str">
        <f t="shared" si="1"/>
        <v>4 cps</v>
      </c>
      <c r="AA21" s="188" t="e">
        <f>#REF!</f>
        <v>#REF!</v>
      </c>
      <c r="AB21" s="63">
        <v>0</v>
      </c>
      <c r="AC21" s="63">
        <v>0</v>
      </c>
      <c r="AD21" s="63">
        <v>0</v>
      </c>
      <c r="AE21" s="64">
        <f t="shared" si="2"/>
        <v>102</v>
      </c>
      <c r="AF21" s="65">
        <f t="shared" si="0"/>
        <v>222</v>
      </c>
      <c r="AG21" s="66">
        <f>'CCCM Dashboard'!E26</f>
        <v>3</v>
      </c>
      <c r="AI21" s="431">
        <f>'CCCM Dashboard'!$D$26</f>
        <v>412</v>
      </c>
      <c r="AJ21" s="457" t="e">
        <f>COUNTIFS('NFI Distributions'!$B$6:$B$279,"&gt;5/1/2017",'NFI Distributions'!$G$6:$G$360,Table58[[#This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138</v>
      </c>
      <c r="Y22" s="432">
        <f>'CCCM Dashboard'!$D$27</f>
        <v>541</v>
      </c>
      <c r="Z22" s="62" t="str">
        <f t="shared" si="1"/>
        <v>3 cps</v>
      </c>
      <c r="AA22" s="188" t="e">
        <f>#REF!</f>
        <v>#REF!</v>
      </c>
      <c r="AB22" s="63">
        <v>0</v>
      </c>
      <c r="AC22" s="63">
        <v>0</v>
      </c>
      <c r="AD22" s="63">
        <v>0</v>
      </c>
      <c r="AE22" s="64">
        <f t="shared" si="2"/>
        <v>483</v>
      </c>
      <c r="AF22" s="65">
        <f t="shared" si="0"/>
        <v>133</v>
      </c>
      <c r="AG22" s="66">
        <f>'CCCM Dashboard'!E27</f>
        <v>2</v>
      </c>
      <c r="AI22" s="432">
        <f>'CCCM Dashboard'!$D$27</f>
        <v>541</v>
      </c>
      <c r="AJ22" s="457" t="e">
        <f>COUNTIFS('NFI Distributions'!$B$6:$B$279,"&gt;5/1/2017",'NFI Distributions'!$G$6:$G$360,Table58[[#This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191</v>
      </c>
      <c r="Y23" s="431">
        <f>'CCCM Dashboard'!$D$28</f>
        <v>1001</v>
      </c>
      <c r="Z23" s="62" t="str">
        <f t="shared" si="1"/>
        <v>2 cps</v>
      </c>
      <c r="AA23" s="188" t="e">
        <f>#REF!</f>
        <v>#REF!</v>
      </c>
      <c r="AB23" s="63"/>
      <c r="AC23" s="63"/>
      <c r="AD23" s="63"/>
      <c r="AE23" s="64">
        <f t="shared" si="2"/>
        <v>210</v>
      </c>
      <c r="AF23" s="65">
        <f t="shared" si="0"/>
        <v>230</v>
      </c>
      <c r="AG23" s="66">
        <f>'CCCM Dashboard'!E28</f>
        <v>3</v>
      </c>
      <c r="AI23" s="431">
        <f>'CCCM Dashboard'!$D$28</f>
        <v>1001</v>
      </c>
      <c r="AJ23" s="457" t="e">
        <f>COUNTIFS('NFI Distributions'!$B$6:$B$279,"&gt;5/1/2017",'NFI Distributions'!$G$6:$G$360,Table58[[#This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295" t="s">
        <v>1135</v>
      </c>
      <c r="U24" s="296" t="s">
        <v>1136</v>
      </c>
      <c r="V24" s="297">
        <v>96.716553000000005</v>
      </c>
      <c r="W24" s="298">
        <v>26.357970999999999</v>
      </c>
      <c r="X24" s="61">
        <f>'CCCM Dashboard'!C29</f>
        <v>274</v>
      </c>
      <c r="Y24" s="432">
        <f>'CCCM Dashboard'!$D$29</f>
        <v>1095</v>
      </c>
      <c r="Z24" s="62" t="str">
        <f t="shared" si="1"/>
        <v>3 cps</v>
      </c>
      <c r="AA24" s="188" t="e">
        <f>#REF!</f>
        <v>#REF!</v>
      </c>
      <c r="AB24" s="299"/>
      <c r="AC24" s="299"/>
      <c r="AD24" s="299"/>
      <c r="AE24" s="300">
        <f>$S$3-ROUND((W24-$S$1)*$S$5,0)</f>
        <v>228</v>
      </c>
      <c r="AF24" s="301">
        <f t="shared" si="0"/>
        <v>128</v>
      </c>
      <c r="AG24" s="66">
        <f>'CCCM Dashboard'!E29</f>
        <v>3</v>
      </c>
      <c r="AI24" s="432">
        <f>'CCCM Dashboard'!$D$29</f>
        <v>1095</v>
      </c>
      <c r="AJ24" s="457" t="e">
        <f>COUNTIFS('NFI Distributions'!$B$6:$B$279,"&gt;5/1/2017",'NFI Distributions'!$G$6:$G$360,Table58[[#This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4906</v>
      </c>
      <c r="Y25" s="431">
        <f>'CCCM Dashboard'!$D$30</f>
        <v>25414</v>
      </c>
      <c r="Z25" s="62" t="str">
        <f t="shared" si="1"/>
        <v>3 cps</v>
      </c>
      <c r="AA25" s="188" t="e">
        <f>#REF!</f>
        <v>#REF!</v>
      </c>
      <c r="AB25" s="63">
        <v>0.37372161553128791</v>
      </c>
      <c r="AC25" s="63">
        <v>0</v>
      </c>
      <c r="AD25" s="63">
        <v>4.6281851274050934E-2</v>
      </c>
      <c r="AE25" s="64">
        <f t="shared" si="2"/>
        <v>340</v>
      </c>
      <c r="AF25" s="65">
        <f t="shared" si="0"/>
        <v>269</v>
      </c>
      <c r="AG25" s="66">
        <f>'CCCM Dashboard'!E30</f>
        <v>24</v>
      </c>
      <c r="AI25" s="431">
        <f>'CCCM Dashboard'!$D$30</f>
        <v>25414</v>
      </c>
      <c r="AJ25" s="457" t="e">
        <f>COUNTIFS('NFI Distributions'!$B$6:$B$279,"&gt;5/1/2017",'NFI Distributions'!$G$6:$G$360,Table58[[#This Row],[Township]])</f>
        <v>#VALUE!</v>
      </c>
      <c r="CY25" s="18"/>
      <c r="CZ25" s="19"/>
      <c r="DA25" s="19"/>
      <c r="DB25" s="19"/>
      <c r="DC25" s="19"/>
    </row>
    <row r="26" spans="1:110" ht="18.75" customHeight="1" x14ac:dyDescent="0.4">
      <c r="T26" s="61"/>
      <c r="U26" s="61" t="s">
        <v>519</v>
      </c>
      <c r="V26" s="69" t="s">
        <v>521</v>
      </c>
      <c r="W26" s="69" t="s">
        <v>520</v>
      </c>
      <c r="X26" s="436">
        <f>SUBTOTAL(109,Table58[HS])</f>
        <v>20728</v>
      </c>
      <c r="Y26" s="436">
        <f>SUBTOTAL(109,Table58[Pop])</f>
        <v>106903</v>
      </c>
      <c r="Z26" s="62" t="str">
        <f>CONCATENATE(Table58[[#Totals],[Column1]]," camps")</f>
        <v>170 camps</v>
      </c>
      <c r="AA26" s="437" t="e">
        <f>SUMPRODUCT(Table58[Pop]*Table58[Coverage])/Table58[[#Totals],[Pop]]</f>
        <v>#REF!</v>
      </c>
      <c r="AB26" s="438">
        <f>SUMPRODUCT(Table58[Pop]*Table58[Hygiene])/Table58[[#Totals],[Pop]]</f>
        <v>0.25749280202761604</v>
      </c>
      <c r="AC26" s="438">
        <f>SUMPRODUCT(Table58[Pop]*Table58[Core])/Table58[[#Totals],[Pop]]</f>
        <v>0</v>
      </c>
      <c r="AD26" s="438">
        <f>SUMPRODUCT(Table58[Pop]*Table58[Sanitary])/Table58[[#Totals],[Pop]]</f>
        <v>0.29215859436676839</v>
      </c>
      <c r="AE26" s="439">
        <f>1000-ROUND((W26-23.5)*$S$5,0)</f>
        <v>545</v>
      </c>
      <c r="AF26" s="440">
        <f>ROUND((V26-96.5)*$S$5,0)+100</f>
        <v>35</v>
      </c>
      <c r="AG26" s="441">
        <f>SUBTOTAL(109,Table58[Column1])</f>
        <v>170</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41" priority="1" operator="between">
      <formula>0.4</formula>
      <formula>0.6</formula>
    </cfRule>
    <cfRule type="cellIs" dxfId="40" priority="2" operator="greaterThan">
      <formula>0.8</formula>
    </cfRule>
    <cfRule type="cellIs" dxfId="39" priority="3" operator="between">
      <formula>0.6</formula>
      <formula>0.8</formula>
    </cfRule>
    <cfRule type="cellIs" dxfId="38" priority="4" operator="between">
      <formula>0.2</formula>
      <formula>0.4</formula>
    </cfRule>
    <cfRule type="cellIs" dxfId="37"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0"/>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05" t="s">
        <v>775</v>
      </c>
    </row>
    <row r="3" spans="1:7" x14ac:dyDescent="0.3">
      <c r="A3" s="139" t="s">
        <v>507</v>
      </c>
      <c r="B3" s="139" t="s">
        <v>944</v>
      </c>
      <c r="C3" s="139" t="s">
        <v>1</v>
      </c>
      <c r="D3" s="139" t="s">
        <v>457</v>
      </c>
      <c r="E3" s="139" t="s">
        <v>945</v>
      </c>
      <c r="F3" s="305" t="s">
        <v>946</v>
      </c>
      <c r="G3" s="305" t="s">
        <v>788</v>
      </c>
    </row>
    <row r="4" spans="1:7" x14ac:dyDescent="0.3">
      <c r="A4" s="305" t="s">
        <v>128</v>
      </c>
      <c r="B4" s="305" t="s">
        <v>127</v>
      </c>
      <c r="C4" s="305">
        <v>96.359549999999999</v>
      </c>
      <c r="D4" s="305" t="s">
        <v>464</v>
      </c>
      <c r="E4" s="305" t="s">
        <v>787</v>
      </c>
      <c r="F4" s="133">
        <v>0</v>
      </c>
      <c r="G4" s="133">
        <v>0</v>
      </c>
    </row>
    <row r="5" spans="1:7" x14ac:dyDescent="0.3">
      <c r="A5" s="305" t="s">
        <v>62</v>
      </c>
      <c r="B5" s="305" t="s">
        <v>61</v>
      </c>
      <c r="C5" s="305">
        <v>96.355270000000004</v>
      </c>
      <c r="D5" s="305" t="s">
        <v>464</v>
      </c>
      <c r="E5" s="305" t="s">
        <v>424</v>
      </c>
      <c r="F5" s="133"/>
      <c r="G5" s="133"/>
    </row>
    <row r="6" spans="1:7" x14ac:dyDescent="0.3">
      <c r="A6" s="305" t="s">
        <v>39</v>
      </c>
      <c r="B6" s="305" t="s">
        <v>38</v>
      </c>
      <c r="C6" s="305" t="s">
        <v>787</v>
      </c>
      <c r="D6" s="305" t="s">
        <v>464</v>
      </c>
      <c r="E6" s="305" t="s">
        <v>787</v>
      </c>
      <c r="F6" s="133"/>
      <c r="G6" s="133"/>
    </row>
    <row r="7" spans="1:7" x14ac:dyDescent="0.3">
      <c r="A7" s="305" t="s">
        <v>48</v>
      </c>
      <c r="B7" s="305" t="s">
        <v>47</v>
      </c>
      <c r="C7" s="305">
        <v>96.339870000000005</v>
      </c>
      <c r="D7" s="305" t="s">
        <v>464</v>
      </c>
      <c r="E7" s="305" t="s">
        <v>787</v>
      </c>
      <c r="F7" s="133"/>
      <c r="G7" s="133"/>
    </row>
    <row r="8" spans="1:7" x14ac:dyDescent="0.3">
      <c r="A8" s="305" t="s">
        <v>50</v>
      </c>
      <c r="B8" s="305" t="s">
        <v>49</v>
      </c>
      <c r="C8" s="305" t="s">
        <v>787</v>
      </c>
      <c r="D8" s="305" t="s">
        <v>464</v>
      </c>
      <c r="E8" s="305" t="s">
        <v>787</v>
      </c>
      <c r="F8" s="133"/>
      <c r="G8" s="133"/>
    </row>
    <row r="9" spans="1:7" x14ac:dyDescent="0.3">
      <c r="A9" s="305" t="s">
        <v>808</v>
      </c>
      <c r="B9" s="305" t="s">
        <v>806</v>
      </c>
      <c r="C9" s="305" t="s">
        <v>787</v>
      </c>
      <c r="D9" s="305" t="s">
        <v>464</v>
      </c>
      <c r="E9" s="305" t="s">
        <v>787</v>
      </c>
      <c r="F9" s="133">
        <v>0</v>
      </c>
      <c r="G9" s="133">
        <v>0</v>
      </c>
    </row>
    <row r="10" spans="1:7" x14ac:dyDescent="0.3">
      <c r="A10" s="305" t="s">
        <v>803</v>
      </c>
      <c r="B10" s="305" t="s">
        <v>807</v>
      </c>
      <c r="C10" s="305" t="s">
        <v>787</v>
      </c>
      <c r="D10" s="305" t="s">
        <v>464</v>
      </c>
      <c r="E10" s="305" t="s">
        <v>787</v>
      </c>
      <c r="F10" s="133">
        <v>0</v>
      </c>
      <c r="G10" s="133">
        <v>0</v>
      </c>
    </row>
    <row r="11" spans="1:7" x14ac:dyDescent="0.3">
      <c r="A11" s="305" t="s">
        <v>804</v>
      </c>
      <c r="B11" s="305" t="s">
        <v>805</v>
      </c>
      <c r="C11" s="305" t="s">
        <v>787</v>
      </c>
      <c r="D11" s="305" t="s">
        <v>464</v>
      </c>
      <c r="E11" s="305" t="s">
        <v>787</v>
      </c>
      <c r="F11" s="133">
        <v>0</v>
      </c>
      <c r="G11" s="133">
        <v>0</v>
      </c>
    </row>
    <row r="12" spans="1:7" x14ac:dyDescent="0.3">
      <c r="A12" s="305" t="s">
        <v>58</v>
      </c>
      <c r="B12" s="305" t="s">
        <v>57</v>
      </c>
      <c r="C12" s="305">
        <v>96.673805000000002</v>
      </c>
      <c r="D12" s="305" t="s">
        <v>464</v>
      </c>
      <c r="E12" s="305" t="s">
        <v>462</v>
      </c>
      <c r="F12" s="133"/>
      <c r="G12" s="133"/>
    </row>
    <row r="13" spans="1:7" x14ac:dyDescent="0.3">
      <c r="A13" s="305" t="s">
        <v>60</v>
      </c>
      <c r="B13" s="305" t="s">
        <v>59</v>
      </c>
      <c r="C13" s="305">
        <v>96.353070000000002</v>
      </c>
      <c r="D13" s="305" t="s">
        <v>464</v>
      </c>
      <c r="E13" s="305" t="s">
        <v>787</v>
      </c>
      <c r="F13" s="133"/>
      <c r="G13" s="133"/>
    </row>
    <row r="14" spans="1:7" x14ac:dyDescent="0.3">
      <c r="A14" s="305" t="s">
        <v>356</v>
      </c>
      <c r="B14" s="305" t="s">
        <v>355</v>
      </c>
      <c r="C14" s="305">
        <v>97.837778</v>
      </c>
      <c r="D14" s="305" t="s">
        <v>466</v>
      </c>
      <c r="E14" s="305" t="s">
        <v>787</v>
      </c>
      <c r="F14" s="133">
        <v>0</v>
      </c>
      <c r="G14" s="133">
        <v>0</v>
      </c>
    </row>
    <row r="15" spans="1:7" x14ac:dyDescent="0.3">
      <c r="A15" s="305" t="s">
        <v>888</v>
      </c>
      <c r="B15" s="305" t="s">
        <v>889</v>
      </c>
      <c r="C15" s="305">
        <v>97.608249999999998</v>
      </c>
      <c r="D15" s="305" t="s">
        <v>466</v>
      </c>
      <c r="E15" s="305" t="s">
        <v>935</v>
      </c>
      <c r="F15" s="133"/>
      <c r="G15" s="133"/>
    </row>
    <row r="16" spans="1:7" x14ac:dyDescent="0.3">
      <c r="A16" s="305" t="s">
        <v>70</v>
      </c>
      <c r="B16" s="305" t="s">
        <v>69</v>
      </c>
      <c r="C16" s="305" t="s">
        <v>787</v>
      </c>
      <c r="D16" s="305" t="s">
        <v>464</v>
      </c>
      <c r="E16" s="305" t="s">
        <v>787</v>
      </c>
      <c r="F16" s="133"/>
      <c r="G16" s="133"/>
    </row>
    <row r="17" spans="1:7" x14ac:dyDescent="0.3">
      <c r="A17" s="305" t="s">
        <v>10</v>
      </c>
      <c r="B17" s="305" t="s">
        <v>9</v>
      </c>
      <c r="C17" s="305" t="s">
        <v>787</v>
      </c>
      <c r="D17" s="305" t="s">
        <v>464</v>
      </c>
      <c r="E17" s="305" t="s">
        <v>787</v>
      </c>
      <c r="F17" s="133">
        <v>0</v>
      </c>
      <c r="G17" s="133">
        <v>0</v>
      </c>
    </row>
    <row r="18" spans="1:7" x14ac:dyDescent="0.3">
      <c r="A18" s="305" t="s">
        <v>78</v>
      </c>
      <c r="B18" s="305" t="s">
        <v>77</v>
      </c>
      <c r="C18" s="305" t="s">
        <v>787</v>
      </c>
      <c r="D18" s="305" t="s">
        <v>464</v>
      </c>
      <c r="E18" s="305" t="s">
        <v>787</v>
      </c>
      <c r="F18" s="133"/>
      <c r="G18" s="133"/>
    </row>
    <row r="19" spans="1:7" x14ac:dyDescent="0.3">
      <c r="A19" s="305" t="s">
        <v>82</v>
      </c>
      <c r="B19" s="305" t="s">
        <v>81</v>
      </c>
      <c r="C19" s="305" t="s">
        <v>787</v>
      </c>
      <c r="D19" s="305" t="s">
        <v>464</v>
      </c>
      <c r="E19" s="305" t="s">
        <v>787</v>
      </c>
      <c r="F19" s="133"/>
      <c r="G19" s="133"/>
    </row>
    <row r="20" spans="1:7" x14ac:dyDescent="0.3">
      <c r="A20" s="305" t="s">
        <v>837</v>
      </c>
      <c r="B20" s="305" t="s">
        <v>838</v>
      </c>
      <c r="C20" s="305" t="s">
        <v>787</v>
      </c>
      <c r="D20" s="305" t="s">
        <v>466</v>
      </c>
      <c r="E20" s="305" t="s">
        <v>787</v>
      </c>
      <c r="F20" s="133">
        <v>0</v>
      </c>
      <c r="G20" s="133">
        <v>0</v>
      </c>
    </row>
    <row r="21" spans="1:7" x14ac:dyDescent="0.3">
      <c r="A21" s="305" t="s">
        <v>839</v>
      </c>
      <c r="B21" s="305" t="s">
        <v>840</v>
      </c>
      <c r="C21" s="305" t="s">
        <v>787</v>
      </c>
      <c r="D21" s="305" t="s">
        <v>466</v>
      </c>
      <c r="E21" s="305" t="s">
        <v>787</v>
      </c>
      <c r="F21" s="133">
        <v>0</v>
      </c>
      <c r="G21" s="133">
        <v>0</v>
      </c>
    </row>
    <row r="22" spans="1:7" x14ac:dyDescent="0.3">
      <c r="A22" s="305" t="s">
        <v>32</v>
      </c>
      <c r="B22" s="305" t="s">
        <v>31</v>
      </c>
      <c r="C22" s="305" t="s">
        <v>787</v>
      </c>
      <c r="D22" s="305" t="s">
        <v>464</v>
      </c>
      <c r="E22" s="305" t="s">
        <v>936</v>
      </c>
      <c r="F22" s="133"/>
      <c r="G22" s="133"/>
    </row>
    <row r="23" spans="1:7" x14ac:dyDescent="0.3">
      <c r="A23" s="305" t="s">
        <v>56</v>
      </c>
      <c r="B23" s="305" t="s">
        <v>55</v>
      </c>
      <c r="C23" s="305" t="s">
        <v>787</v>
      </c>
      <c r="D23" s="305" t="s">
        <v>464</v>
      </c>
      <c r="E23" s="305" t="s">
        <v>787</v>
      </c>
      <c r="F23" s="133">
        <v>0</v>
      </c>
      <c r="G23" s="133">
        <v>0</v>
      </c>
    </row>
    <row r="24" spans="1:7" x14ac:dyDescent="0.3">
      <c r="A24" s="305" t="s">
        <v>12</v>
      </c>
      <c r="B24" s="305" t="s">
        <v>391</v>
      </c>
      <c r="C24" s="305">
        <v>96.793177</v>
      </c>
      <c r="D24" s="305" t="s">
        <v>464</v>
      </c>
      <c r="E24" s="305" t="s">
        <v>787</v>
      </c>
      <c r="F24" s="133"/>
      <c r="G24" s="133"/>
    </row>
    <row r="25" spans="1:7" x14ac:dyDescent="0.3">
      <c r="A25" s="305" t="s">
        <v>169</v>
      </c>
      <c r="B25" s="305" t="s">
        <v>168</v>
      </c>
      <c r="C25" s="305">
        <v>98.116817999999995</v>
      </c>
      <c r="D25" s="305" t="s">
        <v>464</v>
      </c>
      <c r="E25" s="305" t="s">
        <v>787</v>
      </c>
      <c r="F25" s="133"/>
      <c r="G25" s="133"/>
    </row>
    <row r="26" spans="1:7" x14ac:dyDescent="0.3">
      <c r="A26" s="305" t="s">
        <v>231</v>
      </c>
      <c r="B26" s="305" t="s">
        <v>386</v>
      </c>
      <c r="C26" s="305">
        <v>98.115809999999996</v>
      </c>
      <c r="D26" s="305" t="s">
        <v>464</v>
      </c>
      <c r="E26" s="305" t="s">
        <v>787</v>
      </c>
      <c r="F26" s="133">
        <v>32</v>
      </c>
      <c r="G26" s="133">
        <v>187</v>
      </c>
    </row>
    <row r="27" spans="1:7" x14ac:dyDescent="0.3">
      <c r="A27" s="305" t="s">
        <v>810</v>
      </c>
      <c r="B27" s="305" t="s">
        <v>809</v>
      </c>
      <c r="C27" s="305" t="s">
        <v>787</v>
      </c>
      <c r="D27" s="305" t="s">
        <v>464</v>
      </c>
      <c r="E27" s="305" t="s">
        <v>787</v>
      </c>
      <c r="F27" s="133">
        <v>0</v>
      </c>
      <c r="G27" s="133">
        <v>0</v>
      </c>
    </row>
    <row r="28" spans="1:7" x14ac:dyDescent="0.3">
      <c r="A28" s="305" t="s">
        <v>16</v>
      </c>
      <c r="B28" s="305" t="s">
        <v>15</v>
      </c>
      <c r="C28" s="305">
        <v>97.221556500999995</v>
      </c>
      <c r="D28" s="305" t="s">
        <v>464</v>
      </c>
      <c r="E28" s="305" t="s">
        <v>787</v>
      </c>
      <c r="F28" s="133"/>
      <c r="G28" s="133"/>
    </row>
    <row r="29" spans="1:7" x14ac:dyDescent="0.3">
      <c r="A29" s="305" t="s">
        <v>370</v>
      </c>
      <c r="B29" s="305" t="s">
        <v>380</v>
      </c>
      <c r="C29" s="305">
        <v>97.848529999999997</v>
      </c>
      <c r="D29" s="305" t="s">
        <v>464</v>
      </c>
      <c r="E29" s="305" t="s">
        <v>424</v>
      </c>
      <c r="F29" s="133"/>
      <c r="G29" s="133"/>
    </row>
    <row r="30" spans="1:7" x14ac:dyDescent="0.3">
      <c r="A30" s="305" t="s">
        <v>145</v>
      </c>
      <c r="B30" s="305" t="s">
        <v>143</v>
      </c>
      <c r="C30" s="305">
        <v>98.144502500000002</v>
      </c>
      <c r="D30" s="305" t="s">
        <v>464</v>
      </c>
      <c r="E30" s="305" t="s">
        <v>787</v>
      </c>
      <c r="F30" s="133"/>
      <c r="G30" s="133"/>
    </row>
    <row r="31" spans="1:7" x14ac:dyDescent="0.3">
      <c r="A31" s="305" t="s">
        <v>469</v>
      </c>
      <c r="B31" s="305" t="s">
        <v>470</v>
      </c>
      <c r="C31" s="305">
        <v>97.601243999999994</v>
      </c>
      <c r="D31" s="305" t="s">
        <v>466</v>
      </c>
      <c r="E31" s="305" t="s">
        <v>935</v>
      </c>
      <c r="F31" s="133">
        <v>0</v>
      </c>
      <c r="G31" s="133">
        <v>0</v>
      </c>
    </row>
    <row r="32" spans="1:7" x14ac:dyDescent="0.3">
      <c r="A32" s="305" t="s">
        <v>34</v>
      </c>
      <c r="B32" s="305" t="s">
        <v>33</v>
      </c>
      <c r="C32" s="305">
        <v>98.354146999999998</v>
      </c>
      <c r="D32" s="305" t="s">
        <v>464</v>
      </c>
      <c r="E32" s="305" t="s">
        <v>787</v>
      </c>
      <c r="F32" s="133"/>
      <c r="G32" s="133"/>
    </row>
    <row r="33" spans="1:7" x14ac:dyDescent="0.3">
      <c r="A33" s="305" t="s">
        <v>35</v>
      </c>
      <c r="B33" s="305" t="s">
        <v>360</v>
      </c>
      <c r="C33" s="305" t="s">
        <v>787</v>
      </c>
      <c r="D33" s="305" t="s">
        <v>464</v>
      </c>
      <c r="E33" s="305" t="s">
        <v>787</v>
      </c>
      <c r="F33" s="133">
        <v>0</v>
      </c>
      <c r="G33" s="133">
        <v>0</v>
      </c>
    </row>
    <row r="34" spans="1:7" x14ac:dyDescent="0.3">
      <c r="A34" s="305" t="s">
        <v>158</v>
      </c>
      <c r="B34" s="305" t="s">
        <v>157</v>
      </c>
      <c r="C34" s="305">
        <v>97.585667000000001</v>
      </c>
      <c r="D34" s="305" t="s">
        <v>466</v>
      </c>
      <c r="E34" s="305" t="s">
        <v>935</v>
      </c>
      <c r="F34" s="133">
        <v>0</v>
      </c>
      <c r="G34" s="133">
        <v>0</v>
      </c>
    </row>
    <row r="35" spans="1:7" x14ac:dyDescent="0.3">
      <c r="A35" s="305" t="s">
        <v>94</v>
      </c>
      <c r="B35" s="305" t="s">
        <v>93</v>
      </c>
      <c r="C35" s="305" t="s">
        <v>787</v>
      </c>
      <c r="D35" s="305" t="s">
        <v>464</v>
      </c>
      <c r="E35" s="305" t="s">
        <v>787</v>
      </c>
      <c r="F35" s="133">
        <v>0</v>
      </c>
      <c r="G35" s="133">
        <v>0</v>
      </c>
    </row>
    <row r="36" spans="1:7" x14ac:dyDescent="0.3">
      <c r="A36" s="305" t="s">
        <v>819</v>
      </c>
      <c r="B36" s="305" t="s">
        <v>820</v>
      </c>
      <c r="C36" s="305">
        <v>97.586470000000006</v>
      </c>
      <c r="D36" s="305" t="s">
        <v>464</v>
      </c>
      <c r="E36" s="305" t="s">
        <v>787</v>
      </c>
      <c r="F36" s="133"/>
      <c r="G36" s="133"/>
    </row>
    <row r="37" spans="1:7" x14ac:dyDescent="0.3">
      <c r="A37" s="305" t="s">
        <v>200</v>
      </c>
      <c r="B37" s="305" t="s">
        <v>199</v>
      </c>
      <c r="C37" s="305">
        <v>97.409474000000003</v>
      </c>
      <c r="D37" s="305" t="s">
        <v>464</v>
      </c>
      <c r="E37" s="305" t="s">
        <v>787</v>
      </c>
      <c r="F37" s="133"/>
      <c r="G37" s="133"/>
    </row>
    <row r="38" spans="1:7" x14ac:dyDescent="0.3">
      <c r="A38" s="305" t="s">
        <v>802</v>
      </c>
      <c r="B38" s="305" t="s">
        <v>796</v>
      </c>
      <c r="C38" s="305">
        <v>97.710989999999995</v>
      </c>
      <c r="D38" s="305" t="s">
        <v>464</v>
      </c>
      <c r="E38" s="305" t="s">
        <v>787</v>
      </c>
      <c r="F38" s="133">
        <v>0</v>
      </c>
      <c r="G38" s="133">
        <v>0</v>
      </c>
    </row>
    <row r="39" spans="1:7" x14ac:dyDescent="0.3">
      <c r="A39" s="305" t="s">
        <v>801</v>
      </c>
      <c r="B39" s="305" t="s">
        <v>800</v>
      </c>
      <c r="C39" s="305">
        <v>97.710989999999995</v>
      </c>
      <c r="D39" s="305" t="s">
        <v>464</v>
      </c>
      <c r="E39" s="305" t="s">
        <v>787</v>
      </c>
      <c r="F39" s="133">
        <v>0</v>
      </c>
      <c r="G39" s="133">
        <v>0</v>
      </c>
    </row>
    <row r="40" spans="1:7" x14ac:dyDescent="0.3">
      <c r="A40" s="305" t="s">
        <v>204</v>
      </c>
      <c r="B40" s="305" t="s">
        <v>203</v>
      </c>
      <c r="C40" s="305">
        <v>97.321659999999994</v>
      </c>
      <c r="D40" s="305" t="s">
        <v>464</v>
      </c>
      <c r="E40" s="305" t="s">
        <v>787</v>
      </c>
      <c r="F40" s="133"/>
      <c r="G40" s="133"/>
    </row>
    <row r="41" spans="1:7" x14ac:dyDescent="0.3">
      <c r="A41" s="305" t="s">
        <v>205</v>
      </c>
      <c r="B41" s="305" t="s">
        <v>390</v>
      </c>
      <c r="C41" s="305">
        <v>97.276591999999994</v>
      </c>
      <c r="D41" s="305" t="s">
        <v>464</v>
      </c>
      <c r="E41" s="305" t="s">
        <v>787</v>
      </c>
      <c r="F41" s="133"/>
      <c r="G41" s="133"/>
    </row>
    <row r="42" spans="1:7" x14ac:dyDescent="0.3">
      <c r="A42" s="305" t="s">
        <v>331</v>
      </c>
      <c r="B42" s="305" t="s">
        <v>330</v>
      </c>
      <c r="C42" s="305">
        <v>97.550267000000005</v>
      </c>
      <c r="D42" s="305" t="s">
        <v>464</v>
      </c>
      <c r="E42" s="305" t="s">
        <v>787</v>
      </c>
      <c r="F42" s="133">
        <v>0</v>
      </c>
      <c r="G42" s="133">
        <v>0</v>
      </c>
    </row>
    <row r="43" spans="1:7" x14ac:dyDescent="0.3">
      <c r="A43" s="305" t="s">
        <v>207</v>
      </c>
      <c r="B43" s="305" t="s">
        <v>206</v>
      </c>
      <c r="C43" s="305">
        <v>97.346940000000004</v>
      </c>
      <c r="D43" s="305" t="s">
        <v>464</v>
      </c>
      <c r="E43" s="305" t="s">
        <v>787</v>
      </c>
      <c r="F43" s="133"/>
      <c r="G43" s="133"/>
    </row>
    <row r="44" spans="1:7" x14ac:dyDescent="0.3">
      <c r="A44" s="305" t="s">
        <v>54</v>
      </c>
      <c r="B44" s="305" t="s">
        <v>53</v>
      </c>
      <c r="C44" s="305">
        <v>96.310928000000004</v>
      </c>
      <c r="D44" s="305" t="s">
        <v>464</v>
      </c>
      <c r="E44" s="305" t="s">
        <v>787</v>
      </c>
      <c r="F44" s="133">
        <v>0</v>
      </c>
      <c r="G44" s="133">
        <v>0</v>
      </c>
    </row>
    <row r="45" spans="1:7" x14ac:dyDescent="0.3">
      <c r="A45" s="305" t="s">
        <v>66</v>
      </c>
      <c r="B45" s="305" t="s">
        <v>65</v>
      </c>
      <c r="C45" s="305" t="s">
        <v>787</v>
      </c>
      <c r="D45" s="305" t="s">
        <v>464</v>
      </c>
      <c r="E45" s="305" t="s">
        <v>787</v>
      </c>
      <c r="F45" s="133">
        <v>0</v>
      </c>
      <c r="G45" s="133">
        <v>0</v>
      </c>
    </row>
    <row r="46" spans="1:7" x14ac:dyDescent="0.3">
      <c r="A46" s="305" t="s">
        <v>80</v>
      </c>
      <c r="B46" s="305" t="s">
        <v>79</v>
      </c>
      <c r="C46" s="305" t="s">
        <v>787</v>
      </c>
      <c r="D46" s="305" t="s">
        <v>464</v>
      </c>
      <c r="E46" s="305" t="s">
        <v>787</v>
      </c>
      <c r="F46" s="133">
        <v>0</v>
      </c>
      <c r="G46" s="133">
        <v>0</v>
      </c>
    </row>
    <row r="47" spans="1:7" x14ac:dyDescent="0.3">
      <c r="A47" s="305" t="s">
        <v>102</v>
      </c>
      <c r="B47" s="305" t="s">
        <v>101</v>
      </c>
      <c r="C47" s="305" t="s">
        <v>787</v>
      </c>
      <c r="D47" s="305" t="s">
        <v>464</v>
      </c>
      <c r="E47" s="305" t="s">
        <v>787</v>
      </c>
      <c r="F47" s="133">
        <v>0</v>
      </c>
      <c r="G47" s="133">
        <v>0</v>
      </c>
    </row>
    <row r="48" spans="1:7" x14ac:dyDescent="0.3">
      <c r="A48" s="305" t="s">
        <v>106</v>
      </c>
      <c r="B48" s="305" t="s">
        <v>105</v>
      </c>
      <c r="C48" s="305" t="s">
        <v>787</v>
      </c>
      <c r="D48" s="305" t="s">
        <v>464</v>
      </c>
      <c r="E48" s="305" t="s">
        <v>787</v>
      </c>
      <c r="F48" s="133">
        <v>0</v>
      </c>
      <c r="G48" s="133">
        <v>0</v>
      </c>
    </row>
    <row r="49" spans="1:7" x14ac:dyDescent="0.3">
      <c r="A49" s="305" t="s">
        <v>116</v>
      </c>
      <c r="B49" s="305" t="s">
        <v>115</v>
      </c>
      <c r="C49" s="305" t="s">
        <v>787</v>
      </c>
      <c r="D49" s="305" t="s">
        <v>464</v>
      </c>
      <c r="E49" s="305" t="s">
        <v>787</v>
      </c>
      <c r="F49" s="133">
        <v>0</v>
      </c>
      <c r="G49" s="133">
        <v>0</v>
      </c>
    </row>
    <row r="50" spans="1:7" x14ac:dyDescent="0.3">
      <c r="A50" s="305" t="s">
        <v>130</v>
      </c>
      <c r="B50" s="305" t="s">
        <v>129</v>
      </c>
      <c r="C50" s="305" t="s">
        <v>787</v>
      </c>
      <c r="D50" s="305" t="s">
        <v>464</v>
      </c>
      <c r="E50" s="305" t="s">
        <v>787</v>
      </c>
      <c r="F50" s="133">
        <v>0</v>
      </c>
      <c r="G50" s="133">
        <v>0</v>
      </c>
    </row>
    <row r="51" spans="1:7" x14ac:dyDescent="0.3">
      <c r="A51" s="305" t="s">
        <v>138</v>
      </c>
      <c r="B51" s="305" t="s">
        <v>137</v>
      </c>
      <c r="C51" s="305" t="s">
        <v>787</v>
      </c>
      <c r="D51" s="305" t="s">
        <v>464</v>
      </c>
      <c r="E51" s="305" t="s">
        <v>787</v>
      </c>
      <c r="F51" s="133">
        <v>0</v>
      </c>
      <c r="G51" s="133">
        <v>0</v>
      </c>
    </row>
    <row r="52" spans="1:7" x14ac:dyDescent="0.3">
      <c r="A52" s="305" t="s">
        <v>136</v>
      </c>
      <c r="B52" s="305" t="s">
        <v>135</v>
      </c>
      <c r="C52" s="305">
        <v>96.343350000000001</v>
      </c>
      <c r="D52" s="305" t="s">
        <v>464</v>
      </c>
      <c r="E52" s="305" t="s">
        <v>787</v>
      </c>
      <c r="F52" s="133">
        <v>0</v>
      </c>
      <c r="G52" s="133">
        <v>0</v>
      </c>
    </row>
    <row r="53" spans="1:7" x14ac:dyDescent="0.3">
      <c r="A53" s="305" t="s">
        <v>68</v>
      </c>
      <c r="B53" s="305" t="s">
        <v>67</v>
      </c>
      <c r="C53" s="305" t="s">
        <v>787</v>
      </c>
      <c r="D53" s="305" t="s">
        <v>464</v>
      </c>
      <c r="E53" s="305" t="s">
        <v>787</v>
      </c>
      <c r="F53" s="133">
        <v>0</v>
      </c>
      <c r="G53" s="133">
        <v>0</v>
      </c>
    </row>
    <row r="54" spans="1:7" x14ac:dyDescent="0.3">
      <c r="A54" s="305" t="s">
        <v>84</v>
      </c>
      <c r="B54" s="305" t="s">
        <v>83</v>
      </c>
      <c r="C54" s="305">
        <v>96.316210999999996</v>
      </c>
      <c r="D54" s="305" t="s">
        <v>464</v>
      </c>
      <c r="E54" s="305" t="s">
        <v>787</v>
      </c>
      <c r="F54" s="133">
        <v>0</v>
      </c>
      <c r="G54" s="133">
        <v>0</v>
      </c>
    </row>
    <row r="55" spans="1:7" x14ac:dyDescent="0.3">
      <c r="A55" s="305" t="s">
        <v>86</v>
      </c>
      <c r="B55" s="305" t="s">
        <v>85</v>
      </c>
      <c r="C55" s="305" t="s">
        <v>787</v>
      </c>
      <c r="D55" s="305" t="s">
        <v>464</v>
      </c>
      <c r="E55" s="305" t="s">
        <v>787</v>
      </c>
      <c r="F55" s="133">
        <v>0</v>
      </c>
      <c r="G55" s="133">
        <v>0</v>
      </c>
    </row>
    <row r="56" spans="1:7" x14ac:dyDescent="0.3">
      <c r="A56" s="305" t="s">
        <v>104</v>
      </c>
      <c r="B56" s="305" t="s">
        <v>103</v>
      </c>
      <c r="C56" s="305" t="s">
        <v>787</v>
      </c>
      <c r="D56" s="305" t="s">
        <v>464</v>
      </c>
      <c r="E56" s="305" t="s">
        <v>787</v>
      </c>
      <c r="F56" s="133">
        <v>0</v>
      </c>
      <c r="G56" s="133">
        <v>0</v>
      </c>
    </row>
    <row r="57" spans="1:7" x14ac:dyDescent="0.3">
      <c r="A57" s="305" t="s">
        <v>98</v>
      </c>
      <c r="B57" s="305" t="s">
        <v>97</v>
      </c>
      <c r="C57" s="305">
        <v>96.359309999999994</v>
      </c>
      <c r="D57" s="305" t="s">
        <v>464</v>
      </c>
      <c r="E57" s="305" t="s">
        <v>787</v>
      </c>
      <c r="F57" s="133">
        <v>0</v>
      </c>
      <c r="G57" s="133">
        <v>0</v>
      </c>
    </row>
    <row r="58" spans="1:7" x14ac:dyDescent="0.3">
      <c r="A58" s="305" t="s">
        <v>211</v>
      </c>
      <c r="B58" s="305" t="s">
        <v>210</v>
      </c>
      <c r="C58" s="305">
        <v>97.346950000000007</v>
      </c>
      <c r="D58" s="305" t="s">
        <v>464</v>
      </c>
      <c r="E58" s="305" t="s">
        <v>935</v>
      </c>
      <c r="F58" s="133"/>
      <c r="G58" s="133"/>
    </row>
    <row r="59" spans="1:7" x14ac:dyDescent="0.3">
      <c r="A59" s="305" t="s">
        <v>233</v>
      </c>
      <c r="B59" s="305" t="s">
        <v>232</v>
      </c>
      <c r="C59" s="305">
        <v>98.320651999999995</v>
      </c>
      <c r="D59" s="305" t="s">
        <v>466</v>
      </c>
      <c r="E59" s="305" t="s">
        <v>424</v>
      </c>
      <c r="F59" s="133"/>
      <c r="G59" s="133"/>
    </row>
    <row r="60" spans="1:7" x14ac:dyDescent="0.3">
      <c r="A60" s="305" t="s">
        <v>235</v>
      </c>
      <c r="B60" s="305" t="s">
        <v>234</v>
      </c>
      <c r="C60" s="305">
        <v>98.054946000000001</v>
      </c>
      <c r="D60" s="305" t="s">
        <v>466</v>
      </c>
      <c r="E60" s="305" t="s">
        <v>787</v>
      </c>
      <c r="F60" s="133"/>
      <c r="G60" s="133"/>
    </row>
    <row r="61" spans="1:7" x14ac:dyDescent="0.3">
      <c r="A61" s="305" t="s">
        <v>295</v>
      </c>
      <c r="B61" s="305" t="s">
        <v>1132</v>
      </c>
      <c r="C61" s="305">
        <v>97.174999999999997</v>
      </c>
      <c r="D61" s="305" t="s">
        <v>466</v>
      </c>
      <c r="E61" s="305" t="s">
        <v>787</v>
      </c>
      <c r="F61" s="133"/>
      <c r="G61" s="133"/>
    </row>
    <row r="62" spans="1:7" x14ac:dyDescent="0.3">
      <c r="A62" s="305" t="s">
        <v>471</v>
      </c>
      <c r="B62" s="305" t="s">
        <v>472</v>
      </c>
      <c r="C62" s="305">
        <v>96.808850000000007</v>
      </c>
      <c r="D62" s="305" t="s">
        <v>466</v>
      </c>
      <c r="E62" s="305" t="s">
        <v>787</v>
      </c>
      <c r="F62" s="133">
        <v>0</v>
      </c>
      <c r="G62" s="133">
        <v>0</v>
      </c>
    </row>
    <row r="63" spans="1:7" x14ac:dyDescent="0.3">
      <c r="A63" s="305" t="s">
        <v>365</v>
      </c>
      <c r="B63" s="305" t="s">
        <v>384</v>
      </c>
      <c r="C63" s="305">
        <v>98.213958000000005</v>
      </c>
      <c r="D63" s="305" t="s">
        <v>464</v>
      </c>
      <c r="E63" s="305" t="s">
        <v>787</v>
      </c>
      <c r="F63" s="133">
        <v>0</v>
      </c>
      <c r="G63" s="133">
        <v>0</v>
      </c>
    </row>
    <row r="64" spans="1:7" x14ac:dyDescent="0.3">
      <c r="A64" s="305" t="s">
        <v>142</v>
      </c>
      <c r="B64" s="305" t="s">
        <v>141</v>
      </c>
      <c r="C64" s="305">
        <v>96.354159999999993</v>
      </c>
      <c r="D64" s="305" t="s">
        <v>464</v>
      </c>
      <c r="E64" s="305" t="s">
        <v>787</v>
      </c>
      <c r="F64" s="133">
        <v>0</v>
      </c>
      <c r="G64" s="133">
        <v>0</v>
      </c>
    </row>
    <row r="65" spans="1:7" x14ac:dyDescent="0.3">
      <c r="A65" s="305" t="s">
        <v>266</v>
      </c>
      <c r="B65" s="305" t="s">
        <v>265</v>
      </c>
      <c r="C65" s="305">
        <v>97.376671999999999</v>
      </c>
      <c r="D65" s="305" t="s">
        <v>464</v>
      </c>
      <c r="E65" s="305" t="s">
        <v>462</v>
      </c>
      <c r="F65" s="133"/>
      <c r="G65" s="133"/>
    </row>
    <row r="66" spans="1:7" x14ac:dyDescent="0.3">
      <c r="A66" s="305" t="s">
        <v>162</v>
      </c>
      <c r="B66" s="305" t="s">
        <v>161</v>
      </c>
      <c r="C66" s="305" t="s">
        <v>787</v>
      </c>
      <c r="D66" s="305" t="s">
        <v>466</v>
      </c>
      <c r="E66" s="305" t="s">
        <v>787</v>
      </c>
      <c r="F66" s="133">
        <v>0</v>
      </c>
      <c r="G66" s="133">
        <v>0</v>
      </c>
    </row>
    <row r="67" spans="1:7" x14ac:dyDescent="0.3">
      <c r="A67" s="305" t="s">
        <v>373</v>
      </c>
      <c r="B67" s="305" t="s">
        <v>387</v>
      </c>
      <c r="C67" s="305">
        <v>97.678299999999993</v>
      </c>
      <c r="D67" s="305" t="s">
        <v>466</v>
      </c>
      <c r="E67" s="305" t="s">
        <v>935</v>
      </c>
      <c r="F67" s="133">
        <v>0</v>
      </c>
      <c r="G67" s="133">
        <v>0</v>
      </c>
    </row>
    <row r="68" spans="1:7" x14ac:dyDescent="0.3">
      <c r="A68" s="305" t="s">
        <v>293</v>
      </c>
      <c r="B68" s="305" t="s">
        <v>292</v>
      </c>
      <c r="C68" s="305" t="s">
        <v>787</v>
      </c>
      <c r="D68" s="305" t="s">
        <v>466</v>
      </c>
      <c r="E68" s="305" t="s">
        <v>787</v>
      </c>
      <c r="F68" s="133"/>
      <c r="G68" s="133"/>
    </row>
    <row r="69" spans="1:7" x14ac:dyDescent="0.3">
      <c r="A69" s="305" t="s">
        <v>359</v>
      </c>
      <c r="B69" s="305" t="s">
        <v>771</v>
      </c>
      <c r="C69" s="305">
        <v>98.139397000000002</v>
      </c>
      <c r="D69" s="305" t="s">
        <v>466</v>
      </c>
      <c r="E69" s="305" t="s">
        <v>787</v>
      </c>
      <c r="F69" s="133">
        <v>9</v>
      </c>
      <c r="G69" s="133">
        <v>44</v>
      </c>
    </row>
    <row r="70" spans="1:7" x14ac:dyDescent="0.3">
      <c r="A70" s="305" t="s">
        <v>171</v>
      </c>
      <c r="B70" s="305" t="s">
        <v>170</v>
      </c>
      <c r="C70" s="305">
        <v>98.129380999999995</v>
      </c>
      <c r="D70" s="305" t="s">
        <v>464</v>
      </c>
      <c r="E70" s="305" t="s">
        <v>787</v>
      </c>
      <c r="F70" s="133"/>
      <c r="G70" s="133"/>
    </row>
    <row r="71" spans="1:7" x14ac:dyDescent="0.3">
      <c r="A71" s="305" t="s">
        <v>791</v>
      </c>
      <c r="B71" s="305" t="s">
        <v>473</v>
      </c>
      <c r="C71" s="305">
        <v>97.132339999999999</v>
      </c>
      <c r="D71" s="305" t="s">
        <v>466</v>
      </c>
      <c r="E71" s="305" t="s">
        <v>787</v>
      </c>
      <c r="F71" s="133">
        <v>0</v>
      </c>
      <c r="G71" s="133">
        <v>0</v>
      </c>
    </row>
    <row r="72" spans="1:7" x14ac:dyDescent="0.3">
      <c r="A72" s="305" t="s">
        <v>792</v>
      </c>
      <c r="B72" s="305" t="s">
        <v>793</v>
      </c>
      <c r="C72" s="305" t="s">
        <v>787</v>
      </c>
      <c r="D72" s="305" t="s">
        <v>466</v>
      </c>
      <c r="E72" s="305" t="s">
        <v>787</v>
      </c>
      <c r="F72" s="133">
        <v>0</v>
      </c>
      <c r="G72" s="133">
        <v>0</v>
      </c>
    </row>
    <row r="73" spans="1:7" x14ac:dyDescent="0.3">
      <c r="A73" s="305" t="s">
        <v>164</v>
      </c>
      <c r="B73" s="305" t="s">
        <v>163</v>
      </c>
      <c r="C73" s="305">
        <v>97.132339999999999</v>
      </c>
      <c r="D73" s="305" t="s">
        <v>466</v>
      </c>
      <c r="E73" s="305" t="s">
        <v>787</v>
      </c>
      <c r="F73" s="133">
        <v>0</v>
      </c>
      <c r="G73" s="133">
        <v>0</v>
      </c>
    </row>
    <row r="74" spans="1:7" x14ac:dyDescent="0.3">
      <c r="A74" s="305" t="s">
        <v>534</v>
      </c>
      <c r="B74" s="305" t="s">
        <v>762</v>
      </c>
      <c r="C74" s="305">
        <v>97.398989</v>
      </c>
      <c r="D74" s="305" t="s">
        <v>464</v>
      </c>
      <c r="E74" s="305" t="s">
        <v>787</v>
      </c>
      <c r="F74" s="133">
        <v>118</v>
      </c>
      <c r="G74" s="133">
        <v>520</v>
      </c>
    </row>
    <row r="75" spans="1:7" x14ac:dyDescent="0.3">
      <c r="A75" s="305" t="s">
        <v>183</v>
      </c>
      <c r="B75" s="305" t="s">
        <v>182</v>
      </c>
      <c r="C75" s="305">
        <v>96.364949999999993</v>
      </c>
      <c r="D75" s="305" t="s">
        <v>464</v>
      </c>
      <c r="E75" s="305" t="s">
        <v>424</v>
      </c>
      <c r="F75" s="133">
        <v>0</v>
      </c>
      <c r="G75" s="133">
        <v>0</v>
      </c>
    </row>
    <row r="76" spans="1:7" x14ac:dyDescent="0.3">
      <c r="A76" s="305" t="s">
        <v>535</v>
      </c>
      <c r="B76" s="305" t="s">
        <v>772</v>
      </c>
      <c r="C76" s="305">
        <v>98.352670000000003</v>
      </c>
      <c r="D76" s="305" t="s">
        <v>466</v>
      </c>
      <c r="E76" s="305" t="s">
        <v>1317</v>
      </c>
      <c r="F76" s="133">
        <v>67</v>
      </c>
      <c r="G76" s="133">
        <v>392</v>
      </c>
    </row>
    <row r="77" spans="1:7" x14ac:dyDescent="0.3">
      <c r="A77" s="305" t="s">
        <v>815</v>
      </c>
      <c r="B77" s="305" t="s">
        <v>816</v>
      </c>
      <c r="C77" s="305">
        <v>97.58184</v>
      </c>
      <c r="D77" s="305" t="s">
        <v>464</v>
      </c>
      <c r="E77" s="305" t="s">
        <v>787</v>
      </c>
      <c r="F77" s="133">
        <v>0</v>
      </c>
      <c r="G77" s="133">
        <v>0</v>
      </c>
    </row>
    <row r="78" spans="1:7" x14ac:dyDescent="0.3">
      <c r="A78" s="305" t="s">
        <v>110</v>
      </c>
      <c r="B78" s="305" t="s">
        <v>109</v>
      </c>
      <c r="C78" s="305">
        <v>96.312790000000007</v>
      </c>
      <c r="D78" s="305" t="s">
        <v>464</v>
      </c>
      <c r="E78" s="305" t="s">
        <v>424</v>
      </c>
      <c r="F78" s="133">
        <v>0</v>
      </c>
      <c r="G78" s="133">
        <v>0</v>
      </c>
    </row>
    <row r="79" spans="1:7" x14ac:dyDescent="0.3">
      <c r="A79" s="305" t="s">
        <v>112</v>
      </c>
      <c r="B79" s="305" t="s">
        <v>111</v>
      </c>
      <c r="C79" s="305">
        <v>96.31326</v>
      </c>
      <c r="D79" s="305" t="s">
        <v>464</v>
      </c>
      <c r="E79" s="305" t="s">
        <v>787</v>
      </c>
      <c r="F79" s="133">
        <v>0</v>
      </c>
      <c r="G79" s="133">
        <v>0</v>
      </c>
    </row>
    <row r="80" spans="1:7" x14ac:dyDescent="0.3">
      <c r="A80" s="305" t="s">
        <v>217</v>
      </c>
      <c r="B80" s="305" t="s">
        <v>216</v>
      </c>
      <c r="C80" s="305">
        <v>97.347740000000002</v>
      </c>
      <c r="D80" s="305" t="s">
        <v>464</v>
      </c>
      <c r="E80" s="305" t="s">
        <v>462</v>
      </c>
      <c r="F80" s="133"/>
      <c r="G80" s="133"/>
    </row>
    <row r="81" spans="1:7" x14ac:dyDescent="0.3">
      <c r="A81" s="305" t="s">
        <v>114</v>
      </c>
      <c r="B81" s="305" t="s">
        <v>113</v>
      </c>
      <c r="C81" s="305" t="s">
        <v>787</v>
      </c>
      <c r="D81" s="305" t="s">
        <v>464</v>
      </c>
      <c r="E81" s="305" t="s">
        <v>787</v>
      </c>
      <c r="F81" s="133">
        <v>0</v>
      </c>
      <c r="G81" s="133">
        <v>0</v>
      </c>
    </row>
    <row r="82" spans="1:7" x14ac:dyDescent="0.3">
      <c r="A82" s="305" t="s">
        <v>221</v>
      </c>
      <c r="B82" s="305" t="s">
        <v>220</v>
      </c>
      <c r="C82" s="305">
        <v>97.429860000000005</v>
      </c>
      <c r="D82" s="305" t="s">
        <v>464</v>
      </c>
      <c r="E82" s="305" t="s">
        <v>787</v>
      </c>
      <c r="F82" s="133"/>
      <c r="G82" s="133"/>
    </row>
    <row r="83" spans="1:7" x14ac:dyDescent="0.3">
      <c r="A83" s="305" t="s">
        <v>349</v>
      </c>
      <c r="B83" s="305" t="s">
        <v>348</v>
      </c>
      <c r="C83" s="305">
        <v>97.432495000000003</v>
      </c>
      <c r="D83" s="305" t="s">
        <v>464</v>
      </c>
      <c r="E83" s="305" t="s">
        <v>462</v>
      </c>
      <c r="F83" s="133">
        <v>92</v>
      </c>
      <c r="G83" s="133">
        <v>505</v>
      </c>
    </row>
    <row r="84" spans="1:7" x14ac:dyDescent="0.3">
      <c r="A84" s="305" t="s">
        <v>122</v>
      </c>
      <c r="B84" s="305" t="s">
        <v>121</v>
      </c>
      <c r="C84" s="305" t="s">
        <v>787</v>
      </c>
      <c r="D84" s="305" t="s">
        <v>464</v>
      </c>
      <c r="E84" s="305" t="s">
        <v>787</v>
      </c>
      <c r="F84" s="133">
        <v>0</v>
      </c>
      <c r="G84" s="133">
        <v>0</v>
      </c>
    </row>
    <row r="85" spans="1:7" x14ac:dyDescent="0.3">
      <c r="A85" s="305" t="s">
        <v>124</v>
      </c>
      <c r="B85" s="305" t="s">
        <v>123</v>
      </c>
      <c r="C85" s="305">
        <v>96.353030000000004</v>
      </c>
      <c r="D85" s="305" t="s">
        <v>464</v>
      </c>
      <c r="E85" s="305" t="s">
        <v>424</v>
      </c>
      <c r="F85" s="133">
        <v>8</v>
      </c>
      <c r="G85" s="133">
        <v>32</v>
      </c>
    </row>
    <row r="86" spans="1:7" x14ac:dyDescent="0.3">
      <c r="A86" s="305" t="s">
        <v>96</v>
      </c>
      <c r="B86" s="305" t="s">
        <v>95</v>
      </c>
      <c r="C86" s="305" t="s">
        <v>787</v>
      </c>
      <c r="D86" s="305" t="s">
        <v>464</v>
      </c>
      <c r="E86" s="305" t="s">
        <v>787</v>
      </c>
      <c r="F86" s="133">
        <v>0</v>
      </c>
      <c r="G86" s="133">
        <v>0</v>
      </c>
    </row>
    <row r="87" spans="1:7" x14ac:dyDescent="0.3">
      <c r="A87" s="305" t="s">
        <v>813</v>
      </c>
      <c r="B87" s="305" t="s">
        <v>814</v>
      </c>
      <c r="C87" s="305" t="s">
        <v>787</v>
      </c>
      <c r="D87" s="305" t="s">
        <v>464</v>
      </c>
      <c r="E87" s="305" t="s">
        <v>787</v>
      </c>
      <c r="F87" s="133">
        <v>0</v>
      </c>
      <c r="G87" s="133">
        <v>0</v>
      </c>
    </row>
    <row r="88" spans="1:7" x14ac:dyDescent="0.3">
      <c r="A88" s="305" t="s">
        <v>822</v>
      </c>
      <c r="B88" s="305" t="s">
        <v>821</v>
      </c>
      <c r="C88" s="305" t="s">
        <v>787</v>
      </c>
      <c r="D88" s="305" t="s">
        <v>464</v>
      </c>
      <c r="E88" s="305" t="s">
        <v>787</v>
      </c>
      <c r="F88" s="133"/>
      <c r="G88" s="133"/>
    </row>
    <row r="89" spans="1:7" x14ac:dyDescent="0.3">
      <c r="A89" s="305" t="s">
        <v>24</v>
      </c>
      <c r="B89" s="305" t="s">
        <v>23</v>
      </c>
      <c r="C89" s="305">
        <v>97.227789999999999</v>
      </c>
      <c r="D89" s="305" t="s">
        <v>464</v>
      </c>
      <c r="E89" s="305" t="s">
        <v>462</v>
      </c>
      <c r="F89" s="133">
        <v>20</v>
      </c>
      <c r="G89" s="133">
        <v>95</v>
      </c>
    </row>
    <row r="90" spans="1:7" x14ac:dyDescent="0.3">
      <c r="A90" s="305" t="s">
        <v>132</v>
      </c>
      <c r="B90" s="305" t="s">
        <v>131</v>
      </c>
      <c r="C90" s="305" t="s">
        <v>787</v>
      </c>
      <c r="D90" s="305" t="s">
        <v>464</v>
      </c>
      <c r="E90" s="305" t="s">
        <v>787</v>
      </c>
      <c r="F90" s="133">
        <v>0</v>
      </c>
      <c r="G90" s="133">
        <v>0</v>
      </c>
    </row>
    <row r="91" spans="1:7" x14ac:dyDescent="0.3">
      <c r="A91" s="305" t="s">
        <v>227</v>
      </c>
      <c r="B91" s="305" t="s">
        <v>226</v>
      </c>
      <c r="C91" s="305">
        <v>97.416826999999998</v>
      </c>
      <c r="D91" s="305" t="s">
        <v>464</v>
      </c>
      <c r="E91" s="305" t="s">
        <v>787</v>
      </c>
      <c r="F91" s="133"/>
      <c r="G91" s="133"/>
    </row>
    <row r="92" spans="1:7" x14ac:dyDescent="0.3">
      <c r="A92" s="305" t="s">
        <v>877</v>
      </c>
      <c r="B92" s="305" t="s">
        <v>874</v>
      </c>
      <c r="C92" s="305">
        <v>97.239130000000003</v>
      </c>
      <c r="D92" s="305" t="s">
        <v>464</v>
      </c>
      <c r="E92" s="305" t="s">
        <v>462</v>
      </c>
      <c r="F92" s="133"/>
      <c r="G92" s="133"/>
    </row>
    <row r="93" spans="1:7" x14ac:dyDescent="0.3">
      <c r="A93" s="305" t="s">
        <v>134</v>
      </c>
      <c r="B93" s="305" t="s">
        <v>133</v>
      </c>
      <c r="C93" s="305" t="s">
        <v>787</v>
      </c>
      <c r="D93" s="305" t="s">
        <v>464</v>
      </c>
      <c r="E93" s="305" t="s">
        <v>787</v>
      </c>
      <c r="F93" s="133"/>
      <c r="G93" s="133"/>
    </row>
    <row r="94" spans="1:7" x14ac:dyDescent="0.3">
      <c r="A94" s="305" t="s">
        <v>795</v>
      </c>
      <c r="B94" s="305" t="s">
        <v>783</v>
      </c>
      <c r="C94" s="305" t="s">
        <v>787</v>
      </c>
      <c r="D94" s="305" t="s">
        <v>464</v>
      </c>
      <c r="E94" s="305" t="s">
        <v>787</v>
      </c>
      <c r="F94" s="133">
        <v>0</v>
      </c>
      <c r="G94" s="133">
        <v>0</v>
      </c>
    </row>
    <row r="95" spans="1:7" x14ac:dyDescent="0.3">
      <c r="A95" s="305" t="s">
        <v>310</v>
      </c>
      <c r="B95" s="305" t="s">
        <v>308</v>
      </c>
      <c r="C95" s="305">
        <v>97.438259000000002</v>
      </c>
      <c r="D95" s="305" t="s">
        <v>464</v>
      </c>
      <c r="E95" s="305" t="s">
        <v>424</v>
      </c>
      <c r="F95" s="133"/>
      <c r="G95" s="133"/>
    </row>
    <row r="96" spans="1:7" x14ac:dyDescent="0.3">
      <c r="A96" s="305" t="s">
        <v>64</v>
      </c>
      <c r="B96" s="305" t="s">
        <v>63</v>
      </c>
      <c r="C96" s="305">
        <v>96.288250000000005</v>
      </c>
      <c r="D96" s="305" t="s">
        <v>464</v>
      </c>
      <c r="E96" s="305" t="s">
        <v>936</v>
      </c>
      <c r="F96" s="133"/>
      <c r="G96" s="133"/>
    </row>
    <row r="97" spans="1:7" x14ac:dyDescent="0.3">
      <c r="A97" s="305" t="s">
        <v>37</v>
      </c>
      <c r="B97" s="305" t="s">
        <v>36</v>
      </c>
      <c r="C97" s="305" t="s">
        <v>787</v>
      </c>
      <c r="D97" s="305" t="s">
        <v>464</v>
      </c>
      <c r="E97" s="305" t="s">
        <v>787</v>
      </c>
      <c r="F97" s="133"/>
      <c r="G97" s="133"/>
    </row>
    <row r="98" spans="1:7" x14ac:dyDescent="0.3">
      <c r="A98" s="305" t="s">
        <v>74</v>
      </c>
      <c r="B98" s="305" t="s">
        <v>73</v>
      </c>
      <c r="C98" s="305" t="s">
        <v>787</v>
      </c>
      <c r="D98" s="305" t="s">
        <v>464</v>
      </c>
      <c r="E98" s="305" t="s">
        <v>787</v>
      </c>
      <c r="F98" s="133"/>
      <c r="G98" s="133"/>
    </row>
    <row r="99" spans="1:7" x14ac:dyDescent="0.3">
      <c r="A99" s="305" t="s">
        <v>282</v>
      </c>
      <c r="B99" s="305" t="s">
        <v>281</v>
      </c>
      <c r="C99" s="305">
        <v>97.403878500000005</v>
      </c>
      <c r="D99" s="305" t="s">
        <v>464</v>
      </c>
      <c r="E99" s="305" t="s">
        <v>462</v>
      </c>
      <c r="F99" s="133">
        <v>7</v>
      </c>
      <c r="G99" s="133">
        <v>37</v>
      </c>
    </row>
    <row r="100" spans="1:7" x14ac:dyDescent="0.3">
      <c r="A100" s="305" t="s">
        <v>467</v>
      </c>
      <c r="B100" s="305" t="s">
        <v>468</v>
      </c>
      <c r="C100" s="305">
        <v>96.315601999999998</v>
      </c>
      <c r="D100" s="305" t="s">
        <v>464</v>
      </c>
      <c r="E100" s="305" t="s">
        <v>787</v>
      </c>
      <c r="F100" s="133">
        <v>0</v>
      </c>
      <c r="G100" s="133">
        <v>0</v>
      </c>
    </row>
    <row r="101" spans="1:7" x14ac:dyDescent="0.3">
      <c r="A101" s="305" t="s">
        <v>956</v>
      </c>
      <c r="B101" s="305" t="s">
        <v>957</v>
      </c>
      <c r="C101" s="305">
        <v>96.637</v>
      </c>
      <c r="D101" s="305" t="s">
        <v>464</v>
      </c>
      <c r="E101" s="305" t="s">
        <v>424</v>
      </c>
      <c r="F101" s="133"/>
      <c r="G101" s="133"/>
    </row>
    <row r="102" spans="1:7" x14ac:dyDescent="0.3">
      <c r="A102" s="305" t="s">
        <v>1033</v>
      </c>
      <c r="B102" s="305" t="s">
        <v>357</v>
      </c>
      <c r="C102" s="305">
        <v>97.421104</v>
      </c>
      <c r="D102" s="305" t="s">
        <v>464</v>
      </c>
      <c r="E102" s="305" t="s">
        <v>787</v>
      </c>
      <c r="F102" s="133"/>
      <c r="G102" s="133"/>
    </row>
    <row r="103" spans="1:7" x14ac:dyDescent="0.3">
      <c r="A103" s="305" t="s">
        <v>1034</v>
      </c>
      <c r="B103" s="305" t="s">
        <v>358</v>
      </c>
      <c r="C103" s="305" t="s">
        <v>787</v>
      </c>
      <c r="D103" s="305" t="s">
        <v>464</v>
      </c>
      <c r="E103" s="305" t="s">
        <v>787</v>
      </c>
      <c r="F103" s="133"/>
      <c r="G103" s="133"/>
    </row>
    <row r="104" spans="1:7" x14ac:dyDescent="0.3">
      <c r="A104" s="305" t="s">
        <v>1035</v>
      </c>
      <c r="B104" s="305" t="s">
        <v>313</v>
      </c>
      <c r="C104" s="305">
        <v>97.551507000000001</v>
      </c>
      <c r="D104" s="305" t="s">
        <v>466</v>
      </c>
      <c r="E104" s="305" t="s">
        <v>936</v>
      </c>
      <c r="F104" s="133">
        <v>0</v>
      </c>
      <c r="G104" s="133">
        <v>0</v>
      </c>
    </row>
    <row r="105" spans="1:7" x14ac:dyDescent="0.3">
      <c r="A105" s="305" t="s">
        <v>1032</v>
      </c>
      <c r="B105" s="305" t="s">
        <v>354</v>
      </c>
      <c r="C105" s="305">
        <v>97.756789999999995</v>
      </c>
      <c r="D105" s="305" t="s">
        <v>466</v>
      </c>
      <c r="E105" s="305" t="s">
        <v>424</v>
      </c>
      <c r="F105" s="133"/>
      <c r="G105" s="133"/>
    </row>
    <row r="106" spans="1:7" x14ac:dyDescent="0.3">
      <c r="A106" s="305" t="s">
        <v>1063</v>
      </c>
      <c r="B106" s="305" t="s">
        <v>1055</v>
      </c>
      <c r="C106" s="305">
        <v>96.793999999999997</v>
      </c>
      <c r="D106" s="305" t="s">
        <v>464</v>
      </c>
      <c r="E106" s="305" t="s">
        <v>787</v>
      </c>
      <c r="F106" s="133"/>
      <c r="G106" s="133"/>
    </row>
    <row r="107" spans="1:7" x14ac:dyDescent="0.3">
      <c r="A107" s="305" t="s">
        <v>1054</v>
      </c>
      <c r="B107" s="305" t="s">
        <v>1057</v>
      </c>
      <c r="C107" s="305">
        <v>96.942279999999997</v>
      </c>
      <c r="D107" s="305" t="s">
        <v>464</v>
      </c>
      <c r="E107" s="305" t="s">
        <v>787</v>
      </c>
      <c r="F107" s="133">
        <v>6</v>
      </c>
      <c r="G107" s="133">
        <v>31</v>
      </c>
    </row>
    <row r="108" spans="1:7" x14ac:dyDescent="0.3">
      <c r="A108" s="305" t="s">
        <v>1080</v>
      </c>
      <c r="B108" s="305" t="s">
        <v>1081</v>
      </c>
      <c r="C108" s="305">
        <v>97.461271999999994</v>
      </c>
      <c r="D108" s="305" t="s">
        <v>464</v>
      </c>
      <c r="E108" s="305" t="s">
        <v>787</v>
      </c>
      <c r="F108" s="133"/>
      <c r="G108" s="133"/>
    </row>
    <row r="109" spans="1:7" x14ac:dyDescent="0.3">
      <c r="A109" s="305" t="s">
        <v>1133</v>
      </c>
      <c r="B109" s="305" t="s">
        <v>1134</v>
      </c>
      <c r="C109" s="305">
        <v>96.637</v>
      </c>
      <c r="D109" s="305" t="s">
        <v>464</v>
      </c>
      <c r="E109" s="305" t="s">
        <v>787</v>
      </c>
      <c r="F109" s="133"/>
      <c r="G109" s="133"/>
    </row>
    <row r="110" spans="1:7" x14ac:dyDescent="0.3">
      <c r="A110" s="305" t="s">
        <v>1129</v>
      </c>
      <c r="B110" s="305" t="s">
        <v>1124</v>
      </c>
      <c r="C110" s="305">
        <v>97.504999999999995</v>
      </c>
      <c r="D110" s="305" t="s">
        <v>464</v>
      </c>
      <c r="E110" s="305" t="s">
        <v>787</v>
      </c>
      <c r="F110" s="133"/>
      <c r="G110" s="133"/>
    </row>
    <row r="111" spans="1:7" x14ac:dyDescent="0.3">
      <c r="A111" s="305" t="s">
        <v>1143</v>
      </c>
      <c r="B111" s="305" t="s">
        <v>1127</v>
      </c>
      <c r="C111" s="305">
        <v>98.221000000000004</v>
      </c>
      <c r="D111" s="305" t="s">
        <v>464</v>
      </c>
      <c r="E111" s="305" t="s">
        <v>787</v>
      </c>
      <c r="F111" s="133"/>
      <c r="G111" s="133"/>
    </row>
    <row r="112" spans="1:7" x14ac:dyDescent="0.3">
      <c r="A112" s="305" t="s">
        <v>1154</v>
      </c>
      <c r="B112" s="305" t="s">
        <v>1160</v>
      </c>
      <c r="C112" s="305">
        <v>96.662092000000001</v>
      </c>
      <c r="D112" s="305" t="s">
        <v>464</v>
      </c>
      <c r="E112" s="305" t="s">
        <v>787</v>
      </c>
      <c r="F112" s="133"/>
      <c r="G112" s="133"/>
    </row>
    <row r="113" spans="1:7" x14ac:dyDescent="0.3">
      <c r="A113" s="305" t="s">
        <v>1155</v>
      </c>
      <c r="B113" s="305" t="s">
        <v>1162</v>
      </c>
      <c r="C113" s="305">
        <v>96.662092000000001</v>
      </c>
      <c r="D113" s="305" t="s">
        <v>464</v>
      </c>
      <c r="E113" s="305" t="s">
        <v>787</v>
      </c>
      <c r="F113" s="133"/>
      <c r="G113" s="133"/>
    </row>
    <row r="114" spans="1:7" x14ac:dyDescent="0.3">
      <c r="A114" s="305" t="s">
        <v>1186</v>
      </c>
      <c r="B114" s="305" t="s">
        <v>1169</v>
      </c>
      <c r="C114" s="305">
        <v>97.400671000000003</v>
      </c>
      <c r="D114" s="305" t="s">
        <v>464</v>
      </c>
      <c r="E114" s="305" t="s">
        <v>787</v>
      </c>
      <c r="F114" s="133"/>
      <c r="G114" s="133"/>
    </row>
    <row r="115" spans="1:7" x14ac:dyDescent="0.3">
      <c r="A115" s="305" t="s">
        <v>1188</v>
      </c>
      <c r="B115" s="305" t="s">
        <v>1170</v>
      </c>
      <c r="C115" s="305" t="s">
        <v>787</v>
      </c>
      <c r="D115" s="305" t="s">
        <v>464</v>
      </c>
      <c r="E115" s="305" t="s">
        <v>787</v>
      </c>
      <c r="F115" s="133">
        <v>13</v>
      </c>
      <c r="G115" s="133">
        <v>45</v>
      </c>
    </row>
    <row r="116" spans="1:7" x14ac:dyDescent="0.3">
      <c r="A116" s="305" t="s">
        <v>1189</v>
      </c>
      <c r="B116" s="305" t="s">
        <v>1171</v>
      </c>
      <c r="C116" s="305" t="s">
        <v>787</v>
      </c>
      <c r="D116" s="305" t="s">
        <v>464</v>
      </c>
      <c r="E116" s="305" t="s">
        <v>787</v>
      </c>
      <c r="F116" s="133"/>
      <c r="G116" s="133"/>
    </row>
    <row r="117" spans="1:7" x14ac:dyDescent="0.3">
      <c r="A117" s="305" t="s">
        <v>1190</v>
      </c>
      <c r="B117" s="305" t="s">
        <v>1172</v>
      </c>
      <c r="C117" s="305" t="s">
        <v>787</v>
      </c>
      <c r="D117" s="305" t="s">
        <v>464</v>
      </c>
      <c r="E117" s="305" t="s">
        <v>787</v>
      </c>
      <c r="F117" s="133"/>
      <c r="G117" s="133"/>
    </row>
    <row r="118" spans="1:7" x14ac:dyDescent="0.3">
      <c r="A118" s="305" t="s">
        <v>1198</v>
      </c>
      <c r="B118" s="305" t="s">
        <v>1174</v>
      </c>
      <c r="C118" s="305" t="s">
        <v>787</v>
      </c>
      <c r="D118" s="305" t="s">
        <v>464</v>
      </c>
      <c r="E118" s="305" t="s">
        <v>787</v>
      </c>
      <c r="F118" s="133"/>
      <c r="G118" s="133"/>
    </row>
    <row r="119" spans="1:7" x14ac:dyDescent="0.3">
      <c r="A119" s="305" t="s">
        <v>1208</v>
      </c>
      <c r="B119" s="305" t="s">
        <v>1175</v>
      </c>
      <c r="C119" s="305" t="s">
        <v>787</v>
      </c>
      <c r="D119" s="305" t="s">
        <v>464</v>
      </c>
      <c r="E119" s="305" t="s">
        <v>787</v>
      </c>
      <c r="F119" s="133"/>
      <c r="G119" s="133"/>
    </row>
    <row r="120" spans="1:7" x14ac:dyDescent="0.3">
      <c r="A120" s="305" t="s">
        <v>1209</v>
      </c>
      <c r="B120" s="305" t="s">
        <v>1176</v>
      </c>
      <c r="C120" s="305" t="s">
        <v>787</v>
      </c>
      <c r="D120" s="305" t="s">
        <v>464</v>
      </c>
      <c r="E120" s="305" t="s">
        <v>787</v>
      </c>
      <c r="F120" s="133"/>
      <c r="G120" s="133"/>
    </row>
    <row r="121" spans="1:7" x14ac:dyDescent="0.3">
      <c r="A121" s="305" t="s">
        <v>1199</v>
      </c>
      <c r="B121" s="305" t="s">
        <v>1177</v>
      </c>
      <c r="C121" s="305" t="s">
        <v>787</v>
      </c>
      <c r="D121" s="305" t="s">
        <v>464</v>
      </c>
      <c r="E121" s="305" t="s">
        <v>787</v>
      </c>
      <c r="F121" s="133"/>
      <c r="G121" s="133"/>
    </row>
    <row r="122" spans="1:7" x14ac:dyDescent="0.3">
      <c r="A122" s="305" t="s">
        <v>1210</v>
      </c>
      <c r="B122" s="305" t="s">
        <v>1178</v>
      </c>
      <c r="C122" s="305" t="s">
        <v>787</v>
      </c>
      <c r="D122" s="305" t="s">
        <v>464</v>
      </c>
      <c r="E122" s="305" t="s">
        <v>787</v>
      </c>
      <c r="F122" s="133"/>
      <c r="G122" s="133"/>
    </row>
    <row r="123" spans="1:7" x14ac:dyDescent="0.3">
      <c r="A123" s="305" t="s">
        <v>1214</v>
      </c>
      <c r="B123" s="305" t="s">
        <v>1179</v>
      </c>
      <c r="C123" s="305" t="s">
        <v>787</v>
      </c>
      <c r="D123" s="305" t="s">
        <v>464</v>
      </c>
      <c r="E123" s="305" t="s">
        <v>787</v>
      </c>
      <c r="F123" s="133"/>
      <c r="G123" s="133"/>
    </row>
    <row r="124" spans="1:7" x14ac:dyDescent="0.3">
      <c r="A124" s="305" t="s">
        <v>1192</v>
      </c>
      <c r="B124" s="305" t="s">
        <v>1180</v>
      </c>
      <c r="C124" s="305" t="s">
        <v>787</v>
      </c>
      <c r="D124" s="305" t="s">
        <v>464</v>
      </c>
      <c r="E124" s="305" t="s">
        <v>787</v>
      </c>
      <c r="F124" s="133"/>
      <c r="G124" s="133"/>
    </row>
    <row r="125" spans="1:7" x14ac:dyDescent="0.3">
      <c r="A125" s="305" t="s">
        <v>1193</v>
      </c>
      <c r="B125" s="305" t="s">
        <v>1181</v>
      </c>
      <c r="C125" s="305" t="s">
        <v>787</v>
      </c>
      <c r="D125" s="305" t="s">
        <v>464</v>
      </c>
      <c r="E125" s="305" t="s">
        <v>787</v>
      </c>
      <c r="F125" s="133"/>
      <c r="G125" s="133"/>
    </row>
    <row r="126" spans="1:7" x14ac:dyDescent="0.3">
      <c r="A126" s="305" t="s">
        <v>1194</v>
      </c>
      <c r="B126" s="305" t="s">
        <v>1182</v>
      </c>
      <c r="C126" s="305" t="s">
        <v>787</v>
      </c>
      <c r="D126" s="305" t="s">
        <v>464</v>
      </c>
      <c r="E126" s="305" t="s">
        <v>787</v>
      </c>
      <c r="F126" s="133"/>
      <c r="G126" s="133"/>
    </row>
    <row r="127" spans="1:7" x14ac:dyDescent="0.3">
      <c r="A127" s="305" t="s">
        <v>1195</v>
      </c>
      <c r="B127" s="305" t="s">
        <v>1183</v>
      </c>
      <c r="C127" s="305" t="s">
        <v>787</v>
      </c>
      <c r="D127" s="305" t="s">
        <v>464</v>
      </c>
      <c r="E127" s="305" t="s">
        <v>787</v>
      </c>
      <c r="F127" s="133"/>
      <c r="G127" s="133"/>
    </row>
    <row r="128" spans="1:7" x14ac:dyDescent="0.3">
      <c r="A128" s="305" t="s">
        <v>1196</v>
      </c>
      <c r="B128" s="305" t="s">
        <v>1184</v>
      </c>
      <c r="C128" s="305" t="s">
        <v>787</v>
      </c>
      <c r="D128" s="305" t="s">
        <v>464</v>
      </c>
      <c r="E128" s="305" t="s">
        <v>787</v>
      </c>
      <c r="F128" s="133"/>
      <c r="G128" s="133"/>
    </row>
    <row r="129" spans="1:7" x14ac:dyDescent="0.3">
      <c r="A129" s="305" t="s">
        <v>1520</v>
      </c>
      <c r="B129" s="305" t="s">
        <v>1545</v>
      </c>
      <c r="C129" s="305" t="s">
        <v>787</v>
      </c>
      <c r="D129" s="305" t="s">
        <v>464</v>
      </c>
      <c r="E129" s="305" t="s">
        <v>787</v>
      </c>
      <c r="F129" s="133">
        <v>245</v>
      </c>
      <c r="G129" s="133">
        <v>1084</v>
      </c>
    </row>
    <row r="130" spans="1:7" x14ac:dyDescent="0.3">
      <c r="A130" s="305" t="s">
        <v>1529</v>
      </c>
      <c r="B130" s="305" t="s">
        <v>1547</v>
      </c>
      <c r="C130" s="305" t="s">
        <v>787</v>
      </c>
      <c r="D130" s="305" t="s">
        <v>464</v>
      </c>
      <c r="E130" s="305" t="s">
        <v>1317</v>
      </c>
      <c r="F130" s="133">
        <v>25</v>
      </c>
      <c r="G130"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05" t="s">
        <v>460</v>
      </c>
    </row>
    <row r="2" spans="1:4" hidden="1" x14ac:dyDescent="0.3"/>
    <row r="3" spans="1:4" x14ac:dyDescent="0.3">
      <c r="A3" s="139" t="s">
        <v>399</v>
      </c>
      <c r="B3" s="139" t="s">
        <v>0</v>
      </c>
      <c r="C3" s="139" t="s">
        <v>463</v>
      </c>
      <c r="D3" s="139" t="s">
        <v>511</v>
      </c>
    </row>
    <row r="4" spans="1:4" x14ac:dyDescent="0.3">
      <c r="A4" s="305" t="s">
        <v>778</v>
      </c>
      <c r="B4" s="305" t="s">
        <v>5</v>
      </c>
      <c r="C4" s="305" t="s">
        <v>14</v>
      </c>
      <c r="D4" s="305" t="s">
        <v>13</v>
      </c>
    </row>
    <row r="5" spans="1:4" x14ac:dyDescent="0.3">
      <c r="C5" s="305" t="s">
        <v>18</v>
      </c>
      <c r="D5" s="305" t="s">
        <v>17</v>
      </c>
    </row>
    <row r="6" spans="1:4" x14ac:dyDescent="0.3">
      <c r="C6" s="305" t="s">
        <v>364</v>
      </c>
      <c r="D6" s="305" t="s">
        <v>374</v>
      </c>
    </row>
    <row r="7" spans="1:4" x14ac:dyDescent="0.3">
      <c r="C7" s="305" t="s">
        <v>22</v>
      </c>
      <c r="D7" s="305" t="s">
        <v>21</v>
      </c>
    </row>
    <row r="8" spans="1:4" x14ac:dyDescent="0.3">
      <c r="C8" s="305" t="s">
        <v>26</v>
      </c>
      <c r="D8" s="305" t="s">
        <v>25</v>
      </c>
    </row>
    <row r="9" spans="1:4" x14ac:dyDescent="0.3">
      <c r="B9" s="305" t="s">
        <v>146</v>
      </c>
      <c r="C9" s="305" t="s">
        <v>367</v>
      </c>
      <c r="D9" s="305" t="s">
        <v>381</v>
      </c>
    </row>
    <row r="10" spans="1:4" x14ac:dyDescent="0.3">
      <c r="C10" s="305" t="s">
        <v>368</v>
      </c>
      <c r="D10" s="305" t="s">
        <v>382</v>
      </c>
    </row>
    <row r="11" spans="1:4" x14ac:dyDescent="0.3">
      <c r="C11" s="305" t="s">
        <v>371</v>
      </c>
      <c r="D11" s="305" t="s">
        <v>385</v>
      </c>
    </row>
    <row r="12" spans="1:4" x14ac:dyDescent="0.3">
      <c r="B12" s="305" t="s">
        <v>151</v>
      </c>
      <c r="C12" s="305" t="s">
        <v>160</v>
      </c>
      <c r="D12" s="305" t="s">
        <v>159</v>
      </c>
    </row>
    <row r="13" spans="1:4" x14ac:dyDescent="0.3">
      <c r="C13" s="305" t="s">
        <v>152</v>
      </c>
      <c r="D13" s="305" t="s">
        <v>150</v>
      </c>
    </row>
    <row r="14" spans="1:4" x14ac:dyDescent="0.3">
      <c r="B14" s="305" t="s">
        <v>185</v>
      </c>
      <c r="C14" s="305" t="s">
        <v>202</v>
      </c>
      <c r="D14" s="305" t="s">
        <v>201</v>
      </c>
    </row>
    <row r="15" spans="1:4" x14ac:dyDescent="0.3">
      <c r="C15" s="305" t="s">
        <v>209</v>
      </c>
      <c r="D15" s="305" t="s">
        <v>208</v>
      </c>
    </row>
    <row r="16" spans="1:4" x14ac:dyDescent="0.3">
      <c r="B16" s="305" t="s">
        <v>230</v>
      </c>
      <c r="C16" s="305" t="s">
        <v>903</v>
      </c>
      <c r="D16" s="305" t="s">
        <v>904</v>
      </c>
    </row>
    <row r="17" spans="2:4" x14ac:dyDescent="0.3">
      <c r="C17" s="305" t="s">
        <v>913</v>
      </c>
      <c r="D17" s="305" t="s">
        <v>914</v>
      </c>
    </row>
    <row r="18" spans="2:4" x14ac:dyDescent="0.3">
      <c r="C18" s="305" t="s">
        <v>359</v>
      </c>
      <c r="D18" s="305" t="s">
        <v>771</v>
      </c>
    </row>
    <row r="19" spans="2:4" x14ac:dyDescent="0.3">
      <c r="B19" s="305" t="s">
        <v>288</v>
      </c>
      <c r="C19" s="305" t="s">
        <v>905</v>
      </c>
      <c r="D19" s="305" t="s">
        <v>906</v>
      </c>
    </row>
    <row r="20" spans="2:4" x14ac:dyDescent="0.3">
      <c r="C20" s="305" t="s">
        <v>917</v>
      </c>
      <c r="D20" s="305" t="s">
        <v>910</v>
      </c>
    </row>
    <row r="21" spans="2:4" x14ac:dyDescent="0.3">
      <c r="B21" s="305" t="s">
        <v>301</v>
      </c>
      <c r="C21" s="305" t="s">
        <v>305</v>
      </c>
      <c r="D21" s="305" t="s">
        <v>304</v>
      </c>
    </row>
    <row r="22" spans="2:4" x14ac:dyDescent="0.3">
      <c r="B22" s="305" t="s">
        <v>309</v>
      </c>
      <c r="C22" s="305" t="s">
        <v>351</v>
      </c>
      <c r="D22" s="305" t="s">
        <v>350</v>
      </c>
    </row>
    <row r="23" spans="2:4" x14ac:dyDescent="0.3">
      <c r="B23" s="305" t="s">
        <v>719</v>
      </c>
      <c r="C23" s="305" t="s">
        <v>1060</v>
      </c>
      <c r="D23" s="305" t="s">
        <v>1044</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w o r k b o o k c u s t o m i z a t i o n / S a n d b o x N o n E m p t y " > < C u s t o m C o n t e n t > < ! [ C D A T A [ 1 ] ] > < / C u s t o m C o n t e n t > < / G e m i n i > 
</file>

<file path=customXml/item11.xml>��< ? x m l   v e r s i o n = " 1 . 0 "   e n c o d i n g = " U T F - 1 6 " ? > < G e m i n i   x m l n s = " h t t p : / / g e m i n i / p i v o t c u s t o m i z a t i o n / L i n k e d T a b l e U p d a t e M o d e " > < C u s t o m C o n t e n t > < ! [ C D A T A [ T r u e ] ] > < / C u s t o m C o n t e n t > < / G e m i n i > 
</file>

<file path=customXml/item2.xml>��< ? x m l   v e r s i o n = " 1 . 0 "   e n c o d i n g = " U T F - 1 6 " ? > < G e m i n i   x m l n s = " h t t p : / / g e m i n i / p i v o t c u s t o m i z a t i o n / T a b l e C o u n t I n S a n d b o x " > < C u s t o m C o n t e n t > < ! [ C D A T A [ 2 ] ] > < / C u s t o m C o n t e n t > < / G e m i n i > 
</file>

<file path=customXml/item3.xml>��< ? x m l   v e r s i o n = " 1 . 0 "   e n c o d i n g = " U T F - 1 6 " ? > < G e m i n i   x m l n s = " h t t p : / / g e m i n i / w o r k b o o k c u s t o m i z a t i o n / R e l a t i o n s h i p A u t o D e t e c t i o n E n a b l e d " > < C u s t o m C o n t e n t > < ! [ C D A T A [ T r u e ] ] > < / C u s t o m C o n t e n t > < / G e m i n i > 
</file>

<file path=customXml/item4.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M a n u a l C a l c M o d e " > < C u s t o m C o n t e n t > < ! [ C D A T A [ F a l s e ] ] > < / 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p i v o t c u s t o m i z a t i o n / T a b l e O r d e r " > < C u s t o m C o n t e n t > < ! [ C D A T A [ ] ] > < / C u s t o m C o n t e n t > < / G e m i n i > 
</file>

<file path=customXml/itemProps1.xml><?xml version="1.0" encoding="utf-8"?>
<ds:datastoreItem xmlns:ds="http://schemas.openxmlformats.org/officeDocument/2006/customXml" ds:itemID="{813269B1-46E6-446B-AAFD-6C3C2E019447}">
  <ds:schemaRefs/>
</ds:datastoreItem>
</file>

<file path=customXml/itemProps10.xml><?xml version="1.0" encoding="utf-8"?>
<ds:datastoreItem xmlns:ds="http://schemas.openxmlformats.org/officeDocument/2006/customXml" ds:itemID="{D50E7055-9622-4A96-82B8-EBACB5B39629}">
  <ds:schemaRefs/>
</ds:datastoreItem>
</file>

<file path=customXml/itemProps11.xml><?xml version="1.0" encoding="utf-8"?>
<ds:datastoreItem xmlns:ds="http://schemas.openxmlformats.org/officeDocument/2006/customXml" ds:itemID="{29F038A7-53D4-43C9-BA81-F04FA320B26C}">
  <ds:schemaRefs/>
</ds:datastoreItem>
</file>

<file path=customXml/itemProps2.xml><?xml version="1.0" encoding="utf-8"?>
<ds:datastoreItem xmlns:ds="http://schemas.openxmlformats.org/officeDocument/2006/customXml" ds:itemID="{DB9160EE-0167-41E4-AC28-973692AB29DA}">
  <ds:schemaRefs/>
</ds:datastoreItem>
</file>

<file path=customXml/itemProps3.xml><?xml version="1.0" encoding="utf-8"?>
<ds:datastoreItem xmlns:ds="http://schemas.openxmlformats.org/officeDocument/2006/customXml" ds:itemID="{C2BE83A5-448A-4B18-BB34-D729CAA9F86F}">
  <ds:schemaRefs/>
</ds:datastoreItem>
</file>

<file path=customXml/itemProps4.xml><?xml version="1.0" encoding="utf-8"?>
<ds:datastoreItem xmlns:ds="http://schemas.openxmlformats.org/officeDocument/2006/customXml" ds:itemID="{3957C5D7-EFF0-44A3-9298-445924399827}">
  <ds:schemaRefs/>
</ds:datastoreItem>
</file>

<file path=customXml/itemProps5.xml><?xml version="1.0" encoding="utf-8"?>
<ds:datastoreItem xmlns:ds="http://schemas.openxmlformats.org/officeDocument/2006/customXml" ds:itemID="{54F841B6-B55C-4835-A603-634668231C4E}">
  <ds:schemaRefs/>
</ds:datastoreItem>
</file>

<file path=customXml/itemProps6.xml><?xml version="1.0" encoding="utf-8"?>
<ds:datastoreItem xmlns:ds="http://schemas.openxmlformats.org/officeDocument/2006/customXml" ds:itemID="{56F54182-A2E7-46D3-9B50-3EE12C2ED11C}">
  <ds:schemaRefs/>
</ds:datastoreItem>
</file>

<file path=customXml/itemProps7.xml><?xml version="1.0" encoding="utf-8"?>
<ds:datastoreItem xmlns:ds="http://schemas.openxmlformats.org/officeDocument/2006/customXml" ds:itemID="{EFDD4649-07B9-495C-8FFA-CE327D4258B8}">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69B4A3EE-0A3F-4462-99AB-FF7F45263C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Progress</vt:lpstr>
      <vt:lpstr>Shelter overview</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2018-08-10T08:33:44Z</cp:lastPrinted>
  <dcterms:created xsi:type="dcterms:W3CDTF">2013-03-18T02:36:38Z</dcterms:created>
  <dcterms:modified xsi:type="dcterms:W3CDTF">2018-09-11T07:58:07Z</dcterms:modified>
</cp:coreProperties>
</file>