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pivotTables/pivotTable16.xml" ContentType="application/vnd.openxmlformats-officedocument.spreadsheetml.pivotTable+xml"/>
  <Override PartName="/xl/tables/table8.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8\Mar\"/>
    </mc:Choice>
  </mc:AlternateContent>
  <bookViews>
    <workbookView xWindow="0" yWindow="0" windowWidth="7470" windowHeight="2760" tabRatio="985" firstSheet="9" activeTab="16"/>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ForGIS" sheetId="87" state="hidden" r:id="rId7"/>
    <sheet name="Shelter Cross Check" sheetId="88" state="hidden" r:id="rId8"/>
    <sheet name="IDP locations (printable)" sheetId="91" r:id="rId9"/>
    <sheet name="Shelter Gap Analysis" sheetId="19" r:id="rId10"/>
    <sheet name="Define_TCL" sheetId="69" state="hidden" r:id="rId11"/>
    <sheet name="Shelter Coverage Camp" sheetId="84" state="hidden" r:id="rId12"/>
    <sheet name="Shelter overview" sheetId="62" r:id="rId13"/>
    <sheet name="NFI Stock and Pipeline" sheetId="95" r:id="rId14"/>
    <sheet name="NFI Distributions" sheetId="20" r:id="rId15"/>
    <sheet name="Winter Item" sheetId="86" state="hidden" r:id="rId16"/>
    <sheet name="NFI Summary" sheetId="43" r:id="rId17"/>
    <sheet name="data" sheetId="96" state="hidden" r:id="rId18"/>
    <sheet name="Definition" sheetId="49" state="hidden" r:id="rId19"/>
  </sheets>
  <externalReferences>
    <externalReference r:id="rId20"/>
    <externalReference r:id="rId21"/>
    <externalReference r:id="rId22"/>
    <externalReference r:id="rId23"/>
    <externalReference r:id="rId24"/>
  </externalReferences>
  <definedNames>
    <definedName name="_xlnm._FilterDatabase" localSheetId="0" hidden="1">'IDP locations'!$AH$4:$AI$4</definedName>
    <definedName name="_xlnm._FilterDatabase" localSheetId="14" hidden="1">'NFI Distributions'!#REF!</definedName>
    <definedName name="_xlnm._FilterDatabase" localSheetId="13" hidden="1">'NFI Stock and Pipeline'!$B$3:$BN$3</definedName>
    <definedName name="_xlnm._FilterDatabase" localSheetId="9" hidden="1">'Shelter Gap Analysis'!$A$4:$X$167</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locations'!$M$4:$S$104</definedName>
    <definedName name="_xlnm.Print_Area" localSheetId="4">Map!$A:$O</definedName>
    <definedName name="_xlnm.Print_Area" localSheetId="14">'NFI Distributions'!$B$5:$R$5</definedName>
    <definedName name="_xlnm.Print_Area" localSheetId="16">'NFI Summary'!$B$2:$T$58</definedName>
    <definedName name="_xlnm.Print_Area" localSheetId="12">'Shelter overview'!$A$2:$O$45</definedName>
    <definedName name="_xlnm.Print_Titles" localSheetId="8">'IDP locations (printable)'!$8:$8</definedName>
    <definedName name="_xlnm.Print_Titles" localSheetId="7">'Shelter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24" r:id="rId25"/>
    <pivotCache cacheId="25" r:id="rId26"/>
    <pivotCache cacheId="26" r:id="rId27"/>
    <pivotCache cacheId="34" r:id="rId28"/>
    <pivotCache cacheId="47" r:id="rId29"/>
  </pivotCaches>
</workbook>
</file>

<file path=xl/calcChain.xml><?xml version="1.0" encoding="utf-8"?>
<calcChain xmlns="http://schemas.openxmlformats.org/spreadsheetml/2006/main">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14"/>
  <c r="B3" i="20"/>
  <c r="B3" i="62"/>
  <c r="S8" i="19" l="1"/>
  <c r="AJ25" i="66" l="1"/>
  <c r="AJ24" i="66"/>
  <c r="AJ23" i="66"/>
  <c r="AJ21" i="66"/>
  <c r="AJ19" i="66"/>
  <c r="AJ20" i="66"/>
  <c r="AJ17" i="66"/>
  <c r="AJ15" i="66"/>
  <c r="AJ14" i="66"/>
  <c r="AJ13" i="66"/>
  <c r="AJ12" i="66"/>
  <c r="AJ11" i="66"/>
  <c r="AJ10" i="66"/>
  <c r="AJ9" i="66"/>
  <c r="AJ8" i="66"/>
  <c r="AJ7" i="66"/>
  <c r="AJ6" i="66"/>
  <c r="AJ5" i="66"/>
  <c r="AJ4" i="66"/>
  <c r="AJ3" i="66"/>
  <c r="AJ16" i="66"/>
  <c r="AJ18" i="66"/>
  <c r="AJ22" i="66"/>
  <c r="AC212" i="20"/>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N70" i="19"/>
  <c r="M70" i="19"/>
  <c r="O98" i="19"/>
  <c r="M98" i="19"/>
  <c r="P98" i="19"/>
  <c r="M15" i="19"/>
  <c r="O15" i="19"/>
  <c r="P15" i="19"/>
  <c r="M21" i="19"/>
  <c r="O21" i="19"/>
  <c r="P21" i="19"/>
  <c r="M43" i="19"/>
  <c r="O43" i="19"/>
  <c r="P43" i="19"/>
  <c r="M45" i="19"/>
  <c r="O45" i="19"/>
  <c r="P45" i="19"/>
  <c r="M47" i="19"/>
  <c r="O47" i="19"/>
  <c r="P47" i="19"/>
  <c r="M62" i="19"/>
  <c r="O62" i="19"/>
  <c r="P62" i="19"/>
  <c r="M72" i="19"/>
  <c r="O72" i="19"/>
  <c r="P72" i="19"/>
  <c r="M76" i="19"/>
  <c r="O76" i="19"/>
  <c r="P76" i="19"/>
  <c r="M81" i="19"/>
  <c r="O81" i="19"/>
  <c r="P81" i="19"/>
  <c r="M102" i="19"/>
  <c r="O102" i="19"/>
  <c r="P102" i="19"/>
  <c r="M124" i="19"/>
  <c r="P124" i="19"/>
  <c r="O124" i="19"/>
  <c r="M130" i="19"/>
  <c r="O130" i="19"/>
  <c r="P130" i="19"/>
  <c r="M135" i="19"/>
  <c r="O135" i="19"/>
  <c r="P135" i="19"/>
  <c r="M138" i="19"/>
  <c r="O138" i="19"/>
  <c r="P138" i="19"/>
  <c r="M141" i="19"/>
  <c r="O141" i="19"/>
  <c r="P141" i="19"/>
  <c r="M144" i="19"/>
  <c r="O144" i="19"/>
  <c r="P144" i="19"/>
  <c r="M166" i="19"/>
  <c r="O166" i="19"/>
  <c r="P166" i="19"/>
  <c r="G20" i="95"/>
  <c r="H98" i="19"/>
  <c r="J98" i="19"/>
  <c r="K98" i="19"/>
  <c r="H15" i="19"/>
  <c r="J15" i="19"/>
  <c r="K15" i="19"/>
  <c r="H21" i="19"/>
  <c r="J21" i="19"/>
  <c r="K21" i="19"/>
  <c r="H43" i="19"/>
  <c r="J43" i="19"/>
  <c r="K43" i="19"/>
  <c r="H45" i="19"/>
  <c r="J45" i="19"/>
  <c r="K45" i="19"/>
  <c r="H47" i="19"/>
  <c r="J47" i="19"/>
  <c r="K47" i="19"/>
  <c r="H62" i="19"/>
  <c r="J62" i="19"/>
  <c r="K62" i="19"/>
  <c r="H72" i="19"/>
  <c r="J72" i="19"/>
  <c r="K72" i="19"/>
  <c r="H76" i="19"/>
  <c r="J76" i="19"/>
  <c r="K76" i="19"/>
  <c r="H81" i="19"/>
  <c r="J81" i="19"/>
  <c r="K81" i="19"/>
  <c r="H84" i="19"/>
  <c r="J84" i="19"/>
  <c r="K84" i="19"/>
  <c r="H102" i="19"/>
  <c r="J102" i="19"/>
  <c r="K102" i="19"/>
  <c r="H124" i="19"/>
  <c r="J124" i="19"/>
  <c r="K124" i="19"/>
  <c r="H130" i="19"/>
  <c r="J130" i="19"/>
  <c r="K130" i="19"/>
  <c r="H135" i="19"/>
  <c r="J135" i="19"/>
  <c r="K135" i="19"/>
  <c r="H138" i="19"/>
  <c r="J138" i="19"/>
  <c r="K138" i="19"/>
  <c r="H141" i="19"/>
  <c r="J141" i="19"/>
  <c r="K141" i="19"/>
  <c r="H144" i="19"/>
  <c r="J144" i="19"/>
  <c r="K144" i="19"/>
  <c r="H166" i="19"/>
  <c r="J166" i="19"/>
  <c r="K166" i="19"/>
  <c r="M84" i="19"/>
  <c r="S5" i="19"/>
  <c r="S6" i="19"/>
  <c r="S7" i="19"/>
  <c r="S9" i="19"/>
  <c r="S10" i="19"/>
  <c r="S11" i="19"/>
  <c r="S12" i="19"/>
  <c r="S13" i="19"/>
  <c r="S14" i="19"/>
  <c r="C3" i="43"/>
  <c r="B4" i="91"/>
  <c r="B5" i="94"/>
  <c r="BN20" i="95"/>
  <c r="BM20" i="95"/>
  <c r="BL20" i="95"/>
  <c r="BK20" i="95"/>
  <c r="BJ20" i="95"/>
  <c r="BI20" i="95"/>
  <c r="BH20" i="95"/>
  <c r="BG20" i="95"/>
  <c r="BF20" i="95"/>
  <c r="BE20" i="95"/>
  <c r="BD20" i="95"/>
  <c r="BC20" i="95"/>
  <c r="BB20" i="95"/>
  <c r="BA20" i="95"/>
  <c r="AZ20" i="95"/>
  <c r="AY20" i="95"/>
  <c r="AX20" i="95"/>
  <c r="AW20" i="95"/>
  <c r="AV20" i="95"/>
  <c r="AU20" i="95"/>
  <c r="AT20" i="95"/>
  <c r="AS20" i="95"/>
  <c r="AR20" i="95"/>
  <c r="AQ20" i="95"/>
  <c r="AP20" i="95"/>
  <c r="AO20" i="95"/>
  <c r="AN20" i="95"/>
  <c r="AM20" i="95"/>
  <c r="AL20" i="95"/>
  <c r="AK20" i="95"/>
  <c r="AJ20" i="95"/>
  <c r="AI20" i="95"/>
  <c r="AH20" i="95"/>
  <c r="AG20" i="95"/>
  <c r="AF20" i="95"/>
  <c r="AE20" i="95"/>
  <c r="AD20" i="95"/>
  <c r="AC20" i="95"/>
  <c r="AB20" i="95"/>
  <c r="AA20" i="95"/>
  <c r="Z20" i="95"/>
  <c r="Y20" i="95"/>
  <c r="X20" i="95"/>
  <c r="W20" i="95"/>
  <c r="V20" i="95"/>
  <c r="U20" i="95"/>
  <c r="T20" i="95"/>
  <c r="S20" i="95"/>
  <c r="R20" i="95"/>
  <c r="Q20" i="95"/>
  <c r="P20" i="95"/>
  <c r="L20" i="95"/>
  <c r="K20" i="95"/>
  <c r="J20" i="95"/>
  <c r="I20" i="95"/>
  <c r="H20" i="95"/>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L166" i="19"/>
  <c r="N166" i="19"/>
  <c r="Q166" i="19"/>
  <c r="R166" i="19"/>
  <c r="I166" i="19"/>
  <c r="L144" i="19"/>
  <c r="N144" i="19"/>
  <c r="Q144" i="19"/>
  <c r="R144" i="19"/>
  <c r="I144" i="19"/>
  <c r="L141" i="19"/>
  <c r="N141" i="19"/>
  <c r="Q141" i="19"/>
  <c r="R141" i="19"/>
  <c r="I141" i="19"/>
  <c r="L138" i="19"/>
  <c r="N138" i="19"/>
  <c r="Q138" i="19"/>
  <c r="R138" i="19"/>
  <c r="I138" i="19"/>
  <c r="L135" i="19"/>
  <c r="N135" i="19"/>
  <c r="Q135" i="19"/>
  <c r="R135" i="19"/>
  <c r="I135" i="19"/>
  <c r="L130" i="19"/>
  <c r="N130" i="19"/>
  <c r="Q130" i="19"/>
  <c r="R130" i="19"/>
  <c r="I130" i="19"/>
  <c r="I124" i="19"/>
  <c r="L124" i="19"/>
  <c r="N124" i="19"/>
  <c r="Q124" i="19"/>
  <c r="R124" i="19"/>
  <c r="I102" i="19"/>
  <c r="L102" i="19"/>
  <c r="N102" i="19"/>
  <c r="Q102" i="19"/>
  <c r="R102" i="19"/>
  <c r="I98" i="19"/>
  <c r="L98" i="19"/>
  <c r="N98" i="19"/>
  <c r="Q98" i="19"/>
  <c r="R98" i="19"/>
  <c r="I84" i="19"/>
  <c r="L84" i="19"/>
  <c r="N84" i="19"/>
  <c r="O84" i="19"/>
  <c r="P84" i="19"/>
  <c r="Q84" i="19"/>
  <c r="R84" i="19"/>
  <c r="I81" i="19"/>
  <c r="L81" i="19"/>
  <c r="N81" i="19"/>
  <c r="Q81" i="19"/>
  <c r="R81" i="19"/>
  <c r="I76" i="19"/>
  <c r="L76" i="19"/>
  <c r="N76" i="19"/>
  <c r="Q76" i="19"/>
  <c r="R76" i="19"/>
  <c r="I72" i="19"/>
  <c r="L72" i="19"/>
  <c r="N72" i="19"/>
  <c r="Q72" i="19"/>
  <c r="R72" i="19"/>
  <c r="I62" i="19"/>
  <c r="L62" i="19"/>
  <c r="N62" i="19"/>
  <c r="Q62" i="19"/>
  <c r="R62" i="19"/>
  <c r="I45" i="19"/>
  <c r="L45" i="19"/>
  <c r="N45" i="19"/>
  <c r="Q45" i="19"/>
  <c r="R45" i="19"/>
  <c r="I43" i="19"/>
  <c r="L43" i="19"/>
  <c r="N43" i="19"/>
  <c r="Q43" i="19"/>
  <c r="R43" i="19"/>
  <c r="I21" i="19"/>
  <c r="L21" i="19"/>
  <c r="N21" i="19"/>
  <c r="Q21" i="19"/>
  <c r="R21" i="19"/>
  <c r="I15" i="19"/>
  <c r="L15" i="19"/>
  <c r="N15" i="19"/>
  <c r="Q15" i="19"/>
  <c r="R15" i="19"/>
  <c r="H28" i="62"/>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40"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4" i="19"/>
  <c r="V14" i="19"/>
  <c r="W14" i="19"/>
  <c r="U16" i="19"/>
  <c r="V16" i="19"/>
  <c r="W16" i="19"/>
  <c r="U17" i="19"/>
  <c r="V17" i="19"/>
  <c r="W17" i="19"/>
  <c r="U18" i="19"/>
  <c r="V18" i="19"/>
  <c r="W18" i="19"/>
  <c r="U19" i="19"/>
  <c r="V19" i="19"/>
  <c r="W19" i="19"/>
  <c r="U20" i="19"/>
  <c r="V20" i="19"/>
  <c r="W20"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39" i="19"/>
  <c r="V39" i="19"/>
  <c r="W39" i="19"/>
  <c r="U41" i="19"/>
  <c r="V41" i="19"/>
  <c r="W41" i="19"/>
  <c r="U42" i="19"/>
  <c r="V42" i="19"/>
  <c r="W42" i="19"/>
  <c r="U44" i="19"/>
  <c r="U45" i="19" s="1"/>
  <c r="V44" i="19"/>
  <c r="V45" i="19" s="1"/>
  <c r="W44" i="19"/>
  <c r="W45" i="19" s="1"/>
  <c r="U46" i="19"/>
  <c r="V46" i="19"/>
  <c r="W46" i="19"/>
  <c r="U48" i="19"/>
  <c r="V48" i="19"/>
  <c r="W48" i="19"/>
  <c r="U49" i="19"/>
  <c r="V49" i="19"/>
  <c r="W49" i="19"/>
  <c r="U50" i="19"/>
  <c r="V50" i="19"/>
  <c r="W50" i="19"/>
  <c r="U51" i="19"/>
  <c r="V51" i="19"/>
  <c r="W51" i="19"/>
  <c r="U52" i="19"/>
  <c r="V52" i="19"/>
  <c r="W52" i="19"/>
  <c r="U53" i="19"/>
  <c r="V53" i="19"/>
  <c r="W53" i="19"/>
  <c r="U54" i="19"/>
  <c r="V54" i="19"/>
  <c r="W54" i="19"/>
  <c r="U55" i="19"/>
  <c r="V55" i="19"/>
  <c r="W55" i="19"/>
  <c r="U56" i="19"/>
  <c r="V56" i="19"/>
  <c r="W56" i="19"/>
  <c r="U57" i="19"/>
  <c r="V57" i="19"/>
  <c r="W57" i="19"/>
  <c r="U58" i="19"/>
  <c r="V58" i="19"/>
  <c r="W58" i="19"/>
  <c r="U59" i="19"/>
  <c r="V59" i="19"/>
  <c r="W59" i="19"/>
  <c r="U60" i="19"/>
  <c r="V60" i="19"/>
  <c r="W60" i="19"/>
  <c r="U61" i="19"/>
  <c r="V61" i="19"/>
  <c r="W61" i="19"/>
  <c r="U63" i="19"/>
  <c r="V63" i="19"/>
  <c r="W63" i="19"/>
  <c r="U64" i="19"/>
  <c r="V64" i="19"/>
  <c r="W64" i="19"/>
  <c r="U65" i="19"/>
  <c r="V65" i="19"/>
  <c r="W65" i="19"/>
  <c r="U66" i="19"/>
  <c r="V66" i="19"/>
  <c r="W66" i="19"/>
  <c r="U67" i="19"/>
  <c r="V67" i="19"/>
  <c r="U68" i="19"/>
  <c r="V68" i="19"/>
  <c r="W68" i="19"/>
  <c r="U69" i="19"/>
  <c r="V69" i="19"/>
  <c r="W69" i="19"/>
  <c r="U70" i="19"/>
  <c r="V70" i="19"/>
  <c r="W70" i="19"/>
  <c r="U71" i="19"/>
  <c r="V71" i="19"/>
  <c r="W71" i="19"/>
  <c r="U73" i="19"/>
  <c r="V73" i="19"/>
  <c r="W73" i="19"/>
  <c r="U74" i="19"/>
  <c r="V74" i="19"/>
  <c r="W74" i="19"/>
  <c r="U75" i="19"/>
  <c r="V75" i="19"/>
  <c r="W75" i="19"/>
  <c r="U77" i="19"/>
  <c r="V77" i="19"/>
  <c r="W77" i="19"/>
  <c r="U78" i="19"/>
  <c r="V78" i="19"/>
  <c r="W78" i="19"/>
  <c r="U79" i="19"/>
  <c r="V79" i="19"/>
  <c r="W79" i="19"/>
  <c r="U80" i="19"/>
  <c r="V80" i="19"/>
  <c r="W80" i="19"/>
  <c r="U82" i="19"/>
  <c r="V82" i="19"/>
  <c r="W82" i="19"/>
  <c r="U83" i="19"/>
  <c r="V83" i="19"/>
  <c r="W83" i="19"/>
  <c r="U85" i="19"/>
  <c r="V85" i="19"/>
  <c r="W85" i="19"/>
  <c r="U86" i="19"/>
  <c r="V86" i="19"/>
  <c r="W86" i="19"/>
  <c r="U87" i="19"/>
  <c r="V87" i="19"/>
  <c r="W87" i="19"/>
  <c r="U88" i="19"/>
  <c r="V88" i="19"/>
  <c r="W88" i="19"/>
  <c r="U89" i="19"/>
  <c r="V89" i="19"/>
  <c r="W89" i="19"/>
  <c r="U90" i="19"/>
  <c r="V90" i="19"/>
  <c r="W90" i="19"/>
  <c r="U91" i="19"/>
  <c r="V91" i="19"/>
  <c r="W91" i="19"/>
  <c r="U92" i="19"/>
  <c r="V92" i="19"/>
  <c r="W92" i="19"/>
  <c r="U93" i="19"/>
  <c r="V93" i="19"/>
  <c r="W93" i="19"/>
  <c r="V94" i="19"/>
  <c r="W94" i="19"/>
  <c r="U95" i="19"/>
  <c r="V95" i="19"/>
  <c r="W95" i="19"/>
  <c r="U96" i="19"/>
  <c r="V96" i="19"/>
  <c r="W96" i="19"/>
  <c r="U97" i="19"/>
  <c r="V97" i="19"/>
  <c r="W97" i="19"/>
  <c r="U99" i="19"/>
  <c r="V99" i="19"/>
  <c r="W99" i="19"/>
  <c r="U100" i="19"/>
  <c r="V100" i="19"/>
  <c r="W100" i="19"/>
  <c r="U101" i="19"/>
  <c r="V101" i="19"/>
  <c r="W101" i="19"/>
  <c r="U103" i="19"/>
  <c r="V103" i="19"/>
  <c r="W103" i="19"/>
  <c r="U104" i="19"/>
  <c r="V104" i="19"/>
  <c r="W104" i="19"/>
  <c r="U105" i="19"/>
  <c r="V105" i="19"/>
  <c r="W105" i="19"/>
  <c r="U106" i="19"/>
  <c r="V106" i="19"/>
  <c r="W106"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0" i="19"/>
  <c r="V120" i="19"/>
  <c r="W120" i="19"/>
  <c r="U121" i="19"/>
  <c r="V121" i="19"/>
  <c r="W121" i="19"/>
  <c r="U122" i="19"/>
  <c r="V122" i="19"/>
  <c r="W122" i="19"/>
  <c r="U123" i="19"/>
  <c r="V123" i="19"/>
  <c r="W123" i="19"/>
  <c r="U125" i="19"/>
  <c r="V125" i="19"/>
  <c r="W125" i="19"/>
  <c r="U126" i="19"/>
  <c r="V126" i="19"/>
  <c r="W126" i="19"/>
  <c r="U127" i="19"/>
  <c r="V127" i="19"/>
  <c r="W127" i="19"/>
  <c r="U128" i="19"/>
  <c r="V128" i="19"/>
  <c r="W128" i="19"/>
  <c r="U129" i="19"/>
  <c r="V129" i="19"/>
  <c r="W129" i="19"/>
  <c r="U131" i="19"/>
  <c r="V131" i="19"/>
  <c r="W131" i="19"/>
  <c r="U132" i="19"/>
  <c r="V132" i="19"/>
  <c r="W132" i="19"/>
  <c r="U133" i="19"/>
  <c r="V133" i="19"/>
  <c r="W133" i="19"/>
  <c r="U134" i="19"/>
  <c r="V134" i="19"/>
  <c r="W134" i="19"/>
  <c r="U136" i="19"/>
  <c r="V136" i="19"/>
  <c r="W136" i="19"/>
  <c r="U137" i="19"/>
  <c r="V137" i="19"/>
  <c r="W137" i="19"/>
  <c r="U139" i="19"/>
  <c r="V139" i="19"/>
  <c r="W139" i="19"/>
  <c r="U140" i="19"/>
  <c r="V140" i="19"/>
  <c r="W140" i="19"/>
  <c r="U142" i="19"/>
  <c r="V142" i="19"/>
  <c r="W142" i="19"/>
  <c r="U143" i="19"/>
  <c r="V143" i="19"/>
  <c r="W143" i="19"/>
  <c r="U145" i="19"/>
  <c r="V145" i="19"/>
  <c r="W145" i="19"/>
  <c r="U146" i="19"/>
  <c r="V146" i="19"/>
  <c r="W146" i="19"/>
  <c r="U147" i="19"/>
  <c r="V147" i="19"/>
  <c r="W147" i="19"/>
  <c r="U148" i="19"/>
  <c r="V148" i="19"/>
  <c r="W148" i="19"/>
  <c r="U149" i="19"/>
  <c r="V149" i="19"/>
  <c r="W149" i="19"/>
  <c r="U150" i="19"/>
  <c r="V150" i="19"/>
  <c r="W150" i="19"/>
  <c r="U151" i="19"/>
  <c r="V151" i="19"/>
  <c r="W151" i="19"/>
  <c r="U152" i="19"/>
  <c r="V152" i="19"/>
  <c r="W152" i="19"/>
  <c r="U153" i="19"/>
  <c r="V153" i="19"/>
  <c r="W153" i="19"/>
  <c r="U154" i="19"/>
  <c r="V154" i="19"/>
  <c r="W154" i="19"/>
  <c r="U155" i="19"/>
  <c r="V155" i="19"/>
  <c r="W155" i="19"/>
  <c r="U156" i="19"/>
  <c r="V156" i="19"/>
  <c r="W156" i="19"/>
  <c r="U157" i="19"/>
  <c r="V157" i="19"/>
  <c r="W157" i="19"/>
  <c r="U158" i="19"/>
  <c r="V158" i="19"/>
  <c r="W158" i="19"/>
  <c r="U159" i="19"/>
  <c r="V159" i="19"/>
  <c r="W159" i="19"/>
  <c r="U160" i="19"/>
  <c r="V160" i="19"/>
  <c r="W160" i="19"/>
  <c r="U161" i="19"/>
  <c r="V161" i="19"/>
  <c r="W161" i="19"/>
  <c r="U162" i="19"/>
  <c r="V162" i="19"/>
  <c r="W162" i="19"/>
  <c r="U163" i="19"/>
  <c r="V163" i="19"/>
  <c r="W163" i="19"/>
  <c r="U164" i="19"/>
  <c r="V164" i="19"/>
  <c r="W164" i="19"/>
  <c r="U165" i="19"/>
  <c r="V165" i="19"/>
  <c r="W165" i="19"/>
  <c r="T5" i="19"/>
  <c r="T6" i="19"/>
  <c r="T7" i="19"/>
  <c r="T8" i="19"/>
  <c r="T9" i="19"/>
  <c r="T10" i="19"/>
  <c r="T11" i="19"/>
  <c r="T12" i="19"/>
  <c r="T13" i="19"/>
  <c r="T14" i="19"/>
  <c r="T16" i="19"/>
  <c r="T17" i="19"/>
  <c r="T18" i="19"/>
  <c r="T19" i="19"/>
  <c r="T20" i="19"/>
  <c r="T22" i="19"/>
  <c r="T23" i="19"/>
  <c r="T24" i="19"/>
  <c r="T25" i="19"/>
  <c r="T26" i="19"/>
  <c r="T27" i="19"/>
  <c r="T28" i="19"/>
  <c r="T29" i="19"/>
  <c r="T30" i="19"/>
  <c r="T31" i="19"/>
  <c r="T32" i="19"/>
  <c r="T33" i="19"/>
  <c r="T34" i="19"/>
  <c r="T35" i="19"/>
  <c r="T36" i="19"/>
  <c r="T37" i="19"/>
  <c r="T38" i="19"/>
  <c r="T39" i="19"/>
  <c r="T41" i="19"/>
  <c r="T42" i="19"/>
  <c r="T44" i="19"/>
  <c r="T45" i="19" s="1"/>
  <c r="T46" i="19"/>
  <c r="T48" i="19"/>
  <c r="T49" i="19"/>
  <c r="T50" i="19"/>
  <c r="T51" i="19"/>
  <c r="T52" i="19"/>
  <c r="T53" i="19"/>
  <c r="T54" i="19"/>
  <c r="T55" i="19"/>
  <c r="T56" i="19"/>
  <c r="T57" i="19"/>
  <c r="T58" i="19"/>
  <c r="T59" i="19"/>
  <c r="T60" i="19"/>
  <c r="T61" i="19"/>
  <c r="T63" i="19"/>
  <c r="T64" i="19"/>
  <c r="T65" i="19"/>
  <c r="T66" i="19"/>
  <c r="T67" i="19"/>
  <c r="T68" i="19"/>
  <c r="T69" i="19"/>
  <c r="T70" i="19"/>
  <c r="T71" i="19"/>
  <c r="T73" i="19"/>
  <c r="T74" i="19"/>
  <c r="T75" i="19"/>
  <c r="T77" i="19"/>
  <c r="T78" i="19"/>
  <c r="T79" i="19"/>
  <c r="T80" i="19"/>
  <c r="T82" i="19"/>
  <c r="T83" i="19"/>
  <c r="T85" i="19"/>
  <c r="T86" i="19"/>
  <c r="T87" i="19"/>
  <c r="T88" i="19"/>
  <c r="T89" i="19"/>
  <c r="T90" i="19"/>
  <c r="T91" i="19"/>
  <c r="T92" i="19"/>
  <c r="T93" i="19"/>
  <c r="T94" i="19"/>
  <c r="T95" i="19"/>
  <c r="T96" i="19"/>
  <c r="T97" i="19"/>
  <c r="T99" i="19"/>
  <c r="T100" i="19"/>
  <c r="T101" i="19"/>
  <c r="T103" i="19"/>
  <c r="T104" i="19"/>
  <c r="T105" i="19"/>
  <c r="T106" i="19"/>
  <c r="T107" i="19"/>
  <c r="T108" i="19"/>
  <c r="T109" i="19"/>
  <c r="T110" i="19"/>
  <c r="T111" i="19"/>
  <c r="T112" i="19"/>
  <c r="T113" i="19"/>
  <c r="T114" i="19"/>
  <c r="T115" i="19"/>
  <c r="T116" i="19"/>
  <c r="T117" i="19"/>
  <c r="T118" i="19"/>
  <c r="T119" i="19"/>
  <c r="T120" i="19"/>
  <c r="T121" i="19"/>
  <c r="T122" i="19"/>
  <c r="T123" i="19"/>
  <c r="T125" i="19"/>
  <c r="T126" i="19"/>
  <c r="T127" i="19"/>
  <c r="T128" i="19"/>
  <c r="T129" i="19"/>
  <c r="T131" i="19"/>
  <c r="T132" i="19"/>
  <c r="T133" i="19"/>
  <c r="T134" i="19"/>
  <c r="T136" i="19"/>
  <c r="T137" i="19"/>
  <c r="T139" i="19"/>
  <c r="T140" i="19"/>
  <c r="T142" i="19"/>
  <c r="T143" i="19"/>
  <c r="T145" i="19"/>
  <c r="T146" i="19"/>
  <c r="T147" i="19"/>
  <c r="T148" i="19"/>
  <c r="T149" i="19"/>
  <c r="T150" i="19"/>
  <c r="T151" i="19"/>
  <c r="T152" i="19"/>
  <c r="T153" i="19"/>
  <c r="T154" i="19"/>
  <c r="T155" i="19"/>
  <c r="T156" i="19"/>
  <c r="T157" i="19"/>
  <c r="T158" i="19"/>
  <c r="T159" i="19"/>
  <c r="T160" i="19"/>
  <c r="T161" i="19"/>
  <c r="T162" i="19"/>
  <c r="T163" i="19"/>
  <c r="T164" i="19"/>
  <c r="T165" i="19"/>
  <c r="S16" i="19"/>
  <c r="S17" i="19"/>
  <c r="S18" i="19"/>
  <c r="S19" i="19"/>
  <c r="S20" i="19"/>
  <c r="S22" i="19"/>
  <c r="S23" i="19"/>
  <c r="S24" i="19"/>
  <c r="S25" i="19"/>
  <c r="S26" i="19"/>
  <c r="S27" i="19"/>
  <c r="S28" i="19"/>
  <c r="S29" i="19"/>
  <c r="S30" i="19"/>
  <c r="S31" i="19"/>
  <c r="S32" i="19"/>
  <c r="S33" i="19"/>
  <c r="S34" i="19"/>
  <c r="S35" i="19"/>
  <c r="S36" i="19"/>
  <c r="S37" i="19"/>
  <c r="S38" i="19"/>
  <c r="S39" i="19"/>
  <c r="S41" i="19"/>
  <c r="S42" i="19"/>
  <c r="S44" i="19"/>
  <c r="S45" i="19" s="1"/>
  <c r="S46" i="19"/>
  <c r="S48" i="19"/>
  <c r="S49" i="19"/>
  <c r="S50" i="19"/>
  <c r="S51" i="19"/>
  <c r="S52" i="19"/>
  <c r="S53" i="19"/>
  <c r="S54" i="19"/>
  <c r="S55" i="19"/>
  <c r="S56" i="19"/>
  <c r="S57" i="19"/>
  <c r="S58" i="19"/>
  <c r="S59" i="19"/>
  <c r="S60" i="19"/>
  <c r="S61" i="19"/>
  <c r="S63" i="19"/>
  <c r="S64" i="19"/>
  <c r="S65" i="19"/>
  <c r="S66" i="19"/>
  <c r="S67" i="19"/>
  <c r="S68" i="19"/>
  <c r="S69" i="19"/>
  <c r="S70" i="19"/>
  <c r="S71" i="19"/>
  <c r="S73" i="19"/>
  <c r="S74" i="19"/>
  <c r="S75" i="19"/>
  <c r="S77" i="19"/>
  <c r="S78" i="19"/>
  <c r="S79" i="19"/>
  <c r="S80" i="19"/>
  <c r="S82" i="19"/>
  <c r="S83" i="19"/>
  <c r="S85" i="19"/>
  <c r="S86" i="19"/>
  <c r="S87" i="19"/>
  <c r="S88" i="19"/>
  <c r="S89" i="19"/>
  <c r="S90" i="19"/>
  <c r="S91" i="19"/>
  <c r="S92" i="19"/>
  <c r="S93" i="19"/>
  <c r="S94" i="19"/>
  <c r="S95" i="19"/>
  <c r="S96" i="19"/>
  <c r="S97" i="19"/>
  <c r="S99" i="19"/>
  <c r="S100" i="19"/>
  <c r="S101" i="19"/>
  <c r="S103" i="19"/>
  <c r="S104" i="19"/>
  <c r="S105" i="19"/>
  <c r="S106" i="19"/>
  <c r="S107" i="19"/>
  <c r="S108" i="19"/>
  <c r="S109" i="19"/>
  <c r="S110" i="19"/>
  <c r="S111" i="19"/>
  <c r="S112" i="19"/>
  <c r="S113" i="19"/>
  <c r="S114" i="19"/>
  <c r="S115" i="19"/>
  <c r="S116" i="19"/>
  <c r="S117" i="19"/>
  <c r="S118" i="19"/>
  <c r="S119" i="19"/>
  <c r="S120" i="19"/>
  <c r="S121" i="19"/>
  <c r="S122" i="19"/>
  <c r="S123" i="19"/>
  <c r="S125" i="19"/>
  <c r="S126" i="19"/>
  <c r="S127" i="19"/>
  <c r="S128" i="19"/>
  <c r="S129" i="19"/>
  <c r="S131" i="19"/>
  <c r="S132" i="19"/>
  <c r="S133" i="19"/>
  <c r="S134" i="19"/>
  <c r="S136" i="19"/>
  <c r="S137" i="19"/>
  <c r="S139" i="19"/>
  <c r="S140" i="19"/>
  <c r="S142" i="19"/>
  <c r="S143" i="19"/>
  <c r="S145" i="19"/>
  <c r="S146" i="19"/>
  <c r="S147" i="19"/>
  <c r="S148" i="19"/>
  <c r="S149" i="19"/>
  <c r="S150" i="19"/>
  <c r="S151" i="19"/>
  <c r="S152" i="19"/>
  <c r="S153" i="19"/>
  <c r="S154" i="19"/>
  <c r="S155" i="19"/>
  <c r="S156" i="19"/>
  <c r="S157" i="19"/>
  <c r="S158" i="19"/>
  <c r="S159" i="19"/>
  <c r="S160" i="19"/>
  <c r="S161" i="19"/>
  <c r="S162" i="19"/>
  <c r="S163" i="19"/>
  <c r="S164" i="19"/>
  <c r="S165" i="19"/>
  <c r="Q47" i="19"/>
  <c r="N47" i="19"/>
  <c r="L47" i="19"/>
  <c r="I47" i="19"/>
  <c r="R47" i="19"/>
  <c r="AP110" i="20"/>
  <c r="AT110" i="20"/>
  <c r="AP107" i="20"/>
  <c r="AT107" i="20"/>
  <c r="AP104" i="20"/>
  <c r="AP105" i="20"/>
  <c r="AP103" i="20"/>
  <c r="AT104" i="20"/>
  <c r="AT105" i="20"/>
  <c r="AT103" i="20"/>
  <c r="AP106" i="20"/>
  <c r="AT106" i="20"/>
  <c r="T284" i="14"/>
  <c r="AF284" i="14"/>
  <c r="AP100" i="20"/>
  <c r="AT100" i="20"/>
  <c r="AP101" i="20"/>
  <c r="AT101" i="20"/>
  <c r="AP102" i="20"/>
  <c r="AT102" i="20"/>
  <c r="AP98" i="20"/>
  <c r="AT98" i="20"/>
  <c r="AP97" i="20"/>
  <c r="AT97" i="20"/>
  <c r="AP96" i="20"/>
  <c r="AT96" i="20"/>
  <c r="AP99" i="20"/>
  <c r="AT99" i="20"/>
  <c r="T290" i="14"/>
  <c r="AD290" i="14"/>
  <c r="AE290" i="14"/>
  <c r="AF290" i="14" s="1"/>
  <c r="T283" i="14"/>
  <c r="AE283" i="14"/>
  <c r="AF283" i="14" s="1"/>
  <c r="AP85" i="20"/>
  <c r="AT85" i="20"/>
  <c r="AP86" i="20"/>
  <c r="AT86" i="20"/>
  <c r="AP89" i="20"/>
  <c r="AT89" i="20"/>
  <c r="AP90" i="20"/>
  <c r="AT90" i="20"/>
  <c r="AP91" i="20"/>
  <c r="AT91" i="20"/>
  <c r="AP92" i="20"/>
  <c r="AT92" i="20"/>
  <c r="AP93" i="20"/>
  <c r="AT93" i="20"/>
  <c r="T281" i="14"/>
  <c r="AE281" i="14"/>
  <c r="AF281" i="14" s="1"/>
  <c r="AP84" i="20"/>
  <c r="AT84" i="20"/>
  <c r="AP82" i="20"/>
  <c r="AP83" i="20"/>
  <c r="AT82" i="20"/>
  <c r="AT83" i="20"/>
  <c r="AP87" i="20"/>
  <c r="AT87" i="20"/>
  <c r="AP88" i="20"/>
  <c r="AT88" i="20"/>
  <c r="AP95" i="20"/>
  <c r="AT95" i="20"/>
  <c r="AP94" i="20"/>
  <c r="AT94" i="20"/>
  <c r="Z5" i="33"/>
  <c r="T32" i="14"/>
  <c r="AE32" i="14"/>
  <c r="AF32" i="14" s="1"/>
  <c r="AP81" i="20"/>
  <c r="AT81" i="20"/>
  <c r="Q3" i="62"/>
  <c r="G28" i="62"/>
  <c r="CD30" i="62"/>
  <c r="AR39" i="43"/>
  <c r="X4" i="33"/>
  <c r="B16" i="92"/>
  <c r="B15" i="92"/>
  <c r="Z7" i="33"/>
  <c r="B20" i="92"/>
  <c r="B19" i="92"/>
  <c r="B12" i="92"/>
  <c r="B11" i="92"/>
  <c r="B10" i="92"/>
  <c r="B9" i="92"/>
  <c r="B3" i="92"/>
  <c r="B4" i="92"/>
  <c r="B5" i="92"/>
  <c r="B2" i="92"/>
  <c r="Z3" i="66"/>
  <c r="D45" i="94"/>
  <c r="F48" i="94"/>
  <c r="F47" i="94"/>
  <c r="F46" i="94"/>
  <c r="F45" i="94"/>
  <c r="H45" i="94" s="1"/>
  <c r="D48" i="94"/>
  <c r="D47" i="94"/>
  <c r="D46" i="94"/>
  <c r="E48" i="94"/>
  <c r="G48" i="94" s="1"/>
  <c r="E47" i="94"/>
  <c r="C47" i="94"/>
  <c r="E46" i="94"/>
  <c r="E45" i="94"/>
  <c r="G45" i="94" s="1"/>
  <c r="C48" i="94"/>
  <c r="C46" i="94"/>
  <c r="C45" i="94"/>
  <c r="D34" i="94"/>
  <c r="Y10" i="66" s="1"/>
  <c r="D35" i="94"/>
  <c r="AI13" i="66" s="1"/>
  <c r="D36" i="94"/>
  <c r="AI17" i="66" s="1"/>
  <c r="D37" i="94"/>
  <c r="AI19" i="66" s="1"/>
  <c r="D38" i="94"/>
  <c r="AI7" i="66" s="1"/>
  <c r="D39" i="94"/>
  <c r="Y20" i="66" s="1"/>
  <c r="D33" i="94"/>
  <c r="AI6" i="66" s="1"/>
  <c r="E34" i="94"/>
  <c r="AG10" i="66" s="1"/>
  <c r="Z11" i="66" s="1"/>
  <c r="E35" i="94"/>
  <c r="AG13" i="66" s="1"/>
  <c r="Z14" i="66" s="1"/>
  <c r="E36" i="94"/>
  <c r="AG17" i="66" s="1"/>
  <c r="Z18" i="66" s="1"/>
  <c r="E37" i="94"/>
  <c r="AG19" i="66"/>
  <c r="Z20" i="66" s="1"/>
  <c r="E38" i="94"/>
  <c r="AG7" i="66" s="1"/>
  <c r="Z8" i="66" s="1"/>
  <c r="E39" i="94"/>
  <c r="AG20" i="66" s="1"/>
  <c r="Z21" i="66" s="1"/>
  <c r="E33" i="94"/>
  <c r="AG6" i="66" s="1"/>
  <c r="Z7" i="66" s="1"/>
  <c r="C34" i="94"/>
  <c r="X10" i="66" s="1"/>
  <c r="C35" i="94"/>
  <c r="C36" i="94"/>
  <c r="X17" i="66" s="1"/>
  <c r="C37" i="94"/>
  <c r="X19" i="66" s="1"/>
  <c r="C38" i="94"/>
  <c r="X7" i="66" s="1"/>
  <c r="C39" i="94"/>
  <c r="X20" i="66" s="1"/>
  <c r="C33" i="94"/>
  <c r="X6" i="66" s="1"/>
  <c r="E16" i="94"/>
  <c r="AG4" i="66" s="1"/>
  <c r="Z5" i="66" s="1"/>
  <c r="E17" i="94"/>
  <c r="AG5" i="66"/>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D16" i="94"/>
  <c r="AI4" i="66" s="1"/>
  <c r="D17" i="94"/>
  <c r="Y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Y24" i="66" s="1"/>
  <c r="D30" i="94"/>
  <c r="AI25" i="66" s="1"/>
  <c r="D15" i="94"/>
  <c r="Y3" i="66" s="1"/>
  <c r="C17" i="94"/>
  <c r="X5" i="66" s="1"/>
  <c r="C18" i="94"/>
  <c r="X8" i="66" s="1"/>
  <c r="C19" i="94"/>
  <c r="X9" i="66" s="1"/>
  <c r="C20" i="94"/>
  <c r="X11" i="66" s="1"/>
  <c r="C21" i="94"/>
  <c r="X12" i="66" s="1"/>
  <c r="C22" i="94"/>
  <c r="X14" i="66"/>
  <c r="C23" i="94"/>
  <c r="X15" i="66" s="1"/>
  <c r="C24" i="94"/>
  <c r="X16" i="66" s="1"/>
  <c r="C25" i="94"/>
  <c r="X18" i="66" s="1"/>
  <c r="C26" i="94"/>
  <c r="X21" i="66" s="1"/>
  <c r="C27" i="94"/>
  <c r="X22" i="66" s="1"/>
  <c r="C28" i="94"/>
  <c r="X23" i="66" s="1"/>
  <c r="C29" i="94"/>
  <c r="X24" i="66" s="1"/>
  <c r="C30" i="94"/>
  <c r="X25" i="66" s="1"/>
  <c r="C16" i="94"/>
  <c r="X4" i="66" s="1"/>
  <c r="C15" i="94"/>
  <c r="X3" i="66" s="1"/>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49" i="92"/>
  <c r="B48" i="92"/>
  <c r="B47" i="92"/>
  <c r="B46" i="92"/>
  <c r="B45" i="92"/>
  <c r="B44" i="92"/>
  <c r="B43" i="92"/>
  <c r="T276" i="14"/>
  <c r="AD276" i="14"/>
  <c r="AE276" i="14"/>
  <c r="AF276" i="14" s="1"/>
  <c r="T277" i="14"/>
  <c r="AD277" i="14"/>
  <c r="AE277" i="14"/>
  <c r="AF277" i="14" s="1"/>
  <c r="T278" i="14"/>
  <c r="AD278" i="14"/>
  <c r="AE278" i="14"/>
  <c r="AF278" i="14" s="1"/>
  <c r="T279" i="14"/>
  <c r="AD279" i="14"/>
  <c r="AE279" i="14"/>
  <c r="AF279" i="14" s="1"/>
  <c r="B40" i="92"/>
  <c r="B39" i="92"/>
  <c r="B38" i="92"/>
  <c r="B37" i="92"/>
  <c r="B36" i="92"/>
  <c r="B35" i="92"/>
  <c r="B34" i="92"/>
  <c r="B33" i="92"/>
  <c r="B32" i="92"/>
  <c r="B31" i="92"/>
  <c r="B30" i="92"/>
  <c r="B29" i="92"/>
  <c r="B28" i="92"/>
  <c r="B27" i="92"/>
  <c r="B26" i="92"/>
  <c r="B25"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91" i="14"/>
  <c r="AF291" i="14" s="1"/>
  <c r="AD291" i="14"/>
  <c r="T291" i="14"/>
  <c r="AE289" i="14"/>
  <c r="AF289" i="14" s="1"/>
  <c r="AD289" i="14"/>
  <c r="T289" i="14"/>
  <c r="AE288" i="14"/>
  <c r="AF288" i="14" s="1"/>
  <c r="AD288" i="14"/>
  <c r="T288" i="14"/>
  <c r="AE287" i="14"/>
  <c r="AF287" i="14" s="1"/>
  <c r="AD287" i="14"/>
  <c r="T287" i="14"/>
  <c r="AE286" i="14"/>
  <c r="AF286" i="14" s="1"/>
  <c r="AD286" i="14"/>
  <c r="T286" i="14"/>
  <c r="AE285" i="14"/>
  <c r="AF285" i="14" s="1"/>
  <c r="AD285" i="14"/>
  <c r="T285" i="14"/>
  <c r="AE189" i="14"/>
  <c r="AF189" i="14" s="1"/>
  <c r="AD189" i="14"/>
  <c r="T189" i="14"/>
  <c r="AE121" i="14"/>
  <c r="AF121" i="14" s="1"/>
  <c r="AD121" i="14"/>
  <c r="T121" i="14"/>
  <c r="AE159" i="14"/>
  <c r="AF159" i="14" s="1"/>
  <c r="AD159" i="14"/>
  <c r="T159" i="14"/>
  <c r="AE47" i="14"/>
  <c r="AF47" i="14" s="1"/>
  <c r="AD47" i="14"/>
  <c r="T47" i="14"/>
  <c r="AE280" i="14"/>
  <c r="AF280" i="14" s="1"/>
  <c r="AD280" i="14"/>
  <c r="T280" i="14"/>
  <c r="AE169" i="14"/>
  <c r="AF169" i="14" s="1"/>
  <c r="AD169" i="14"/>
  <c r="T169" i="14"/>
  <c r="AE38" i="14"/>
  <c r="AF38" i="14" s="1"/>
  <c r="AD38" i="14"/>
  <c r="T38" i="14"/>
  <c r="AE200" i="14"/>
  <c r="AF200" i="14" s="1"/>
  <c r="AD200" i="14"/>
  <c r="T200" i="14"/>
  <c r="AE111" i="14"/>
  <c r="AF111" i="14" s="1"/>
  <c r="AD111" i="14"/>
  <c r="T111" i="14"/>
  <c r="AE213" i="14"/>
  <c r="AF213" i="14" s="1"/>
  <c r="AD213" i="14"/>
  <c r="T213" i="14"/>
  <c r="AE244" i="14"/>
  <c r="AF244" i="14" s="1"/>
  <c r="AD244" i="14"/>
  <c r="T244" i="14"/>
  <c r="AE273" i="14"/>
  <c r="AF273" i="14" s="1"/>
  <c r="AD273" i="14"/>
  <c r="T273" i="14"/>
  <c r="AE272" i="14"/>
  <c r="AF272" i="14" s="1"/>
  <c r="AD272" i="14"/>
  <c r="T272" i="14"/>
  <c r="AE271" i="14"/>
  <c r="AF271" i="14" s="1"/>
  <c r="AD271" i="14"/>
  <c r="T271" i="14"/>
  <c r="AE270" i="14"/>
  <c r="AF270" i="14" s="1"/>
  <c r="AD270" i="14"/>
  <c r="T270" i="14"/>
  <c r="AE120" i="14"/>
  <c r="AF120" i="14" s="1"/>
  <c r="AD120" i="14"/>
  <c r="T120" i="14"/>
  <c r="AE268" i="14"/>
  <c r="AF268" i="14" s="1"/>
  <c r="AD268" i="14"/>
  <c r="T268" i="14"/>
  <c r="AE267" i="14"/>
  <c r="AF267" i="14" s="1"/>
  <c r="AD267" i="14"/>
  <c r="T267" i="14"/>
  <c r="AE266" i="14"/>
  <c r="AF266" i="14" s="1"/>
  <c r="AD266" i="14"/>
  <c r="T266" i="14"/>
  <c r="AE265" i="14"/>
  <c r="AF265" i="14" s="1"/>
  <c r="AD265" i="14"/>
  <c r="T265" i="14"/>
  <c r="AE264" i="14"/>
  <c r="AF264" i="14" s="1"/>
  <c r="AD264" i="14"/>
  <c r="T264" i="14"/>
  <c r="AE263" i="14"/>
  <c r="AF263" i="14" s="1"/>
  <c r="AD263" i="14"/>
  <c r="T263" i="14"/>
  <c r="AE262" i="14"/>
  <c r="AF262" i="14" s="1"/>
  <c r="AD262" i="14"/>
  <c r="T262" i="14"/>
  <c r="AE261" i="14"/>
  <c r="AF261" i="14" s="1"/>
  <c r="AD261" i="14"/>
  <c r="T261" i="14"/>
  <c r="AE260" i="14"/>
  <c r="AF260" i="14" s="1"/>
  <c r="AD260" i="14"/>
  <c r="T260" i="14"/>
  <c r="AE259" i="14"/>
  <c r="AF259" i="14" s="1"/>
  <c r="AD259" i="14"/>
  <c r="T259" i="14"/>
  <c r="AE258" i="14"/>
  <c r="AF258" i="14" s="1"/>
  <c r="AD258" i="14"/>
  <c r="T258" i="14"/>
  <c r="AE257" i="14"/>
  <c r="AF257" i="14" s="1"/>
  <c r="AD257" i="14"/>
  <c r="T257" i="14"/>
  <c r="AE256" i="14"/>
  <c r="AF256" i="14" s="1"/>
  <c r="AD256" i="14"/>
  <c r="T256" i="14"/>
  <c r="AE255" i="14"/>
  <c r="AF255" i="14" s="1"/>
  <c r="AD255" i="14"/>
  <c r="T255" i="14"/>
  <c r="AE254" i="14"/>
  <c r="AF254" i="14" s="1"/>
  <c r="AD254" i="14"/>
  <c r="T254" i="14"/>
  <c r="AE211" i="14"/>
  <c r="AF211" i="14" s="1"/>
  <c r="AD211" i="14"/>
  <c r="T211" i="14"/>
  <c r="AE208" i="14"/>
  <c r="AF208" i="14" s="1"/>
  <c r="AD208" i="14"/>
  <c r="T208" i="14"/>
  <c r="AE251" i="14"/>
  <c r="AF251" i="14" s="1"/>
  <c r="AD251" i="14"/>
  <c r="T251" i="14"/>
  <c r="AE250" i="14"/>
  <c r="AF250" i="14" s="1"/>
  <c r="AD250" i="14"/>
  <c r="T250" i="14"/>
  <c r="AE275" i="14"/>
  <c r="AF275" i="14" s="1"/>
  <c r="T275" i="14"/>
  <c r="AE248" i="14"/>
  <c r="AF248" i="14" s="1"/>
  <c r="T248" i="14"/>
  <c r="AE274" i="14"/>
  <c r="AF274" i="14" s="1"/>
  <c r="T274" i="14"/>
  <c r="AE246" i="14"/>
  <c r="AF246" i="14" s="1"/>
  <c r="T246" i="14"/>
  <c r="AE245" i="14"/>
  <c r="AF245" i="14" s="1"/>
  <c r="AD245" i="14"/>
  <c r="T245" i="14"/>
  <c r="AE114" i="14"/>
  <c r="AF114" i="14" s="1"/>
  <c r="AD114" i="14"/>
  <c r="T114" i="14"/>
  <c r="AE249" i="14"/>
  <c r="AF249" i="14" s="1"/>
  <c r="AD249" i="14"/>
  <c r="T249" i="14"/>
  <c r="AE247" i="14"/>
  <c r="AF247" i="14" s="1"/>
  <c r="AD247" i="14"/>
  <c r="T247" i="14"/>
  <c r="AE243" i="14"/>
  <c r="AF243" i="14" s="1"/>
  <c r="AD243" i="14"/>
  <c r="T243" i="14"/>
  <c r="AE118" i="14"/>
  <c r="AF118" i="14" s="1"/>
  <c r="AD118" i="14"/>
  <c r="T118" i="14"/>
  <c r="AE239" i="14"/>
  <c r="AF239" i="14" s="1"/>
  <c r="AD239" i="14"/>
  <c r="T239" i="14"/>
  <c r="AE112" i="14"/>
  <c r="AF112" i="14" s="1"/>
  <c r="AD112" i="14"/>
  <c r="T112" i="14"/>
  <c r="AE64" i="14"/>
  <c r="AF64" i="14" s="1"/>
  <c r="AD64" i="14"/>
  <c r="T64" i="14"/>
  <c r="AE87" i="14"/>
  <c r="AF87" i="14" s="1"/>
  <c r="AD87" i="14"/>
  <c r="T87" i="14"/>
  <c r="AE235" i="14"/>
  <c r="AF235" i="14" s="1"/>
  <c r="AD235" i="14"/>
  <c r="T235" i="14"/>
  <c r="AE234" i="14"/>
  <c r="AF234" i="14" s="1"/>
  <c r="AD234" i="14"/>
  <c r="T234" i="14"/>
  <c r="AE233" i="14"/>
  <c r="AF233" i="14" s="1"/>
  <c r="AD233" i="14"/>
  <c r="T233" i="14"/>
  <c r="AE86" i="14"/>
  <c r="AF86" i="14" s="1"/>
  <c r="AD86" i="14"/>
  <c r="T86" i="14"/>
  <c r="AE231" i="14"/>
  <c r="AF231" i="14" s="1"/>
  <c r="AD231" i="14"/>
  <c r="T231" i="14"/>
  <c r="AE229" i="14"/>
  <c r="AF229" i="14" s="1"/>
  <c r="AD229" i="14"/>
  <c r="T229" i="14"/>
  <c r="AE36" i="14"/>
  <c r="AF36" i="14" s="1"/>
  <c r="AD36" i="14"/>
  <c r="T36" i="14"/>
  <c r="AE207" i="14"/>
  <c r="AF207" i="14" s="1"/>
  <c r="AD207" i="14"/>
  <c r="T207" i="14"/>
  <c r="AE193" i="14"/>
  <c r="AF193" i="14" s="1"/>
  <c r="AD193" i="14"/>
  <c r="T193" i="14"/>
  <c r="AE269" i="14"/>
  <c r="AF269" i="14" s="1"/>
  <c r="AD269" i="14"/>
  <c r="T269" i="14"/>
  <c r="AE130" i="14"/>
  <c r="AF130" i="14" s="1"/>
  <c r="AD130" i="14"/>
  <c r="T130" i="14"/>
  <c r="AE215" i="14"/>
  <c r="AF215" i="14" s="1"/>
  <c r="AD215" i="14"/>
  <c r="T215" i="14"/>
  <c r="AE209" i="14"/>
  <c r="AF209" i="14" s="1"/>
  <c r="AD209" i="14"/>
  <c r="T209" i="14"/>
  <c r="AE187" i="14"/>
  <c r="AF187" i="14" s="1"/>
  <c r="AD187" i="14"/>
  <c r="T187" i="14"/>
  <c r="AE85" i="14"/>
  <c r="AF85" i="14" s="1"/>
  <c r="AD85" i="14"/>
  <c r="T85" i="14"/>
  <c r="AE237" i="14"/>
  <c r="AF237" i="14" s="1"/>
  <c r="AD237" i="14"/>
  <c r="T237" i="14"/>
  <c r="AE214" i="14"/>
  <c r="AF214" i="14" s="1"/>
  <c r="AD214" i="14"/>
  <c r="T214" i="14"/>
  <c r="AE232" i="14"/>
  <c r="AF232" i="14" s="1"/>
  <c r="AD232" i="14"/>
  <c r="T232" i="14"/>
  <c r="AE182" i="14"/>
  <c r="AF182" i="14" s="1"/>
  <c r="AD182" i="14"/>
  <c r="T182" i="14"/>
  <c r="AE178" i="14"/>
  <c r="AF178" i="14" s="1"/>
  <c r="AD178" i="14"/>
  <c r="T178" i="14"/>
  <c r="AE227" i="14"/>
  <c r="AF227" i="14" s="1"/>
  <c r="AD227" i="14"/>
  <c r="T227" i="14"/>
  <c r="AE177" i="14"/>
  <c r="AF177" i="14" s="1"/>
  <c r="AD177" i="14"/>
  <c r="T177" i="14"/>
  <c r="AE225" i="14"/>
  <c r="AF225" i="14" s="1"/>
  <c r="AD225" i="14"/>
  <c r="T225" i="14"/>
  <c r="AE176" i="14"/>
  <c r="AF176" i="14" s="1"/>
  <c r="AD176" i="14"/>
  <c r="T176" i="14"/>
  <c r="AE223" i="14"/>
  <c r="AF223" i="14" s="1"/>
  <c r="AD223" i="14"/>
  <c r="T223" i="14"/>
  <c r="AE222" i="14"/>
  <c r="AF222" i="14" s="1"/>
  <c r="AD222" i="14"/>
  <c r="T222" i="14"/>
  <c r="AE221" i="14"/>
  <c r="AF221" i="14" s="1"/>
  <c r="AD221" i="14"/>
  <c r="T221" i="14"/>
  <c r="AE168" i="14"/>
  <c r="AF168" i="14" s="1"/>
  <c r="AD168" i="14"/>
  <c r="T168" i="14"/>
  <c r="AE153" i="14"/>
  <c r="AF153" i="14" s="1"/>
  <c r="AD153" i="14"/>
  <c r="T153" i="14"/>
  <c r="AE135" i="14"/>
  <c r="AF135" i="14" s="1"/>
  <c r="AD135" i="14"/>
  <c r="T135" i="14"/>
  <c r="AE217" i="14"/>
  <c r="AF217" i="14" s="1"/>
  <c r="AD217" i="14"/>
  <c r="T217" i="14"/>
  <c r="AE142" i="14"/>
  <c r="AF142" i="14" s="1"/>
  <c r="AD142" i="14"/>
  <c r="T142" i="14"/>
  <c r="AE199" i="14"/>
  <c r="AF199" i="14" s="1"/>
  <c r="AD199" i="14"/>
  <c r="T199" i="14"/>
  <c r="AE198" i="14"/>
  <c r="AF198" i="14" s="1"/>
  <c r="AD198" i="14"/>
  <c r="T198" i="14"/>
  <c r="AE74" i="14"/>
  <c r="AF74" i="14" s="1"/>
  <c r="AD74" i="14"/>
  <c r="T74" i="14"/>
  <c r="AE195" i="14"/>
  <c r="AF195" i="14" s="1"/>
  <c r="AD195" i="14"/>
  <c r="T195" i="14"/>
  <c r="AE194" i="14"/>
  <c r="AF194" i="14" s="1"/>
  <c r="AD194" i="14"/>
  <c r="T194" i="14"/>
  <c r="AE242" i="14"/>
  <c r="AF242" i="14" s="1"/>
  <c r="AD242" i="14"/>
  <c r="T242" i="14"/>
  <c r="AE192" i="14"/>
  <c r="AF192" i="14" s="1"/>
  <c r="AD192" i="14"/>
  <c r="T192" i="14"/>
  <c r="AE146" i="14"/>
  <c r="AF146" i="14" s="1"/>
  <c r="AD146" i="14"/>
  <c r="T146" i="14"/>
  <c r="AE141" i="14"/>
  <c r="AF141" i="14" s="1"/>
  <c r="AD141" i="14"/>
  <c r="T141" i="14"/>
  <c r="AE19" i="14"/>
  <c r="AF19" i="14" s="1"/>
  <c r="AD19" i="14"/>
  <c r="T19" i="14"/>
  <c r="AE161" i="14"/>
  <c r="AF161" i="14" s="1"/>
  <c r="AD161" i="14"/>
  <c r="T161" i="14"/>
  <c r="AE241" i="14"/>
  <c r="AF241" i="14" s="1"/>
  <c r="AD241" i="14"/>
  <c r="T241" i="14"/>
  <c r="AE191" i="14"/>
  <c r="AF191" i="14" s="1"/>
  <c r="AD191" i="14"/>
  <c r="T191" i="14"/>
  <c r="AE236" i="14"/>
  <c r="AF236" i="14" s="1"/>
  <c r="AD236" i="14"/>
  <c r="T236" i="14"/>
  <c r="AE184" i="14"/>
  <c r="AF184" i="14" s="1"/>
  <c r="AD184" i="14"/>
  <c r="T184" i="14"/>
  <c r="AE149" i="14"/>
  <c r="AF149" i="14" s="1"/>
  <c r="AD149" i="14"/>
  <c r="T149" i="14"/>
  <c r="AE240" i="14"/>
  <c r="AF240" i="14" s="1"/>
  <c r="AD240" i="14"/>
  <c r="T240" i="14"/>
  <c r="AE197" i="14"/>
  <c r="AF197" i="14" s="1"/>
  <c r="AD197" i="14"/>
  <c r="T197" i="14"/>
  <c r="AE196" i="14"/>
  <c r="AF196" i="14" s="1"/>
  <c r="AD196" i="14"/>
  <c r="T196" i="14"/>
  <c r="AE179" i="14"/>
  <c r="AF179" i="14" s="1"/>
  <c r="AD179" i="14"/>
  <c r="T179" i="14"/>
  <c r="AE230" i="14"/>
  <c r="AF230" i="14" s="1"/>
  <c r="AD230" i="14"/>
  <c r="T230" i="14"/>
  <c r="AE62" i="14"/>
  <c r="AF62" i="14" s="1"/>
  <c r="AD62" i="14"/>
  <c r="T62" i="14"/>
  <c r="AE37" i="14"/>
  <c r="AF37" i="14" s="1"/>
  <c r="AD37" i="14"/>
  <c r="T37" i="14"/>
  <c r="AE188" i="14"/>
  <c r="AF188" i="14" s="1"/>
  <c r="AD188" i="14"/>
  <c r="T188" i="14"/>
  <c r="AE186" i="14"/>
  <c r="AF186" i="14" s="1"/>
  <c r="AD186" i="14"/>
  <c r="T186" i="14"/>
  <c r="AE185" i="14"/>
  <c r="AF185" i="14" s="1"/>
  <c r="AD185" i="14"/>
  <c r="T185" i="14"/>
  <c r="AE183" i="14"/>
  <c r="AF183" i="14" s="1"/>
  <c r="AD183" i="14"/>
  <c r="T183" i="14"/>
  <c r="AE181" i="14"/>
  <c r="AF181" i="14" s="1"/>
  <c r="AD181" i="14"/>
  <c r="T181" i="14"/>
  <c r="AE33" i="14"/>
  <c r="AF33" i="14" s="1"/>
  <c r="AD33" i="14"/>
  <c r="T33" i="14"/>
  <c r="AE162" i="14"/>
  <c r="AF162" i="14" s="1"/>
  <c r="AD162" i="14"/>
  <c r="T162" i="14"/>
  <c r="AE145" i="14"/>
  <c r="AF145" i="14" s="1"/>
  <c r="AD145" i="14"/>
  <c r="T145" i="14"/>
  <c r="AE138" i="14"/>
  <c r="AF138" i="14" s="1"/>
  <c r="AD138" i="14"/>
  <c r="T138" i="14"/>
  <c r="AE58" i="14"/>
  <c r="AF58" i="14" s="1"/>
  <c r="AD58" i="14"/>
  <c r="T58" i="14"/>
  <c r="AE30" i="14"/>
  <c r="AF30" i="14" s="1"/>
  <c r="AD30" i="14"/>
  <c r="T30" i="14"/>
  <c r="AE91" i="14"/>
  <c r="AF91" i="14" s="1"/>
  <c r="AD91" i="14"/>
  <c r="T91" i="14"/>
  <c r="AE88" i="14"/>
  <c r="AF88" i="14" s="1"/>
  <c r="AD88" i="14"/>
  <c r="T88" i="14"/>
  <c r="AE89" i="14"/>
  <c r="AF89" i="14" s="1"/>
  <c r="AD89" i="14"/>
  <c r="T89" i="14"/>
  <c r="AE92" i="14"/>
  <c r="AF92" i="14" s="1"/>
  <c r="AD92" i="14"/>
  <c r="T92" i="14"/>
  <c r="AE11" i="14"/>
  <c r="AF11" i="14" s="1"/>
  <c r="AD11" i="14"/>
  <c r="T11" i="14"/>
  <c r="AE129" i="14"/>
  <c r="AF129" i="14" s="1"/>
  <c r="AD129" i="14"/>
  <c r="T129" i="14"/>
  <c r="AE167" i="14"/>
  <c r="AF167" i="14" s="1"/>
  <c r="AD167" i="14"/>
  <c r="T167" i="14"/>
  <c r="AE160" i="14"/>
  <c r="AF160" i="14" s="1"/>
  <c r="AD160" i="14"/>
  <c r="T160" i="14"/>
  <c r="AE116" i="14"/>
  <c r="AF116" i="14" s="1"/>
  <c r="AD116" i="14"/>
  <c r="T116" i="14"/>
  <c r="AE34" i="14"/>
  <c r="AF34" i="14" s="1"/>
  <c r="AD34" i="14"/>
  <c r="T34" i="14"/>
  <c r="AE107" i="14"/>
  <c r="AF107" i="14" s="1"/>
  <c r="AD107" i="14"/>
  <c r="T107" i="14"/>
  <c r="AE110" i="14"/>
  <c r="AF110" i="14" s="1"/>
  <c r="AD110" i="14"/>
  <c r="T110" i="14"/>
  <c r="AE163" i="14"/>
  <c r="AF163" i="14" s="1"/>
  <c r="AD163" i="14"/>
  <c r="T163" i="14"/>
  <c r="AE103" i="14"/>
  <c r="AF103" i="14" s="1"/>
  <c r="AD103" i="14"/>
  <c r="T103" i="14"/>
  <c r="AE8" i="14"/>
  <c r="AF8" i="14" s="1"/>
  <c r="AD8" i="14"/>
  <c r="T8" i="14"/>
  <c r="AE109" i="14"/>
  <c r="AF109" i="14" s="1"/>
  <c r="AD109" i="14"/>
  <c r="T109" i="14"/>
  <c r="AE108" i="14"/>
  <c r="AF108" i="14" s="1"/>
  <c r="AD108" i="14"/>
  <c r="T108" i="14"/>
  <c r="AE105" i="14"/>
  <c r="AF105" i="14" s="1"/>
  <c r="AD105" i="14"/>
  <c r="T105" i="14"/>
  <c r="AE98" i="14"/>
  <c r="AF98" i="14" s="1"/>
  <c r="AD98" i="14"/>
  <c r="T98" i="14"/>
  <c r="AE25" i="14"/>
  <c r="AF25" i="14" s="1"/>
  <c r="AD25" i="14"/>
  <c r="T25" i="14"/>
  <c r="AE124" i="14"/>
  <c r="AF124" i="14" s="1"/>
  <c r="AD124" i="14"/>
  <c r="T124" i="14"/>
  <c r="AE21" i="14"/>
  <c r="AF21" i="14" s="1"/>
  <c r="AD21" i="14"/>
  <c r="T21" i="14"/>
  <c r="AE35" i="14"/>
  <c r="AF35" i="14" s="1"/>
  <c r="AD35" i="14"/>
  <c r="T35" i="14"/>
  <c r="AE150" i="14"/>
  <c r="AF150" i="14" s="1"/>
  <c r="AD150" i="14"/>
  <c r="T150" i="14"/>
  <c r="AE148" i="14"/>
  <c r="AF148" i="14" s="1"/>
  <c r="AD148" i="14"/>
  <c r="T148" i="14"/>
  <c r="AE152" i="14"/>
  <c r="AF152" i="14" s="1"/>
  <c r="AD152" i="14"/>
  <c r="T152" i="14"/>
  <c r="AE115" i="14"/>
  <c r="AF115" i="14" s="1"/>
  <c r="AD115" i="14"/>
  <c r="T115" i="14"/>
  <c r="AE101" i="14"/>
  <c r="AF101" i="14" s="1"/>
  <c r="AD101" i="14"/>
  <c r="T101" i="14"/>
  <c r="AE144" i="14"/>
  <c r="AF144" i="14" s="1"/>
  <c r="AD144" i="14"/>
  <c r="T144" i="14"/>
  <c r="AE100" i="14"/>
  <c r="AF100" i="14" s="1"/>
  <c r="AD100" i="14"/>
  <c r="T100" i="14"/>
  <c r="T63" i="14"/>
  <c r="AE127" i="14"/>
  <c r="AF127" i="14" s="1"/>
  <c r="AD127" i="14"/>
  <c r="T127" i="14"/>
  <c r="AE202" i="14"/>
  <c r="AF202" i="14" s="1"/>
  <c r="AD202" i="14"/>
  <c r="T202" i="14"/>
  <c r="AE139" i="14"/>
  <c r="AF139" i="14" s="1"/>
  <c r="AD139" i="14"/>
  <c r="T139" i="14"/>
  <c r="AE99" i="14"/>
  <c r="AF99" i="14" s="1"/>
  <c r="AD99" i="14"/>
  <c r="T99" i="14"/>
  <c r="AE134" i="14"/>
  <c r="AF134" i="14" s="1"/>
  <c r="AD134" i="14"/>
  <c r="T134" i="14"/>
  <c r="AE137" i="14"/>
  <c r="AF137" i="14" s="1"/>
  <c r="AD137" i="14"/>
  <c r="T137" i="14"/>
  <c r="AE57" i="14"/>
  <c r="AF57" i="14" s="1"/>
  <c r="AD57" i="14"/>
  <c r="T57" i="14"/>
  <c r="AE67" i="14"/>
  <c r="AF67" i="14" s="1"/>
  <c r="AD67" i="14"/>
  <c r="T67" i="14"/>
  <c r="AE212" i="14"/>
  <c r="AF212" i="14" s="1"/>
  <c r="AD212" i="14"/>
  <c r="T212" i="14"/>
  <c r="AE31" i="14"/>
  <c r="AF31" i="14" s="1"/>
  <c r="AD31" i="14"/>
  <c r="T31" i="14"/>
  <c r="AE84" i="14"/>
  <c r="AF84" i="14" s="1"/>
  <c r="AD84" i="14"/>
  <c r="T84" i="14"/>
  <c r="AE122" i="14"/>
  <c r="AF122" i="14" s="1"/>
  <c r="AD122" i="14"/>
  <c r="T122" i="14"/>
  <c r="AE97" i="14"/>
  <c r="AF97" i="14" s="1"/>
  <c r="AD97" i="14"/>
  <c r="T97" i="14"/>
  <c r="AE125" i="14"/>
  <c r="AF125" i="14" s="1"/>
  <c r="AD125" i="14"/>
  <c r="T125" i="14"/>
  <c r="AE201" i="14"/>
  <c r="AF201" i="14" s="1"/>
  <c r="AD201" i="14"/>
  <c r="T201" i="14"/>
  <c r="AE210" i="14"/>
  <c r="AF210" i="14" s="1"/>
  <c r="AD210" i="14"/>
  <c r="T210" i="14"/>
  <c r="AE253" i="14"/>
  <c r="AF253" i="14" s="1"/>
  <c r="AD253" i="14"/>
  <c r="T253" i="14"/>
  <c r="AE94" i="14"/>
  <c r="AF94" i="14" s="1"/>
  <c r="AD94" i="14"/>
  <c r="T94" i="14"/>
  <c r="AE117" i="14"/>
  <c r="AF117" i="14" s="1"/>
  <c r="AD117" i="14"/>
  <c r="T117" i="14"/>
  <c r="AE26" i="14"/>
  <c r="AF26" i="14" s="1"/>
  <c r="AD26" i="14"/>
  <c r="T26" i="14"/>
  <c r="AE140" i="14"/>
  <c r="AF140" i="14" s="1"/>
  <c r="AD140" i="14"/>
  <c r="T140" i="14"/>
  <c r="AE143" i="14"/>
  <c r="AF143" i="14" s="1"/>
  <c r="AD143" i="14"/>
  <c r="T143" i="14"/>
  <c r="AE22" i="14"/>
  <c r="AF22" i="14" s="1"/>
  <c r="AD22" i="14"/>
  <c r="T22" i="14"/>
  <c r="AE126" i="14"/>
  <c r="AF126" i="14" s="1"/>
  <c r="AD126" i="14"/>
  <c r="T126" i="14"/>
  <c r="AE190" i="14"/>
  <c r="AF190" i="14" s="1"/>
  <c r="AD190" i="14"/>
  <c r="T190" i="14"/>
  <c r="AE79" i="14"/>
  <c r="AF79" i="14" s="1"/>
  <c r="AD79" i="14"/>
  <c r="T79" i="14"/>
  <c r="AE83" i="14"/>
  <c r="AF83" i="14" s="1"/>
  <c r="AD83" i="14"/>
  <c r="T83" i="14"/>
  <c r="AE106" i="14"/>
  <c r="AF106" i="14" s="1"/>
  <c r="AD106" i="14"/>
  <c r="T106" i="14"/>
  <c r="AE132" i="14"/>
  <c r="AF132" i="14" s="1"/>
  <c r="AD132" i="14"/>
  <c r="T132" i="14"/>
  <c r="AE104" i="14"/>
  <c r="AF104" i="14" s="1"/>
  <c r="AD104" i="14"/>
  <c r="T104" i="14"/>
  <c r="AE51" i="14"/>
  <c r="AF51" i="14" s="1"/>
  <c r="AD51" i="14"/>
  <c r="T51" i="14"/>
  <c r="AE102" i="14"/>
  <c r="AF102" i="14" s="1"/>
  <c r="AD102" i="14"/>
  <c r="T102" i="14"/>
  <c r="AE228" i="14"/>
  <c r="AF228" i="14" s="1"/>
  <c r="AD228" i="14"/>
  <c r="T228" i="14"/>
  <c r="AE206" i="14"/>
  <c r="AF206" i="14" s="1"/>
  <c r="AD206" i="14"/>
  <c r="T206" i="14"/>
  <c r="AE226" i="14"/>
  <c r="AF226" i="14" s="1"/>
  <c r="AD226" i="14"/>
  <c r="T226" i="14"/>
  <c r="AE172" i="14"/>
  <c r="AF172" i="14" s="1"/>
  <c r="AD172" i="14"/>
  <c r="T172" i="14"/>
  <c r="AE224" i="14"/>
  <c r="AF224" i="14" s="1"/>
  <c r="AD224" i="14"/>
  <c r="T224" i="14"/>
  <c r="AE49" i="14"/>
  <c r="AF49" i="14" s="1"/>
  <c r="AD49" i="14"/>
  <c r="T49" i="14"/>
  <c r="AE95" i="14"/>
  <c r="AF95" i="14" s="1"/>
  <c r="AD95" i="14"/>
  <c r="T95" i="14"/>
  <c r="AE220" i="14"/>
  <c r="AF220" i="14" s="1"/>
  <c r="AD220" i="14"/>
  <c r="T220" i="14"/>
  <c r="AE54" i="14"/>
  <c r="AF54" i="14" s="1"/>
  <c r="AD54" i="14"/>
  <c r="T54" i="14"/>
  <c r="AE170" i="14"/>
  <c r="AF170" i="14" s="1"/>
  <c r="AD170" i="14"/>
  <c r="T170" i="14"/>
  <c r="AE164" i="14"/>
  <c r="AF164" i="14" s="1"/>
  <c r="AD164" i="14"/>
  <c r="T164" i="14"/>
  <c r="AE147" i="14"/>
  <c r="AF147" i="14" s="1"/>
  <c r="AD147" i="14"/>
  <c r="T147" i="14"/>
  <c r="AE90" i="14"/>
  <c r="AF90" i="14" s="1"/>
  <c r="AD90" i="14"/>
  <c r="T90" i="14"/>
  <c r="AE216" i="14"/>
  <c r="AF216" i="14" s="1"/>
  <c r="AD216" i="14"/>
  <c r="T216" i="14"/>
  <c r="AE123" i="14"/>
  <c r="AF123" i="14" s="1"/>
  <c r="AD123" i="14"/>
  <c r="T123" i="14"/>
  <c r="AE156" i="14"/>
  <c r="AF156" i="14" s="1"/>
  <c r="AD156" i="14"/>
  <c r="T156" i="14"/>
  <c r="AE171" i="14"/>
  <c r="AF171" i="14" s="1"/>
  <c r="AD171" i="14"/>
  <c r="T171" i="14"/>
  <c r="AE252" i="14"/>
  <c r="AF252" i="14" s="1"/>
  <c r="AD252" i="14"/>
  <c r="T252" i="14"/>
  <c r="AE82" i="14"/>
  <c r="AF82" i="14" s="1"/>
  <c r="AD82" i="14"/>
  <c r="T82" i="14"/>
  <c r="AE81" i="14"/>
  <c r="AF81" i="14" s="1"/>
  <c r="AD81" i="14"/>
  <c r="T81" i="14"/>
  <c r="AE78" i="14"/>
  <c r="AF78" i="14" s="1"/>
  <c r="AD78" i="14"/>
  <c r="T78" i="14"/>
  <c r="AE80" i="14"/>
  <c r="AF80" i="14" s="1"/>
  <c r="AD80" i="14"/>
  <c r="T80" i="14"/>
  <c r="AE203" i="14"/>
  <c r="AF203" i="14" s="1"/>
  <c r="AD203" i="14"/>
  <c r="T203" i="14"/>
  <c r="AE77" i="14"/>
  <c r="AF77" i="14" s="1"/>
  <c r="AD77" i="14"/>
  <c r="T77" i="14"/>
  <c r="AE76" i="14"/>
  <c r="AF76" i="14" s="1"/>
  <c r="AD76" i="14"/>
  <c r="T76" i="14"/>
  <c r="AE75" i="14"/>
  <c r="AF75" i="14" s="1"/>
  <c r="AD75" i="14"/>
  <c r="T75" i="14"/>
  <c r="AE72" i="14"/>
  <c r="AF72" i="14" s="1"/>
  <c r="AD72" i="14"/>
  <c r="T72" i="14"/>
  <c r="AE73" i="14"/>
  <c r="AF73" i="14" s="1"/>
  <c r="AD73" i="14"/>
  <c r="T73" i="14"/>
  <c r="AE218" i="14"/>
  <c r="AF218" i="14" s="1"/>
  <c r="AD218" i="14"/>
  <c r="T218" i="14"/>
  <c r="AE71" i="14"/>
  <c r="AF71" i="14" s="1"/>
  <c r="AD71" i="14"/>
  <c r="T71" i="14"/>
  <c r="AE60" i="14"/>
  <c r="AF60" i="14" s="1"/>
  <c r="AD60" i="14"/>
  <c r="T60" i="14"/>
  <c r="AE70" i="14"/>
  <c r="AF70" i="14" s="1"/>
  <c r="AD70" i="14"/>
  <c r="T70" i="14"/>
  <c r="AE69" i="14"/>
  <c r="AF69" i="14" s="1"/>
  <c r="AD69" i="14"/>
  <c r="T69" i="14"/>
  <c r="AE68" i="14"/>
  <c r="AF68" i="14" s="1"/>
  <c r="AD68" i="14"/>
  <c r="T68" i="14"/>
  <c r="AE133" i="14"/>
  <c r="AF133" i="14" s="1"/>
  <c r="AD133" i="14"/>
  <c r="T133" i="14"/>
  <c r="AE66" i="14"/>
  <c r="AF66" i="14" s="1"/>
  <c r="AD66" i="14"/>
  <c r="T66" i="14"/>
  <c r="AE65" i="14"/>
  <c r="AF65" i="14" s="1"/>
  <c r="AD65" i="14"/>
  <c r="T65" i="14"/>
  <c r="AE205" i="14"/>
  <c r="AF205" i="14" s="1"/>
  <c r="AD205" i="14"/>
  <c r="T205" i="14"/>
  <c r="AE204" i="14"/>
  <c r="AF204" i="14" s="1"/>
  <c r="AD204" i="14"/>
  <c r="T204" i="14"/>
  <c r="AE61" i="14"/>
  <c r="AF61" i="14" s="1"/>
  <c r="AD61" i="14"/>
  <c r="T61" i="14"/>
  <c r="AE55" i="14"/>
  <c r="AF55" i="14" s="1"/>
  <c r="AD55" i="14"/>
  <c r="T55" i="14"/>
  <c r="AE59" i="14"/>
  <c r="AF59" i="14" s="1"/>
  <c r="AD59" i="14"/>
  <c r="T59" i="14"/>
  <c r="AE166" i="14"/>
  <c r="AF166" i="14" s="1"/>
  <c r="AD166" i="14"/>
  <c r="T166" i="14"/>
  <c r="AE136" i="14"/>
  <c r="AF136" i="14" s="1"/>
  <c r="AD136" i="14"/>
  <c r="T136" i="14"/>
  <c r="AE282" i="14"/>
  <c r="AF282" i="14" s="1"/>
  <c r="AD282" i="14"/>
  <c r="T282" i="14"/>
  <c r="AE50" i="14"/>
  <c r="AF50" i="14" s="1"/>
  <c r="AD50" i="14"/>
  <c r="T50" i="14"/>
  <c r="AE56" i="14"/>
  <c r="AF56" i="14" s="1"/>
  <c r="AD56" i="14"/>
  <c r="T56" i="14"/>
  <c r="AE53" i="14"/>
  <c r="AF53" i="14" s="1"/>
  <c r="AD53" i="14"/>
  <c r="T53" i="14"/>
  <c r="AE39" i="14"/>
  <c r="AF39" i="14" s="1"/>
  <c r="AD39" i="14"/>
  <c r="T39" i="14"/>
  <c r="AE46" i="14"/>
  <c r="AF46" i="14" s="1"/>
  <c r="AD46" i="14"/>
  <c r="T46" i="14"/>
  <c r="AE96" i="14"/>
  <c r="AF96" i="14" s="1"/>
  <c r="AD96" i="14"/>
  <c r="T96" i="14"/>
  <c r="AE48" i="14"/>
  <c r="AF48" i="14" s="1"/>
  <c r="AD48" i="14"/>
  <c r="T48" i="14"/>
  <c r="AE154" i="14"/>
  <c r="AF154" i="14" s="1"/>
  <c r="AD154" i="14"/>
  <c r="T154" i="14"/>
  <c r="AE44" i="14"/>
  <c r="AF44" i="14" s="1"/>
  <c r="AD44" i="14"/>
  <c r="T44" i="14"/>
  <c r="AE23" i="14"/>
  <c r="AF23" i="14" s="1"/>
  <c r="AD23" i="14"/>
  <c r="T23" i="14"/>
  <c r="AE43" i="14"/>
  <c r="AF43" i="14" s="1"/>
  <c r="AD43" i="14"/>
  <c r="T43" i="14"/>
  <c r="AE42" i="14"/>
  <c r="AF42" i="14" s="1"/>
  <c r="AD42" i="14"/>
  <c r="T42" i="14"/>
  <c r="AE40" i="14"/>
  <c r="AF40" i="14" s="1"/>
  <c r="AD40" i="14"/>
  <c r="T40" i="14"/>
  <c r="AE180" i="14"/>
  <c r="AF180" i="14" s="1"/>
  <c r="AD180" i="14"/>
  <c r="T180" i="14"/>
  <c r="AE175" i="14"/>
  <c r="AF175" i="14" s="1"/>
  <c r="AD175" i="14"/>
  <c r="T175" i="14"/>
  <c r="AE219" i="14"/>
  <c r="AF219" i="14" s="1"/>
  <c r="AD219" i="14"/>
  <c r="T219" i="14"/>
  <c r="AE157" i="14"/>
  <c r="AF157" i="14" s="1"/>
  <c r="AD157" i="14"/>
  <c r="T157" i="14"/>
  <c r="AE238" i="14"/>
  <c r="AF238" i="14" s="1"/>
  <c r="AD238" i="14"/>
  <c r="T238" i="14"/>
  <c r="AE93" i="14"/>
  <c r="AF93" i="14" s="1"/>
  <c r="AD93" i="14"/>
  <c r="T93" i="14"/>
  <c r="AE119" i="14"/>
  <c r="AF119" i="14" s="1"/>
  <c r="AD119" i="14"/>
  <c r="T119" i="14"/>
  <c r="AE41" i="14"/>
  <c r="AF41" i="14" s="1"/>
  <c r="AD41" i="14"/>
  <c r="T41" i="14"/>
  <c r="AE151" i="14"/>
  <c r="AF151" i="14" s="1"/>
  <c r="AD151" i="14"/>
  <c r="T151" i="14"/>
  <c r="AE128" i="14"/>
  <c r="AF128" i="14" s="1"/>
  <c r="AD128" i="14"/>
  <c r="T128" i="14"/>
  <c r="AE28" i="14"/>
  <c r="AF28" i="14" s="1"/>
  <c r="AD28" i="14"/>
  <c r="T28" i="14"/>
  <c r="AE29" i="14"/>
  <c r="AF29" i="14" s="1"/>
  <c r="AD29" i="14"/>
  <c r="T29" i="14"/>
  <c r="AE158" i="14"/>
  <c r="AF158" i="14" s="1"/>
  <c r="AD158" i="14"/>
  <c r="T158" i="14"/>
  <c r="AE27" i="14"/>
  <c r="AF27" i="14" s="1"/>
  <c r="AD27" i="14"/>
  <c r="T27" i="14"/>
  <c r="AE131" i="14"/>
  <c r="AF131" i="14" s="1"/>
  <c r="AD131" i="14"/>
  <c r="T131" i="14"/>
  <c r="AE173" i="14"/>
  <c r="AF173" i="14" s="1"/>
  <c r="AD173" i="14"/>
  <c r="T173" i="14"/>
  <c r="AE24" i="14"/>
  <c r="AF24" i="14" s="1"/>
  <c r="AD24" i="14"/>
  <c r="T24" i="14"/>
  <c r="AE52" i="14"/>
  <c r="AF52" i="14" s="1"/>
  <c r="AD52" i="14"/>
  <c r="T52" i="14"/>
  <c r="AE45" i="14"/>
  <c r="AF45" i="14" s="1"/>
  <c r="AD45" i="14"/>
  <c r="T45" i="14"/>
  <c r="AE113" i="14"/>
  <c r="AF113" i="14" s="1"/>
  <c r="AD113" i="14"/>
  <c r="T113" i="14"/>
  <c r="AE20" i="14"/>
  <c r="AF20" i="14" s="1"/>
  <c r="AD20" i="14"/>
  <c r="T20" i="14"/>
  <c r="AE155" i="14"/>
  <c r="AF155" i="14" s="1"/>
  <c r="AD155" i="14"/>
  <c r="T155" i="14"/>
  <c r="AE18" i="14"/>
  <c r="AF18" i="14" s="1"/>
  <c r="AD18" i="14"/>
  <c r="T18" i="14"/>
  <c r="AE17" i="14"/>
  <c r="AF17" i="14" s="1"/>
  <c r="AD17" i="14"/>
  <c r="T17" i="14"/>
  <c r="AE16" i="14"/>
  <c r="AF16" i="14" s="1"/>
  <c r="AD16" i="14"/>
  <c r="T16" i="14"/>
  <c r="AE15" i="14"/>
  <c r="AF15" i="14" s="1"/>
  <c r="AD15" i="14"/>
  <c r="T15" i="14"/>
  <c r="AE14" i="14"/>
  <c r="AF14" i="14" s="1"/>
  <c r="AD14" i="14"/>
  <c r="T14" i="14"/>
  <c r="AE13" i="14"/>
  <c r="AF13" i="14" s="1"/>
  <c r="AD13" i="14"/>
  <c r="T13" i="14"/>
  <c r="AE12" i="14"/>
  <c r="AF12" i="14" s="1"/>
  <c r="AD12" i="14"/>
  <c r="T12" i="14"/>
  <c r="AE165" i="14"/>
  <c r="AF165" i="14" s="1"/>
  <c r="AD165" i="14"/>
  <c r="T165" i="14"/>
  <c r="AE10" i="14"/>
  <c r="AF10" i="14" s="1"/>
  <c r="AD10" i="14"/>
  <c r="T10" i="14"/>
  <c r="AE9" i="14"/>
  <c r="AF9" i="14" s="1"/>
  <c r="AD9" i="14"/>
  <c r="T9" i="14"/>
  <c r="AE174" i="14"/>
  <c r="AF174" i="14" s="1"/>
  <c r="AD174" i="14"/>
  <c r="T174" i="14"/>
  <c r="AE7" i="14"/>
  <c r="AF7" i="14" s="1"/>
  <c r="AD7" i="14"/>
  <c r="T7" i="14"/>
  <c r="AE6" i="14"/>
  <c r="AF6" i="14" s="1"/>
  <c r="AD6" i="14"/>
  <c r="T6" i="14"/>
  <c r="AE5" i="14"/>
  <c r="AF5" i="14" s="1"/>
  <c r="AD5" i="14"/>
  <c r="T5" i="14"/>
  <c r="CD2" i="62"/>
  <c r="CD6" i="62"/>
  <c r="CD3" i="62"/>
  <c r="CD7" i="62"/>
  <c r="CD8" i="62"/>
  <c r="Q1" i="86"/>
  <c r="G132" i="86"/>
  <c r="I132" i="86"/>
  <c r="AC9" i="20"/>
  <c r="AE13" i="20"/>
  <c r="I160" i="86"/>
  <c r="M160" i="86" s="1"/>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M149" i="86" s="1"/>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M141" i="86" s="1"/>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M142" i="86" s="1"/>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M92" i="86" s="1"/>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M80" i="86" s="1"/>
  <c r="G78" i="86"/>
  <c r="H75" i="86"/>
  <c r="G74" i="86"/>
  <c r="H72" i="86"/>
  <c r="I71" i="86"/>
  <c r="H70" i="86"/>
  <c r="H69" i="86"/>
  <c r="H68" i="86"/>
  <c r="I66" i="86"/>
  <c r="H64" i="86"/>
  <c r="G63" i="86"/>
  <c r="G62" i="86"/>
  <c r="M62" i="86" s="1"/>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M74" i="86" s="1"/>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M100" i="86" s="1"/>
  <c r="I139" i="86"/>
  <c r="I99" i="86"/>
  <c r="H88" i="86"/>
  <c r="G148" i="86"/>
  <c r="I165" i="86"/>
  <c r="AN30" i="94"/>
  <c r="AJ70" i="94"/>
  <c r="AO70" i="94"/>
  <c r="M166" i="86"/>
  <c r="M6" i="86"/>
  <c r="H48" i="94"/>
  <c r="Y6" i="66"/>
  <c r="AI15" i="66"/>
  <c r="AI3" i="66"/>
  <c r="AI9" i="66"/>
  <c r="Y8" i="66"/>
  <c r="C23" i="62"/>
  <c r="C20" i="62"/>
  <c r="D13" i="62"/>
  <c r="D22" i="62"/>
  <c r="C13" i="62"/>
  <c r="D17" i="62"/>
  <c r="D29" i="62"/>
  <c r="C29" i="62"/>
  <c r="C16" i="62"/>
  <c r="D10" i="62"/>
  <c r="C21" i="62"/>
  <c r="C14" i="62"/>
  <c r="D19" i="62"/>
  <c r="D21" i="62"/>
  <c r="D26" i="62"/>
  <c r="D12" i="62"/>
  <c r="C18" i="62"/>
  <c r="D20" i="62"/>
  <c r="D18" i="62"/>
  <c r="D23" i="62"/>
  <c r="C12" i="62"/>
  <c r="C27" i="62"/>
  <c r="C11" i="62"/>
  <c r="D27" i="62"/>
  <c r="D25" i="62"/>
  <c r="C19" i="62"/>
  <c r="D16" i="62"/>
  <c r="D28" i="62"/>
  <c r="C26" i="62"/>
  <c r="C24" i="62"/>
  <c r="C22" i="62"/>
  <c r="D11" i="62"/>
  <c r="C25" i="62"/>
  <c r="C17" i="62"/>
  <c r="D14" i="62"/>
  <c r="C28" i="62"/>
  <c r="D15" i="62"/>
  <c r="C15" i="62"/>
  <c r="C10" i="62"/>
  <c r="D24" i="62"/>
  <c r="AB19" i="43"/>
  <c r="AB15" i="43"/>
  <c r="AB11" i="43"/>
  <c r="AB12" i="43"/>
  <c r="AB16" i="43"/>
  <c r="AB10" i="43"/>
  <c r="AB13" i="43"/>
  <c r="AB18" i="43"/>
  <c r="AB17" i="43"/>
  <c r="AB14" i="43"/>
  <c r="M4" i="86" l="1"/>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C49" i="94"/>
  <c r="G47" i="94"/>
  <c r="Y22" i="66"/>
  <c r="Y16" i="66"/>
  <c r="AI12" i="66"/>
  <c r="Y7" i="66"/>
  <c r="AI24" i="66"/>
  <c r="C31" i="94"/>
  <c r="D31" i="94"/>
  <c r="B41" i="92"/>
  <c r="Y17" i="66"/>
  <c r="H46" i="94"/>
  <c r="Y23" i="66"/>
  <c r="E49" i="94"/>
  <c r="B50" i="92"/>
  <c r="C40" i="94"/>
  <c r="C41" i="94" s="1"/>
  <c r="AI10" i="66"/>
  <c r="E31" i="94"/>
  <c r="G46" i="94"/>
  <c r="D49" i="94"/>
  <c r="F49" i="94"/>
  <c r="Y11" i="66"/>
  <c r="Y25" i="66"/>
  <c r="Y4" i="66"/>
  <c r="Y14" i="66"/>
  <c r="Y21" i="66"/>
  <c r="X13" i="66"/>
  <c r="X26" i="66" s="1"/>
  <c r="M167" i="19"/>
  <c r="AG26" i="66"/>
  <c r="Z26" i="66" s="1"/>
  <c r="Z4" i="66"/>
  <c r="D40" i="94"/>
  <c r="Y19" i="66"/>
  <c r="E40" i="94"/>
  <c r="H47" i="94"/>
  <c r="Y13" i="66"/>
  <c r="AI20" i="66"/>
  <c r="E19" i="62"/>
  <c r="G19" i="62" s="1"/>
  <c r="F27" i="62"/>
  <c r="S76" i="19"/>
  <c r="E24" i="62"/>
  <c r="S47" i="19"/>
  <c r="F22" i="62"/>
  <c r="W138" i="19"/>
  <c r="V21" i="19"/>
  <c r="N167" i="19"/>
  <c r="Q167" i="19"/>
  <c r="E27" i="62"/>
  <c r="E23" i="62"/>
  <c r="E21" i="62"/>
  <c r="E18" i="62"/>
  <c r="E12" i="62"/>
  <c r="F25" i="62"/>
  <c r="F21" i="62"/>
  <c r="F15" i="62"/>
  <c r="U144" i="19"/>
  <c r="W141" i="19"/>
  <c r="U138" i="19"/>
  <c r="U76" i="19"/>
  <c r="F18" i="62"/>
  <c r="W43" i="19"/>
  <c r="U21" i="19"/>
  <c r="W15" i="19"/>
  <c r="L167" i="19"/>
  <c r="E10" i="62"/>
  <c r="H167" i="19"/>
  <c r="S81" i="19"/>
  <c r="S21" i="19"/>
  <c r="T144" i="19"/>
  <c r="T138" i="19"/>
  <c r="T84" i="19"/>
  <c r="T81" i="19"/>
  <c r="V144" i="19"/>
  <c r="V138" i="19"/>
  <c r="W135" i="19"/>
  <c r="V135" i="19"/>
  <c r="U135" i="19"/>
  <c r="V130" i="19"/>
  <c r="U130" i="19"/>
  <c r="V102" i="19"/>
  <c r="U102" i="19"/>
  <c r="U84" i="19"/>
  <c r="V81" i="19"/>
  <c r="U81" i="19"/>
  <c r="V76" i="19"/>
  <c r="W72" i="19"/>
  <c r="T15" i="19"/>
  <c r="J130" i="86"/>
  <c r="K166" i="86"/>
  <c r="K136" i="86"/>
  <c r="L162" i="86"/>
  <c r="L154" i="86"/>
  <c r="K100" i="86"/>
  <c r="K104" i="86"/>
  <c r="J100" i="86"/>
  <c r="K112" i="86"/>
  <c r="T72" i="19"/>
  <c r="J167" i="19"/>
  <c r="J150" i="86"/>
  <c r="L134" i="86"/>
  <c r="L144" i="86"/>
  <c r="J134" i="86"/>
  <c r="S98" i="19"/>
  <c r="J154" i="86"/>
  <c r="J152" i="86"/>
  <c r="L152" i="86"/>
  <c r="K148" i="86"/>
  <c r="L114" i="86"/>
  <c r="L90" i="86"/>
  <c r="L126" i="86"/>
  <c r="K96" i="86"/>
  <c r="L122" i="86"/>
  <c r="T124" i="19"/>
  <c r="T76" i="19"/>
  <c r="W144" i="19"/>
  <c r="U141" i="19"/>
  <c r="U124" i="19"/>
  <c r="W102" i="19"/>
  <c r="V84" i="19"/>
  <c r="U47" i="19"/>
  <c r="L136" i="86"/>
  <c r="L158" i="86"/>
  <c r="L124" i="86"/>
  <c r="L94" i="86"/>
  <c r="J156" i="86"/>
  <c r="K94" i="86"/>
  <c r="K84" i="86"/>
  <c r="J122" i="86"/>
  <c r="J16" i="86"/>
  <c r="J138" i="86"/>
  <c r="L168" i="86"/>
  <c r="L146" i="86"/>
  <c r="K142" i="86"/>
  <c r="J112" i="86"/>
  <c r="S144" i="19"/>
  <c r="S138" i="19"/>
  <c r="S84" i="19"/>
  <c r="S72" i="19"/>
  <c r="W166" i="19"/>
  <c r="W124" i="19"/>
  <c r="U98" i="19"/>
  <c r="W98" i="19"/>
  <c r="U72" i="19"/>
  <c r="W62" i="19"/>
  <c r="V43" i="19"/>
  <c r="V15" i="19"/>
  <c r="U15" i="19"/>
  <c r="T47" i="19"/>
  <c r="S141" i="19"/>
  <c r="S135" i="19"/>
  <c r="S124" i="19"/>
  <c r="S43" i="19"/>
  <c r="T166" i="19"/>
  <c r="T141" i="19"/>
  <c r="T130" i="19"/>
  <c r="T102" i="19"/>
  <c r="T98" i="19"/>
  <c r="T21" i="19"/>
  <c r="V166" i="19"/>
  <c r="V141" i="19"/>
  <c r="V124" i="19"/>
  <c r="W84" i="19"/>
  <c r="V72" i="19"/>
  <c r="I167" i="19"/>
  <c r="E29" i="62"/>
  <c r="E26" i="62"/>
  <c r="E17" i="62"/>
  <c r="E13" i="62"/>
  <c r="F29" i="62"/>
  <c r="F24" i="62"/>
  <c r="F23" i="62"/>
  <c r="V47" i="19"/>
  <c r="F10" i="62"/>
  <c r="F20" i="62"/>
  <c r="W47" i="19"/>
  <c r="S130" i="19"/>
  <c r="T62" i="19"/>
  <c r="T43" i="19"/>
  <c r="V98" i="19"/>
  <c r="V62" i="19"/>
  <c r="U62" i="19"/>
  <c r="F11" i="62"/>
  <c r="S166" i="19"/>
  <c r="S62" i="19"/>
  <c r="W130" i="19"/>
  <c r="W81" i="19"/>
  <c r="U43" i="19"/>
  <c r="R167" i="19"/>
  <c r="S15" i="19"/>
  <c r="E16" i="62"/>
  <c r="E15" i="62"/>
  <c r="E11" i="62"/>
  <c r="F26" i="62"/>
  <c r="F16" i="62"/>
  <c r="F13" i="62"/>
  <c r="F12" i="62"/>
  <c r="G12" i="62" s="1"/>
  <c r="E14" i="62"/>
  <c r="U166" i="19"/>
  <c r="W76" i="19"/>
  <c r="W21" i="19"/>
  <c r="E25" i="62"/>
  <c r="E22" i="62"/>
  <c r="K167" i="19"/>
  <c r="E20" i="62"/>
  <c r="F17" i="62"/>
  <c r="F14" i="62"/>
  <c r="O167" i="19"/>
  <c r="P167" i="19"/>
  <c r="S102" i="19"/>
  <c r="T135" i="19"/>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C30" i="62"/>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G49" i="94" l="1"/>
  <c r="E41" i="94"/>
  <c r="B51" i="92"/>
  <c r="D41" i="94"/>
  <c r="H19" i="62"/>
  <c r="CF24" i="62" s="1"/>
  <c r="G24" i="62"/>
  <c r="Y26" i="66"/>
  <c r="AD26" i="66"/>
  <c r="H49" i="94"/>
  <c r="I47" i="94" s="1"/>
  <c r="G18" i="62"/>
  <c r="H27" i="62"/>
  <c r="CG32" i="62" s="1"/>
  <c r="CE32" i="62" s="1"/>
  <c r="G26" i="62"/>
  <c r="H18" i="62"/>
  <c r="CF23" i="62" s="1"/>
  <c r="G29" i="62"/>
  <c r="G21" i="62"/>
  <c r="H21" i="62"/>
  <c r="CF26" i="62" s="1"/>
  <c r="H23" i="62"/>
  <c r="CF30" i="62" s="1"/>
  <c r="H29" i="62"/>
  <c r="G27" i="62"/>
  <c r="H24" i="62"/>
  <c r="CG29" i="62" s="1"/>
  <c r="CE29" i="62" s="1"/>
  <c r="G10" i="62"/>
  <c r="H10" i="62"/>
  <c r="CG17" i="62" s="1"/>
  <c r="CE17" i="62" s="1"/>
  <c r="S167" i="19"/>
  <c r="W167" i="19"/>
  <c r="H13" i="62"/>
  <c r="U167" i="19"/>
  <c r="V167" i="19"/>
  <c r="H26" i="62"/>
  <c r="CG31" i="62" s="1"/>
  <c r="CE31" i="62" s="1"/>
  <c r="H12" i="62"/>
  <c r="CG19" i="62" s="1"/>
  <c r="CE19" i="62" s="1"/>
  <c r="F30" i="62"/>
  <c r="H6" i="62" s="1"/>
  <c r="G23" i="62"/>
  <c r="G17" i="62"/>
  <c r="T167" i="19"/>
  <c r="H15" i="62"/>
  <c r="CF20" i="62" s="1"/>
  <c r="G15" i="62"/>
  <c r="G13" i="62"/>
  <c r="H22" i="62"/>
  <c r="CG27" i="62" s="1"/>
  <c r="CE27" i="62" s="1"/>
  <c r="G22" i="62"/>
  <c r="H16" i="62"/>
  <c r="CF21" i="62" s="1"/>
  <c r="G16" i="62"/>
  <c r="H25" i="62"/>
  <c r="G25" i="62"/>
  <c r="G14" i="62"/>
  <c r="H14" i="62"/>
  <c r="H17" i="62"/>
  <c r="CF22" i="62" s="1"/>
  <c r="E30" i="62"/>
  <c r="G20" i="62"/>
  <c r="H20" i="62"/>
  <c r="CF25" i="62" s="1"/>
  <c r="G11" i="62"/>
  <c r="H11" i="62"/>
  <c r="CG18" i="62" s="1"/>
  <c r="CE18" i="62" s="1"/>
  <c r="CG24" i="62" l="1"/>
  <c r="CE24" i="62" s="1"/>
  <c r="CG23" i="62"/>
  <c r="CE23" i="62" s="1"/>
  <c r="AA26" i="66"/>
  <c r="AC26" i="66"/>
  <c r="AB26" i="66"/>
  <c r="I49" i="94"/>
  <c r="I50" i="94"/>
  <c r="I45" i="94"/>
  <c r="I46" i="94"/>
  <c r="I48" i="94"/>
  <c r="CG26" i="62"/>
  <c r="CE26" i="62" s="1"/>
  <c r="CG30" i="62"/>
  <c r="CE30" i="62" s="1"/>
  <c r="CG28" i="62"/>
  <c r="CE28" i="62" s="1"/>
  <c r="CG21" i="62"/>
  <c r="CG20" i="62"/>
  <c r="CE20" i="62" s="1"/>
  <c r="H30" i="62"/>
  <c r="G30" i="62"/>
  <c r="H7" i="62" s="1"/>
  <c r="CE21" i="62"/>
  <c r="CG25" i="62"/>
  <c r="CE25" i="62" s="1"/>
  <c r="CG22" i="62"/>
  <c r="CE22" i="62" s="1"/>
</calcChain>
</file>

<file path=xl/comments1.xml><?xml version="1.0" encoding="utf-8"?>
<comments xmlns="http://schemas.openxmlformats.org/spreadsheetml/2006/main">
  <authors>
    <author>Soe Moe Kyi</author>
  </authors>
  <commentList>
    <comment ref="M70" authorId="0" shapeId="0">
      <text>
        <r>
          <rPr>
            <b/>
            <sz val="9"/>
            <color indexed="81"/>
            <rFont val="Tahoma"/>
            <family val="2"/>
          </rPr>
          <t>Soe Moe Kyi:</t>
        </r>
        <r>
          <rPr>
            <sz val="9"/>
            <color indexed="81"/>
            <rFont val="Tahoma"/>
            <family val="2"/>
          </rPr>
          <t xml:space="preserve">
KMSSB 36 units (Irish) completed in March18
KBC    231 units</t>
        </r>
      </text>
    </comment>
    <comment ref="J87" authorId="0" shapeId="0">
      <text>
        <r>
          <rPr>
            <b/>
            <sz val="9"/>
            <color indexed="81"/>
            <rFont val="Tahoma"/>
            <family val="2"/>
          </rPr>
          <t>Soe Moe Kyi:</t>
        </r>
        <r>
          <rPr>
            <sz val="9"/>
            <color indexed="81"/>
            <rFont val="Tahoma"/>
            <family val="2"/>
          </rPr>
          <t xml:space="preserve">
329 before</t>
        </r>
      </text>
    </comment>
    <comment ref="M94" authorId="0" shapeId="0">
      <text>
        <r>
          <rPr>
            <b/>
            <sz val="9"/>
            <color indexed="81"/>
            <rFont val="Tahoma"/>
            <family val="2"/>
          </rPr>
          <t>Soe Moe Kyi:</t>
        </r>
        <r>
          <rPr>
            <sz val="9"/>
            <color indexed="81"/>
            <rFont val="Tahoma"/>
            <family val="2"/>
          </rPr>
          <t xml:space="preserve">
KMSS-BMO-Cord-aid
agreement to be signed in next week.</t>
        </r>
      </text>
    </comment>
  </commentList>
</comments>
</file>

<file path=xl/sharedStrings.xml><?xml version="1.0" encoding="utf-8"?>
<sst xmlns="http://schemas.openxmlformats.org/spreadsheetml/2006/main" count="13644" uniqueCount="1808">
  <si>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</si>
  <si>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</si>
  <si>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</si>
  <si>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</si>
  <si>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</si>
  <si>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</si>
  <si>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</si>
  <si>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</si>
  <si>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</si>
  <si>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</si>
  <si>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</si>
  <si>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</si>
  <si>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</si>
  <si>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</si>
  <si>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</si>
  <si>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</si>
  <si>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</si>
  <si>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</si>
  <si>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</si>
  <si>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</si>
  <si>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</si>
  <si>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</si>
  <si>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</si>
  <si>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</si>
  <si>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</si>
  <si>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</si>
  <si>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</si>
  <si>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</si>
  <si>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</si>
  <si>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</si>
  <si>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</si>
  <si>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</si>
  <si>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</si>
  <si>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</si>
  <si>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</si>
  <si>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</si>
  <si>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</si>
  <si>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</si>
  <si>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</si>
  <si>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</si>
  <si>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</si>
  <si>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</si>
  <si>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</si>
  <si>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</si>
  <si>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</si>
  <si>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</si>
  <si>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</si>
  <si>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</si>
  <si>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</si>
  <si>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</si>
  <si>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</si>
  <si>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</si>
  <si>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</si>
  <si>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</si>
  <si>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</si>
  <si>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</si>
  <si>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</si>
  <si>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</si>
  <si>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</si>
  <si>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</si>
  <si>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</si>
  <si>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</si>
  <si>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</si>
  <si>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</si>
  <si>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</si>
  <si>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</si>
  <si>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</si>
  <si>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</si>
  <si>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</si>
  <si>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</si>
  <si>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</si>
  <si>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</si>
  <si>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</si>
  <si>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</si>
  <si>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</si>
  <si>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</si>
  <si>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</si>
  <si>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</si>
  <si>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</si>
  <si>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</si>
  <si>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</si>
  <si>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</si>
  <si>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</si>
  <si>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</si>
  <si>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</si>
  <si>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</si>
  <si>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</si>
  <si>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</si>
  <si>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</si>
  <si>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</si>
  <si>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</si>
  <si>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</si>
  <si>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</si>
  <si>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</si>
  <si>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</si>
  <si>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</si>
  <si>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</si>
  <si>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</si>
  <si>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</si>
  <si>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</si>
  <si>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</si>
  <si>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</si>
  <si>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</si>
  <si>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</si>
  <si>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</si>
  <si>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</si>
  <si>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</si>
  <si>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</si>
  <si>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</si>
  <si>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</si>
  <si>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</si>
  <si>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</si>
  <si>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</si>
  <si>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</si>
  <si>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</si>
  <si>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</si>
  <si>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</si>
  <si>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</si>
  <si>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</si>
  <si>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</si>
  <si>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</si>
  <si>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</si>
  <si>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</si>
  <si>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</si>
  <si>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</si>
  <si>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</si>
  <si>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</si>
  <si>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</si>
  <si>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</si>
  <si>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</si>
  <si>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</si>
  <si>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</si>
  <si>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</si>
  <si>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</si>
  <si>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</si>
  <si>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</si>
  <si>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</si>
  <si>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</si>
  <si>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</si>
  <si>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</si>
  <si>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</si>
  <si>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</si>
  <si>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</si>
  <si>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</si>
  <si>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</si>
  <si>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</si>
  <si>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</si>
  <si>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</si>
  <si>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</si>
  <si>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</si>
  <si>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</si>
  <si>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</si>
  <si>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</si>
  <si>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</si>
  <si>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</si>
  <si>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</si>
  <si>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</si>
  <si>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</si>
  <si>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</si>
  <si>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</si>
  <si>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</si>
  <si>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</si>
  <si>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</si>
  <si>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</si>
  <si>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</si>
  <si>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</si>
  <si>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</si>
  <si>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</si>
  <si>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</si>
  <si>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</si>
  <si>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</si>
  <si>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</si>
  <si>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</si>
  <si>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</si>
  <si>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</si>
  <si>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</si>
  <si>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</si>
  <si>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</si>
  <si>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</si>
  <si>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</si>
  <si>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</si>
  <si>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</si>
  <si>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</si>
  <si>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</si>
  <si>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</si>
  <si>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</si>
  <si>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</si>
  <si>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</si>
  <si>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</si>
  <si>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</si>
  <si>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</si>
  <si>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</si>
  <si>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</si>
  <si>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</si>
  <si>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</si>
  <si>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</si>
  <si>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</si>
  <si>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</si>
  <si>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</si>
  <si>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</si>
  <si>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</si>
  <si>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</si>
  <si>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</si>
  <si>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</si>
  <si>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</si>
  <si>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</si>
  <si>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</si>
  <si>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</si>
  <si>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</si>
  <si>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</si>
  <si>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</si>
  <si>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</si>
  <si>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</si>
  <si>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</si>
  <si>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</si>
  <si>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</si>
  <si>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</si>
  <si>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</si>
  <si>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</si>
  <si>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</si>
  <si>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</si>
  <si>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</si>
  <si>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</si>
  <si>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</si>
  <si>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</si>
  <si>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</si>
  <si>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</si>
  <si>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</si>
  <si>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</si>
  <si>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</si>
  <si>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</si>
  <si>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</si>
  <si>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</si>
  <si>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</si>
  <si>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</si>
  <si>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</si>
  <si>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</si>
  <si>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</si>
  <si>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</si>
  <si>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</si>
  <si>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</si>
  <si>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</si>
  <si>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</si>
  <si>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</si>
  <si>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</si>
  <si>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</si>
  <si>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</si>
  <si>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</si>
  <si>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</si>
  <si>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</si>
  <si>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</si>
  <si>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</si>
  <si>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</si>
  <si>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</si>
  <si>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</si>
  <si>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</si>
  <si>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</si>
  <si>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</si>
  <si>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</si>
  <si>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</si>
  <si>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</si>
  <si>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</si>
  <si>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</si>
  <si>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</si>
  <si>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</si>
  <si>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</si>
  <si>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</si>
  <si>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</si>
  <si>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</si>
  <si>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</si>
  <si>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</si>
  <si>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</si>
  <si>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</si>
  <si>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</si>
  <si>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</si>
  <si>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</si>
  <si>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</si>
  <si>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</si>
  <si>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</si>
  <si>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</si>
  <si>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</si>
  <si>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</si>
  <si>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</si>
  <si>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</si>
  <si>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</si>
  <si>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</si>
  <si>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</si>
  <si>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</si>
  <si>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</si>
  <si>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</si>
  <si>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</si>
  <si>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</si>
  <si>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</si>
  <si>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</si>
  <si>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</si>
  <si>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</si>
  <si>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</si>
  <si>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</si>
  <si>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</si>
  <si>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</si>
  <si>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</si>
  <si>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</si>
  <si>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</si>
  <si>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</si>
  <si>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</si>
  <si>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</si>
  <si>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</si>
  <si>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</si>
  <si>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</si>
  <si>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</si>
  <si>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</si>
  <si>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</si>
  <si>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</si>
  <si>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</si>
  <si>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</si>
  <si>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</si>
  <si>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</si>
  <si>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</si>
  <si>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</si>
  <si>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</si>
  <si>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</si>
  <si>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</si>
  <si>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</si>
  <si>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</si>
  <si>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</si>
  <si>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</si>
  <si>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</si>
  <si>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</si>
  <si>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</si>
  <si>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</si>
  <si>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</si>
  <si>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</si>
  <si>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</si>
  <si>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</si>
  <si>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</si>
  <si>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</si>
  <si>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</si>
  <si>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</si>
  <si>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</si>
  <si>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</si>
  <si>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</si>
  <si>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</si>
  <si>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</si>
  <si>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</si>
  <si>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</si>
  <si>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</si>
  <si>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</si>
  <si>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</si>
  <si>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</si>
  <si>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</si>
  <si>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</si>
  <si>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</si>
  <si>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</si>
  <si>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</si>
  <si>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</si>
  <si>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</si>
  <si>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</si>
  <si>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</si>
  <si>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</si>
  <si>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</si>
  <si>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</si>
  <si>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</si>
  <si>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</si>
  <si>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</si>
  <si>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</si>
  <si>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</si>
  <si>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</si>
  <si>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</si>
  <si>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</si>
  <si>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</si>
  <si>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</si>
  <si>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</si>
  <si>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</si>
  <si>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</si>
  <si>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</si>
  <si>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</si>
  <si>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</si>
  <si>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</si>
  <si>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</si>
  <si>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</si>
  <si>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</si>
  <si>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</si>
  <si>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</si>
  <si>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</si>
  <si>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</si>
  <si>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</si>
  <si>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</si>
  <si>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</si>
  <si>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</si>
  <si>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</si>
  <si>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</si>
  <si>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</si>
  <si>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</si>
  <si>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</si>
  <si>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</si>
  <si>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</si>
  <si>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</si>
  <si>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</si>
  <si>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</si>
  <si>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</si>
  <si>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</si>
  <si>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</si>
  <si>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</si>
  <si>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</si>
  <si>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</si>
  <si>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</si>
  <si>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</si>
  <si>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</si>
  <si>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</si>
  <si>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</si>
  <si>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</si>
  <si>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</si>
  <si>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</si>
  <si>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</si>
  <si>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</si>
  <si>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</si>
  <si>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</si>
  <si>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</si>
  <si>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</si>
  <si>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</si>
  <si>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</si>
  <si>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</si>
  <si>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</si>
  <si>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</si>
  <si>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</si>
  <si>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</si>
  <si>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</si>
  <si>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</si>
  <si>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</si>
  <si>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</si>
  <si>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</si>
  <si>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</si>
  <si>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</si>
  <si>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</si>
  <si>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</si>
  <si>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</si>
  <si>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</si>
  <si>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</si>
  <si>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</si>
  <si>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</si>
  <si>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</si>
  <si>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</si>
  <si>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</si>
  <si>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</si>
  <si>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</si>
  <si>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</si>
  <si>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</si>
  <si>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</si>
  <si>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</si>
  <si>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</si>
  <si>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</si>
  <si>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</si>
  <si>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</si>
  <si>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</si>
  <si>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</si>
  <si>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</si>
  <si>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</si>
  <si>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</si>
  <si>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</si>
  <si>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</si>
  <si>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</si>
  <si>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</si>
  <si>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</si>
  <si>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</si>
  <si>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</si>
  <si>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</si>
  <si>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</si>
  <si>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</si>
  <si>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</si>
  <si>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</si>
  <si>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</si>
  <si>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</si>
  <si>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</si>
  <si>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</si>
  <si>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</si>
  <si>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</si>
  <si>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</si>
  <si>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</si>
  <si>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</si>
  <si>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</si>
  <si>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</si>
  <si>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</si>
  <si>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</si>
  <si>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</si>
  <si>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</si>
  <si>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</si>
  <si>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</si>
  <si>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</si>
  <si>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</si>
  <si>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</si>
  <si>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</si>
  <si>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</si>
  <si>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</si>
  <si>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</si>
  <si>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</si>
  <si>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</si>
  <si>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</si>
  <si>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</si>
  <si>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</si>
  <si>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</si>
  <si>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</si>
  <si>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</si>
  <si>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</si>
  <si>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</si>
  <si>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</si>
  <si>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</si>
  <si>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</si>
  <si>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</si>
  <si>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</si>
  <si>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</si>
  <si>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</si>
  <si>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</si>
  <si>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</si>
  <si>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</si>
  <si>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</si>
  <si>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</si>
  <si>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</si>
  <si>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</si>
  <si>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</si>
  <si>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</si>
  <si>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</si>
  <si>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</si>
  <si>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</si>
  <si>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</si>
  <si>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</si>
  <si>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</si>
  <si>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</si>
  <si>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</si>
  <si>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</si>
  <si>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</si>
  <si>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</si>
  <si>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</si>
  <si>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</si>
  <si>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</si>
  <si>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</si>
  <si>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</si>
  <si>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</si>
  <si>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</si>
  <si>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</si>
  <si>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</si>
  <si>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</si>
  <si>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</si>
  <si>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</si>
  <si>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</si>
  <si>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</si>
  <si>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</si>
  <si>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</si>
  <si>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</si>
  <si>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</si>
  <si>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</si>
  <si>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</si>
  <si>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</si>
  <si>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</si>
  <si>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</si>
  <si>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</si>
  <si>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</si>
  <si>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</si>
  <si>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</si>
  <si>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</si>
  <si>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</si>
  <si>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</si>
  <si>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</si>
  <si>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</si>
  <si>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</si>
  <si>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</si>
  <si>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</si>
  <si>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</si>
  <si>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</si>
  <si>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</si>
  <si>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</si>
  <si>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</si>
  <si>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</si>
  <si>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</si>
  <si>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</si>
  <si>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</si>
  <si>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</si>
  <si>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</si>
  <si>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</si>
  <si>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</si>
  <si>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</si>
  <si>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</si>
  <si>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</si>
  <si>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</si>
  <si>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</si>
  <si>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</si>
  <si>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</si>
  <si>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</si>
  <si>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</si>
  <si>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</si>
  <si>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</si>
  <si>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</si>
  <si>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</si>
  <si>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</si>
  <si>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</si>
  <si>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</si>
  <si>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</si>
  <si>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</si>
  <si>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</si>
  <si>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</si>
  <si>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</si>
  <si>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</si>
  <si>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</si>
  <si>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</si>
  <si>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</si>
  <si>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</si>
  <si>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</si>
  <si>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</si>
  <si>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</si>
  <si>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</si>
  <si>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</si>
  <si>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</si>
  <si>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</si>
  <si>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</si>
  <si>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</si>
  <si>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</si>
  <si>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</si>
  <si>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</si>
  <si>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</si>
  <si>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</si>
  <si>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</si>
  <si>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</si>
  <si>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</si>
  <si>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</si>
  <si>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</si>
  <si>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</si>
  <si>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</si>
  <si>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</si>
  <si>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</si>
  <si>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</si>
  <si>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</si>
  <si>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</si>
  <si>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</si>
  <si>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</si>
  <si>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</si>
  <si>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</si>
  <si>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</si>
  <si>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</si>
  <si>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</si>
  <si>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</si>
  <si>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</si>
  <si>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</si>
  <si>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</si>
  <si>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</si>
  <si>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</si>
  <si>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</si>
  <si>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</si>
  <si>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</si>
  <si>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</si>
  <si>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</si>
  <si>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</si>
  <si>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</si>
  <si>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</si>
  <si>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</si>
  <si>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</si>
  <si>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</si>
  <si>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</si>
  <si>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</si>
  <si>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</si>
  <si>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</si>
  <si>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</si>
  <si>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</si>
  <si>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</si>
  <si>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</si>
  <si>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</si>
  <si>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</si>
  <si>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</si>
  <si>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</si>
  <si>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</si>
  <si>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</si>
  <si>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</si>
  <si>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</si>
  <si>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</si>
  <si>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</si>
  <si>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</si>
  <si>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</si>
  <si>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</si>
  <si>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</si>
  <si>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</si>
  <si>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</si>
  <si>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</si>
  <si>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</si>
  <si>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</si>
  <si>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</si>
  <si>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</si>
  <si>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</si>
  <si>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</si>
  <si>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</si>
  <si>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</si>
  <si>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</si>
  <si>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</si>
  <si>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</si>
  <si>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</si>
  <si>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</si>
  <si>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</si>
  <si>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</si>
  <si>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</si>
  <si>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</si>
  <si>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</si>
  <si>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</si>
  <si>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</si>
  <si>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</si>
  <si>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</si>
  <si>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</si>
  <si>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</si>
  <si>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</si>
  <si>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</si>
  <si>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</si>
  <si>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</si>
  <si>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</si>
  <si>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</si>
  <si>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</si>
  <si>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</si>
  <si>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</si>
  <si>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</si>
  <si>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</si>
  <si>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</si>
  <si>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</si>
  <si>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</si>
  <si>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</si>
  <si>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</si>
  <si>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</si>
  <si>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</si>
  <si>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</si>
  <si>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</si>
  <si>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</si>
  <si>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</si>
  <si>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</si>
  <si>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</si>
  <si>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</si>
  <si>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</si>
  <si>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</si>
  <si>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</si>
  <si>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</si>
  <si>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</si>
  <si>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</si>
  <si>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</si>
  <si>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</si>
  <si>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</si>
  <si>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</si>
  <si>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</si>
  <si>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</si>
  <si>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</si>
  <si>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</si>
  <si>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</si>
  <si>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</si>
  <si>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</si>
  <si>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</si>
  <si>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</si>
  <si>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</si>
  <si>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</si>
  <si>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</si>
  <si>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</si>
  <si>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</si>
  <si>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</si>
  <si>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</si>
  <si>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</si>
  <si>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</si>
  <si>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</si>
  <si>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</si>
  <si>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</si>
  <si>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</si>
  <si>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</si>
  <si>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</si>
  <si>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</si>
  <si>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</si>
  <si>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</si>
  <si>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</si>
  <si>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</si>
  <si>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</si>
  <si>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</si>
  <si>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</si>
  <si>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</si>
  <si>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</si>
  <si>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</si>
  <si>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</si>
  <si>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</si>
  <si>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</si>
  <si>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</si>
  <si>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</si>
  <si>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</si>
  <si>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</si>
  <si>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</si>
  <si>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</si>
  <si>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</si>
  <si>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</si>
  <si>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</si>
  <si>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</si>
  <si>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</si>
  <si>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</si>
  <si>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</si>
  <si>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</si>
  <si>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</si>
  <si>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</si>
  <si>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</si>
  <si>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</si>
  <si>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</si>
  <si>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</si>
  <si>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</si>
  <si>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</si>
  <si>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</si>
  <si>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</si>
  <si>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</si>
  <si>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</si>
  <si>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</si>
  <si>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</si>
  <si>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</si>
  <si>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</si>
  <si>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</si>
  <si>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</si>
  <si>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</si>
  <si>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</si>
  <si>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</si>
  <si>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</si>
  <si>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</si>
  <si>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</si>
  <si>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</si>
  <si>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</si>
  <si>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</si>
  <si>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</si>
  <si>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</si>
  <si>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</si>
  <si>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</si>
  <si>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</si>
  <si>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</si>
  <si>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</si>
  <si>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</si>
  <si>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</si>
  <si>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</si>
  <si>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</si>
  <si>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</si>
  <si>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</si>
  <si>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</si>
  <si>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</si>
  <si>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</si>
  <si>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</si>
  <si>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</si>
  <si>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</si>
  <si>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</si>
  <si>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</si>
  <si>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</si>
  <si>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</si>
  <si>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</si>
  <si>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</si>
  <si>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</si>
  <si>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</si>
  <si>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</si>
  <si>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</si>
  <si>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</si>
  <si>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</si>
  <si>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</si>
  <si>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</si>
  <si>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</si>
  <si>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</si>
  <si>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</si>
  <si>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</si>
  <si>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</si>
  <si>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</si>
  <si>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</si>
  <si>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</si>
  <si>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</si>
  <si>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</si>
  <si>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</si>
  <si>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</si>
  <si>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</si>
  <si>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</si>
  <si>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</si>
  <si>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</si>
  <si>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</si>
  <si>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</si>
  <si>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</si>
  <si>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</si>
  <si>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</si>
  <si>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</si>
  <si>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</si>
  <si>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</si>
  <si>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</si>
  <si>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</si>
  <si>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</si>
  <si>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</si>
  <si>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</si>
  <si>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</si>
  <si>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</si>
  <si>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</si>
  <si>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</si>
  <si>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</si>
  <si>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</si>
  <si>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</si>
  <si>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</si>
  <si>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</si>
  <si>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</si>
  <si>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</si>
  <si>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</si>
  <si>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</si>
  <si>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</si>
  <si>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</si>
  <si>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</si>
  <si>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</si>
  <si>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</si>
  <si>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</si>
  <si>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</si>
  <si>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</si>
  <si>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</si>
  <si>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</si>
  <si>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</si>
  <si>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</si>
  <si>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</si>
  <si>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</si>
  <si>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</si>
  <si>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</si>
  <si>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</si>
  <si>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</si>
  <si>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</si>
  <si>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</si>
  <si>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</si>
  <si>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</si>
  <si>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</si>
  <si>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</si>
  <si>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</si>
  <si>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</si>
  <si>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</si>
  <si>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</si>
  <si>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</si>
  <si>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</si>
  <si>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</si>
  <si>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</si>
  <si>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</si>
  <si>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</si>
  <si>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</si>
  <si>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</si>
  <si>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</si>
  <si>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</si>
  <si>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</si>
  <si>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</si>
  <si>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</si>
  <si>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</si>
  <si>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</si>
  <si>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</si>
  <si>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</si>
  <si>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</si>
  <si>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</si>
  <si>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</si>
  <si>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</si>
  <si>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</si>
  <si>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</si>
  <si>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</si>
  <si>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</si>
  <si>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</si>
  <si>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</si>
  <si>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</si>
  <si>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</si>
  <si>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</si>
  <si>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</si>
  <si>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</si>
  <si>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</si>
  <si>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</si>
  <si>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</si>
  <si>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</si>
  <si>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</si>
  <si>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</si>
  <si>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</si>
  <si>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</si>
  <si>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</si>
  <si>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</si>
  <si>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</si>
  <si>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</si>
  <si>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</si>
  <si>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</si>
  <si>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</si>
  <si>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</si>
  <si>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</si>
  <si>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</si>
  <si>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</si>
  <si>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</si>
  <si>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</si>
  <si>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</si>
  <si>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</si>
  <si>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</si>
  <si>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</si>
  <si>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</si>
  <si>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</si>
  <si>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</si>
  <si>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</si>
  <si>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</si>
  <si>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</si>
  <si>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</si>
  <si>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</si>
  <si>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</si>
  <si>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</si>
  <si>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</si>
  <si>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</si>
  <si>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</si>
  <si>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</si>
  <si>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</si>
  <si>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</si>
  <si>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</si>
  <si>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</si>
  <si>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</si>
  <si>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</si>
  <si>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</si>
  <si>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</si>
  <si>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</si>
  <si>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</si>
  <si>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</si>
  <si>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</si>
  <si>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</si>
  <si>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</si>
  <si>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</si>
  <si>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</si>
  <si>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</si>
  <si>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</si>
  <si>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</si>
  <si>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</si>
  <si>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</si>
  <si>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</si>
  <si>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</si>
  <si>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</si>
  <si>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</si>
  <si>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</si>
  <si>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</si>
  <si>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</si>
  <si>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</si>
  <si>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</si>
  <si>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</si>
  <si>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</si>
  <si>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</si>
  <si>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</si>
  <si>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</si>
  <si>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</si>
  <si>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</si>
  <si>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</si>
  <si>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</si>
  <si>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</si>
  <si>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</si>
  <si>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</si>
  <si>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</si>
  <si>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</si>
  <si>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</si>
  <si>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</si>
  <si>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</si>
  <si>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</si>
  <si>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</si>
  <si>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</si>
  <si>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</si>
  <si>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</si>
  <si>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</si>
  <si>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</si>
  <si>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</si>
  <si>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</si>
  <si>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</si>
  <si>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</si>
  <si>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</si>
  <si>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</si>
  <si>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</si>
  <si>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</si>
  <si>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</si>
  <si>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</si>
  <si>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</si>
  <si>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</si>
  <si>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</si>
  <si>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</si>
  <si>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</si>
  <si>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</si>
  <si>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</si>
  <si>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</si>
  <si>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</si>
  <si>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</si>
  <si>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</si>
  <si>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</si>
  <si>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</si>
  <si>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</si>
  <si>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</si>
  <si>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</si>
  <si>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</si>
  <si>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</si>
  <si>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</si>
  <si>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</si>
  <si>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</si>
  <si>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</si>
  <si>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</si>
  <si>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</si>
  <si>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</si>
  <si>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</si>
  <si>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</si>
  <si>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</si>
  <si>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</si>
  <si>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</si>
  <si>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</si>
  <si>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</si>
  <si>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</si>
  <si>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</si>
  <si>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</si>
  <si>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</si>
  <si>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</si>
  <si>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</si>
  <si>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</si>
  <si>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</si>
  <si>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</si>
  <si>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</si>
  <si>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</si>
  <si>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</si>
  <si>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</si>
  <si>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</si>
  <si>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</si>
  <si>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</si>
  <si>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</si>
  <si>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</si>
  <si>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</si>
  <si>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</si>
  <si>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</si>
  <si>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</si>
  <si>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</si>
  <si>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</si>
  <si>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</si>
  <si>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</si>
  <si>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</si>
  <si>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</si>
  <si>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</si>
  <si>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</si>
  <si>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</si>
  <si>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</si>
  <si>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</si>
  <si>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</si>
  <si>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</si>
  <si>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</si>
  <si>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</si>
  <si>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</si>
  <si>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</si>
  <si>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</si>
  <si>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</si>
  <si>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</si>
  <si>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</si>
  <si>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</si>
  <si>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</si>
  <si>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</si>
  <si>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</si>
  <si>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</si>
  <si>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</si>
  <si>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</si>
  <si>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</si>
  <si>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</si>
  <si>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</si>
  <si>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</si>
  <si>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</si>
  <si>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</si>
  <si>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</si>
  <si>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</si>
  <si>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</si>
  <si>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</si>
  <si>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</si>
  <si>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</si>
  <si>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</si>
  <si>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</si>
  <si>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</si>
  <si>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</si>
  <si>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</si>
  <si>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</si>
  <si>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</si>
  <si>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</si>
  <si>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</si>
  <si>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</si>
  <si>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</si>
  <si>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</si>
  <si>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</si>
  <si>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</si>
  <si>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</si>
  <si>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</si>
  <si>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</si>
  <si>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</si>
  <si>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</si>
  <si>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</si>
  <si>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</si>
  <si>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</si>
  <si>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</si>
  <si>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</si>
  <si>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</si>
  <si>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</si>
  <si>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</si>
  <si>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</si>
  <si>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</si>
  <si>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</si>
  <si>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</si>
  <si>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</si>
  <si>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</si>
  <si>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</si>
  <si>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</si>
  <si>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</si>
  <si>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</si>
  <si>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</si>
  <si>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</si>
  <si>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</si>
  <si>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</si>
  <si>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</si>
  <si>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</si>
  <si>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</si>
  <si>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</si>
  <si>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</si>
  <si>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</si>
  <si>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</si>
  <si>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</si>
  <si>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</si>
  <si>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</si>
  <si>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</si>
  <si>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</si>
  <si>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</si>
  <si>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</si>
  <si>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</si>
  <si>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</si>
  <si>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</si>
  <si>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</si>
  <si>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</si>
  <si>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</si>
  <si>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</si>
  <si>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</si>
  <si>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</si>
  <si>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</si>
  <si>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</si>
  <si>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</si>
  <si>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</si>
  <si>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</si>
  <si>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</si>
  <si>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</si>
  <si>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</si>
  <si>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</si>
  <si>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</si>
  <si>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</si>
  <si>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</si>
  <si>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</si>
  <si>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</si>
  <si>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</si>
  <si>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</si>
  <si>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</si>
  <si>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</si>
  <si>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</si>
  <si>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</si>
  <si>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</si>
  <si>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</si>
  <si>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</si>
  <si>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</si>
  <si>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</si>
  <si>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</si>
  <si>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</si>
  <si>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</si>
  <si>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</si>
  <si>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</si>
  <si>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</si>
  <si>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</si>
  <si>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</si>
  <si>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</si>
  <si>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</si>
  <si>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6/May/2017: New added camp. Data source: KBC. Camp was confirmed by CCCM unit. The missing informaiton will be updated as soon as possible.</t>
  </si>
  <si>
    <t>MMR015CMP247</t>
  </si>
  <si>
    <t>2/June/2017: Population updated. Data source: WASH Cluster (dated 7/April_outlook mail)
Change to Host Families.</t>
  </si>
  <si>
    <t>2/June/2017: Changed camp status as "Closed" according to UNHCR_Lashio information.
17-01-2017: New added camp. Missing data will be collected from partners and present in next Report.</t>
  </si>
  <si>
    <t>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</si>
  <si>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</si>
  <si>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</si>
  <si>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</si>
  <si>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</si>
  <si>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</si>
  <si>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</si>
  <si>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</si>
  <si>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</si>
  <si>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</si>
  <si>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</si>
  <si>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</si>
  <si>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</si>
  <si>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</si>
  <si>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</si>
  <si>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</si>
  <si>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</si>
  <si>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</si>
  <si>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</si>
  <si>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</si>
  <si>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</si>
  <si>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</si>
  <si>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</si>
  <si>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</si>
  <si>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</si>
  <si>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</si>
  <si>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</si>
  <si>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</si>
  <si>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</si>
  <si>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</si>
  <si>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</si>
  <si>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</si>
  <si>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</si>
  <si>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</si>
  <si>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</si>
  <si>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</si>
  <si>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</si>
  <si>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</si>
  <si>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</si>
  <si>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</si>
  <si>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Updated from UNOCHA, visited on March 2017 
9/Nov/15. New added camp. Data source: UNHCR CCCM officer NSS mission 8-12 July 2015.</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</si>
  <si>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</si>
  <si>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</si>
  <si>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</si>
  <si>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</si>
  <si>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</si>
  <si>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</si>
  <si>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</si>
  <si>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</si>
  <si>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</si>
  <si>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</si>
  <si>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</si>
  <si>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</si>
  <si>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</si>
  <si>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</si>
  <si>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</si>
  <si>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</si>
  <si>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</si>
  <si>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</si>
  <si>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</si>
  <si>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</si>
  <si>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</si>
  <si>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</si>
  <si>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Ta Gun Taing</t>
  </si>
  <si>
    <t>KMSS-M</t>
  </si>
  <si>
    <t>Dhama Rakhita, Nyein Chan Tar Yar Ward (Lon Kin)</t>
  </si>
  <si>
    <t>Lisu Baptist Church, Maw Shan Vil, Seik Mu</t>
  </si>
  <si>
    <t>Nam Ma Phyit Catholic Church</t>
  </si>
  <si>
    <t>Rawan Baptist Church, Maw Shan Vil, Seik Mu.</t>
  </si>
  <si>
    <t>Ward 2 Catholic Church, Seik Mu</t>
  </si>
  <si>
    <t>Ward 2 Sai Taung Baptist Church, Seik Mu</t>
  </si>
  <si>
    <t>Yumar Baptist</t>
  </si>
  <si>
    <t>5 Ward RC Church (Lon Kin)</t>
  </si>
  <si>
    <t>NSS</t>
  </si>
  <si>
    <t>uncovered</t>
  </si>
  <si>
    <t>N/A</t>
  </si>
  <si>
    <t>Reported by NRC</t>
  </si>
  <si>
    <t>KMSS-L</t>
  </si>
  <si>
    <t>Kutkai Downtown _ RC Church</t>
  </si>
  <si>
    <t>Mine Yu Lay village new</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</si>
  <si>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</si>
  <si>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</si>
  <si>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</si>
  <si>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</si>
  <si>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</si>
  <si>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</si>
  <si>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</si>
  <si>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</si>
  <si>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</si>
  <si>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</si>
  <si>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</si>
  <si>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</si>
  <si>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</si>
  <si>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</si>
  <si>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</si>
  <si>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</si>
  <si>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</si>
  <si>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</si>
  <si>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</si>
  <si>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</si>
  <si>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</si>
  <si>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</si>
  <si>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</si>
  <si>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</si>
  <si>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</si>
  <si>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</si>
  <si>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</si>
  <si>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</si>
  <si>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</si>
  <si>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</si>
  <si>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</si>
  <si>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</si>
  <si>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</si>
  <si>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</si>
  <si>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</si>
  <si>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</si>
  <si>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</si>
  <si>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</si>
  <si>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</si>
  <si>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</si>
  <si>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</si>
  <si>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</si>
  <si>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</si>
  <si>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</si>
  <si>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</si>
  <si>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</si>
  <si>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</si>
  <si>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 xml:space="preserve">Qtr 4 Monestry (Thargaya Thayet Taw) </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</si>
  <si>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</si>
  <si>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</si>
  <si>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</si>
  <si>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</si>
  <si>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</si>
  <si>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</si>
  <si>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</si>
  <si>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</si>
  <si>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</si>
  <si>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</si>
  <si>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</si>
  <si>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 Shelters</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</si>
  <si>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</si>
  <si>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</si>
  <si>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</si>
  <si>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</si>
  <si>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</si>
  <si>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</si>
  <si>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</si>
  <si>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</si>
  <si>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</si>
  <si>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</si>
  <si>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25/Jul/2016: Added as new camp according to KBC data.</t>
  </si>
  <si>
    <t xml:space="preserve">No agency has visited since Jul/2016, KBC to follow up.
25/Jul/2016: Added as new camp according to KBC data. </t>
  </si>
  <si>
    <t>No update information since Jul/2016, KBC to follow up
25/Jul/2016: Added as new camp according to KBC data.</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</si>
  <si>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</si>
  <si>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</si>
  <si>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</si>
  <si>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</si>
  <si>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</si>
  <si>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</si>
  <si>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</si>
  <si>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</si>
  <si>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</si>
  <si>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</si>
  <si>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</si>
  <si>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</si>
  <si>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</si>
  <si>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</si>
  <si>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</si>
  <si>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</si>
  <si>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</si>
  <si>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</si>
  <si>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</si>
  <si>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</si>
  <si>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</si>
  <si>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</si>
  <si>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</si>
  <si>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</si>
  <si>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</si>
  <si>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</si>
  <si>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</si>
  <si>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</si>
  <si>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</si>
  <si>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</si>
  <si>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</si>
  <si>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</si>
  <si>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</si>
  <si>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</si>
  <si>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</si>
  <si>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</si>
  <si>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</si>
  <si>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</si>
  <si>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</si>
  <si>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</si>
  <si>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</si>
  <si>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</si>
  <si>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</si>
  <si>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</si>
  <si>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</si>
  <si>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</si>
  <si>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</si>
  <si>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</si>
  <si>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</si>
  <si>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</si>
  <si>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</si>
  <si>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</si>
  <si>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</si>
  <si>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</si>
  <si>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</si>
  <si>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</si>
  <si>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</si>
  <si>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</si>
  <si>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</si>
  <si>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</si>
  <si>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State / Accessibility</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</si>
  <si>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</si>
  <si>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</si>
  <si>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</si>
  <si>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</si>
  <si>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</si>
  <si>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</si>
  <si>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</si>
  <si>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</si>
  <si>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</si>
  <si>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</si>
  <si>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</si>
  <si>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</si>
  <si>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</si>
  <si>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</si>
  <si>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</si>
  <si>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</si>
  <si>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</si>
  <si>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</si>
  <si>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</si>
  <si>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</si>
  <si>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</si>
  <si>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</si>
  <si>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</si>
  <si>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</si>
  <si>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</si>
  <si>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</si>
  <si>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</si>
  <si>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</si>
  <si>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</si>
  <si>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</si>
  <si>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</si>
  <si>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</si>
  <si>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</si>
  <si>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</si>
  <si>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</si>
  <si>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</si>
  <si>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</si>
  <si>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</si>
  <si>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</si>
  <si>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</si>
  <si>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</si>
  <si>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</si>
  <si>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</si>
  <si>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</si>
  <si>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</si>
  <si>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</si>
  <si>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</si>
  <si>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</si>
  <si>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</si>
  <si>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</si>
  <si>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</si>
  <si>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</si>
  <si>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</si>
  <si>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</si>
  <si>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</si>
  <si>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</si>
  <si>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</si>
  <si>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</si>
  <si>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</si>
  <si>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</si>
  <si>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</si>
  <si>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</si>
  <si>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</si>
  <si>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</si>
  <si>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</si>
  <si>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</si>
  <si>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</si>
  <si>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</si>
  <si>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 village</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</si>
  <si>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</si>
  <si>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</si>
  <si>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</si>
  <si>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</si>
  <si>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</si>
  <si>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</si>
  <si>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</si>
  <si>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</si>
  <si>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</si>
  <si>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</si>
  <si>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</si>
  <si>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</si>
  <si>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</si>
  <si>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</si>
  <si>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</si>
  <si>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Pa Ma Tee</t>
  </si>
  <si>
    <t>AG Church Pa Ma Tee</t>
  </si>
  <si>
    <t>New displacement from Ka Sung</t>
  </si>
  <si>
    <t>Closed as of 1st of September 2017</t>
  </si>
  <si>
    <t>Pan Law</t>
  </si>
  <si>
    <t>IDPs returned</t>
  </si>
  <si>
    <t>Tanai RC church (kinsa Ra)</t>
  </si>
  <si>
    <t>Loi Je RC camp</t>
  </si>
  <si>
    <t>Waignmaw</t>
  </si>
  <si>
    <t>Waignmaw lhavo zonal</t>
  </si>
  <si>
    <t>Waignmaw AG</t>
  </si>
  <si>
    <t>Lack of access. Not updated since Mar/2014.
Change to Host Families.</t>
  </si>
  <si>
    <t>closed</t>
  </si>
  <si>
    <t>Qtr.2 Lhavo Zonal</t>
  </si>
  <si>
    <t>waing 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</si>
  <si>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</si>
  <si>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</si>
  <si>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20-12-17</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</si>
  <si>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</si>
  <si>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</si>
  <si>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</si>
  <si>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</si>
  <si>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</si>
  <si>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</si>
  <si>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</si>
  <si>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</si>
  <si>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</si>
  <si>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</si>
  <si>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</si>
  <si>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</si>
  <si>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</si>
  <si>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</si>
  <si>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</si>
  <si>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</si>
  <si>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</si>
  <si>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</si>
  <si>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</si>
  <si>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</si>
  <si>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</si>
  <si>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Mandalay Monastery</t>
  </si>
  <si>
    <t xml:space="preserve">Aup Kyin Shan </t>
  </si>
  <si>
    <t>ICRC</t>
  </si>
  <si>
    <t>KMSS-M/UNHCR</t>
  </si>
  <si>
    <t>KMSS-B/NRC</t>
  </si>
  <si>
    <t>Ongoing till Feb 2018</t>
  </si>
  <si>
    <t>Relief International ( RI)</t>
  </si>
  <si>
    <t>RI</t>
  </si>
  <si>
    <t xml:space="preserve">Muse </t>
  </si>
  <si>
    <t>B.E.H.S(1)</t>
  </si>
  <si>
    <t>Aung Min Galar Monastery</t>
  </si>
  <si>
    <t>Aung Myay Thar Yar Monastery</t>
  </si>
  <si>
    <t>Warso Monastery</t>
  </si>
  <si>
    <t>Namhkam</t>
  </si>
  <si>
    <t>Thanti Thukha Religious building</t>
  </si>
  <si>
    <t>Nam Hpak Ka Ta'ang ( Aung Tha Pyay)</t>
  </si>
  <si>
    <t>Camp Like setting</t>
  </si>
  <si>
    <t xml:space="preserve">5/Mar/2018: Population update. Data source:  Camp manager 
New displacement from Tingkawk
</t>
  </si>
  <si>
    <t>KMSSB and NRC will cover 100 each</t>
  </si>
  <si>
    <t>Reported by Shalom</t>
  </si>
  <si>
    <t>DRC/Metta</t>
  </si>
  <si>
    <t>Chipwi LBC camp</t>
  </si>
  <si>
    <t>Shelter gap/needs:  2018</t>
  </si>
  <si>
    <t>Planned coverage: Jul - Dec 2018</t>
  </si>
  <si>
    <t>remaining gap/needs: 2018</t>
  </si>
  <si>
    <t>Agencies currently implementing shelter activities (2018)</t>
  </si>
  <si>
    <t>Dignity Kits</t>
  </si>
  <si>
    <t>31.12.2017</t>
  </si>
  <si>
    <t>IRC</t>
  </si>
  <si>
    <t>UNFPA</t>
  </si>
  <si>
    <t>Dignity Kit</t>
  </si>
  <si>
    <t>CSOs</t>
  </si>
  <si>
    <t>Aung Min Galar (Monastery)</t>
  </si>
  <si>
    <t>Jawsaw</t>
  </si>
  <si>
    <t>Kaung AI (Monastery)</t>
  </si>
  <si>
    <t>Hkauk Kwe (Monastery)</t>
  </si>
  <si>
    <t>Warso ( Monastery)</t>
  </si>
  <si>
    <t>Aung Myay Thar Yar (Monastery)</t>
  </si>
  <si>
    <t>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</si>
  <si>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KMSS_Bhamo</t>
  </si>
  <si>
    <t>KMSS-LSO/UNHCR</t>
  </si>
  <si>
    <r>
      <t>Lawng Hkang Shait Yang Camp</t>
    </r>
    <r>
      <rPr>
        <sz val="12"/>
        <rFont val="Calibri"/>
        <family val="2"/>
        <scheme val="minor"/>
      </rPr>
      <t>​ ( Lel Pyin)​ </t>
    </r>
  </si>
  <si>
    <t>Shelter gap analysis February 2018</t>
  </si>
  <si>
    <t>ICRC last cluster meeting</t>
  </si>
  <si>
    <t>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</si>
  <si>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Current Coverage</t>
  </si>
  <si>
    <t>KMSS-B and Cordaid agreement to be signed</t>
  </si>
  <si>
    <t>KMSSB 36units completed in Match18,  KBC 231 units on going</t>
  </si>
  <si>
    <t>UNHCR/KMSSB</t>
  </si>
  <si>
    <t>KBC/KMSSB</t>
  </si>
  <si>
    <t>KMSS-M/UNHCR/ICRC</t>
  </si>
  <si>
    <t>Bhamo Total</t>
  </si>
  <si>
    <t>shalom/UNHCR</t>
  </si>
  <si>
    <t>KBC/UNHCR</t>
  </si>
  <si>
    <t>Yes for 5</t>
  </si>
  <si>
    <t>Mansi Total</t>
  </si>
  <si>
    <t>Mogaung Total</t>
  </si>
  <si>
    <t>Mohnyin Total</t>
  </si>
  <si>
    <t>Momauk Total</t>
  </si>
  <si>
    <t>Puta-O Total</t>
  </si>
  <si>
    <t>Shwegu Total</t>
  </si>
  <si>
    <t>Sumprabum Total</t>
  </si>
  <si>
    <t>Hseni Total</t>
  </si>
  <si>
    <t>Kutkai Total</t>
  </si>
  <si>
    <t>Manton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</si>
  <si>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</si>
  <si>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</si>
  <si>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</si>
  <si>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</si>
  <si>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</si>
  <si>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</si>
  <si>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</si>
  <si>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</si>
  <si>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</si>
  <si>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</si>
  <si>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</si>
  <si>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</si>
  <si>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</si>
  <si>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</si>
  <si>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</si>
  <si>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</si>
  <si>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</si>
  <si>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</si>
  <si>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</si>
  <si>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</si>
  <si>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</si>
  <si>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</si>
  <si>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</si>
  <si>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</si>
  <si>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</si>
  <si>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</si>
  <si>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</si>
  <si>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</si>
  <si>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</si>
  <si>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</si>
  <si>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</si>
  <si>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</si>
  <si>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</si>
  <si>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</si>
  <si>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</si>
  <si>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</si>
  <si>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</si>
  <si>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</si>
  <si>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</si>
  <si>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</si>
  <si>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</si>
  <si>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</si>
  <si>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</si>
  <si>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</si>
  <si>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</si>
  <si>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</si>
  <si>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</si>
  <si>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 xml:space="preserve">30/Apr/2018: Population update. Data source: KBC
27/Mar/2018: Population update. Data source: KBC
5/Mar/2018: Population update. Data source: KBC
Three locations in Du Kahtawng merged as per 1st of July </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</si>
  <si>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</si>
  <si>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</si>
  <si>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</si>
  <si>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</si>
  <si>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</si>
  <si>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</si>
  <si>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r>
      <t xml:space="preserve">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</si>
  <si>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</si>
  <si>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</si>
  <si>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</si>
  <si>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</si>
  <si>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</si>
  <si>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</si>
  <si>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</si>
  <si>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</si>
  <si>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</si>
  <si>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</si>
  <si>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</si>
  <si>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</si>
  <si>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</si>
  <si>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</si>
  <si>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</si>
  <si>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</si>
  <si>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</si>
  <si>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</si>
  <si>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</si>
  <si>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</si>
  <si>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</si>
  <si>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</si>
  <si>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</si>
  <si>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</si>
  <si>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</si>
  <si>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</si>
  <si>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</si>
  <si>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</si>
  <si>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</si>
  <si>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</si>
  <si>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</si>
  <si>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</si>
  <si>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</si>
  <si>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</si>
  <si>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</si>
  <si>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</si>
  <si>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</si>
  <si>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</si>
  <si>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</si>
  <si>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</si>
  <si>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</si>
  <si>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</si>
  <si>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</si>
  <si>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</si>
  <si>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</si>
  <si>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</si>
  <si>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</si>
  <si>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</si>
  <si>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</si>
  <si>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</si>
  <si>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</si>
  <si>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</si>
  <si>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</si>
  <si>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30/Apr/2018: Population update. Data source: KBC
27/Mar/2018: Population update. Data source: KBC
5/Mar/2018: Population update. Data source: KBC
CCCM activities start in july 2017</t>
  </si>
  <si>
    <t>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</si>
  <si>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</si>
  <si>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</si>
  <si>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</si>
  <si>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</si>
  <si>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</si>
  <si>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30/Apr/2018: Population update. Data source: KMSS_Lashio
27 Mar 2018: Population update. Data source: KMSS_Lashio.
5/Mar/2018:  Population update. Data source:KMSS_Lashio
12/Jan/2018: Population update. Data source:KMSS_Lashio
CCCM activities start in july 2017</t>
  </si>
  <si>
    <t>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</si>
  <si>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</si>
  <si>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r>
      <t xml:space="preserve">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</si>
  <si>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</si>
  <si>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</si>
  <si>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</si>
  <si>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r>
      <t xml:space="preserve">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</si>
  <si>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</si>
  <si>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</si>
  <si>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</si>
  <si>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</si>
  <si>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</si>
  <si>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</si>
  <si>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</si>
  <si>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</si>
  <si>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</si>
  <si>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</si>
  <si>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</si>
  <si>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</si>
  <si>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</si>
  <si>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</si>
  <si>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</si>
  <si>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</si>
  <si>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</si>
  <si>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</si>
  <si>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</si>
  <si>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</si>
  <si>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</si>
  <si>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</si>
  <si>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30/4/2018</t>
  </si>
  <si>
    <t>NFI Kits</t>
  </si>
  <si>
    <t>Emergency Fund</t>
  </si>
  <si>
    <t>30/4/2019</t>
  </si>
  <si>
    <t>30/4/2020</t>
  </si>
  <si>
    <t>KMSS_B</t>
  </si>
  <si>
    <t>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</si>
  <si>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Distribution Month/Year (Auto-calculated)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</si>
</sst>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4"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5" tint="-0.249977111117893"/>
      <name val="Calibri"/>
      <family val="2"/>
      <scheme val="minor"/>
    </font>
    <font>
      <sz val="11"/>
      <color rgb="FF00B050"/>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medium">
        <color indexed="64"/>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medium">
        <color indexed="64"/>
      </left>
      <right style="thin">
        <color theme="0"/>
      </right>
      <top/>
      <bottom/>
      <diagonal/>
    </border>
    <border>
      <left style="thin">
        <color theme="0"/>
      </left>
      <right/>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theme="4" tint="-0.249977111117893"/>
      </top>
      <bottom style="thin">
        <color theme="4" tint="-0.249977111117893"/>
      </bottom>
      <diagonal/>
    </border>
  </borders>
  <cellStyleXfs count="19">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7" fillId="0" borderId="0" applyFont="0" applyFill="0" applyBorder="0" applyAlignment="0" applyProtection="0"/>
    <xf numFmtId="0" fontId="20"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58" fillId="23" borderId="46" applyNumberFormat="0" applyAlignment="0" applyProtection="0"/>
  </cellStyleXfs>
  <cellXfs count="824">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165" fontId="0" fillId="5" borderId="0" xfId="0" applyNumberFormat="1" applyFill="1" applyBorder="1"/>
    <xf numFmtId="0" fontId="0" fillId="5" borderId="4" xfId="0" applyFill="1" applyBorder="1" applyAlignment="1">
      <alignment horizontal="left" indent="1"/>
    </xf>
    <xf numFmtId="165" fontId="0" fillId="6" borderId="20" xfId="0" applyNumberFormat="1" applyFill="1" applyBorder="1" applyAlignment="1">
      <alignment horizontal="left"/>
    </xf>
    <xf numFmtId="165" fontId="0" fillId="6" borderId="38" xfId="0" applyNumberFormat="1" applyFill="1"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18" borderId="0" xfId="0" applyNumberFormat="1" applyFill="1" applyBorder="1"/>
    <xf numFmtId="165" fontId="0" fillId="20" borderId="4" xfId="0" applyNumberFormat="1" applyFill="1" applyBorder="1" applyAlignment="1">
      <alignment horizontal="left"/>
    </xf>
    <xf numFmtId="165" fontId="0" fillId="20" borderId="0" xfId="0" applyNumberFormat="1" applyFill="1" applyBorder="1"/>
    <xf numFmtId="165" fontId="0" fillId="20" borderId="34" xfId="0" applyNumberFormat="1" applyFill="1" applyBorder="1"/>
    <xf numFmtId="0" fontId="0" fillId="18" borderId="2" xfId="0" applyFill="1" applyBorder="1"/>
    <xf numFmtId="9" fontId="0" fillId="5" borderId="34" xfId="0" applyNumberFormat="1" applyFill="1" applyBorder="1"/>
    <xf numFmtId="0" fontId="0" fillId="5" borderId="4" xfId="0" applyFill="1" applyBorder="1" applyAlignment="1">
      <alignment horizontal="left"/>
    </xf>
    <xf numFmtId="9" fontId="0" fillId="6" borderId="15" xfId="0" applyNumberFormat="1"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165" fontId="0" fillId="18" borderId="1" xfId="0" applyNumberFormat="1"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165" fontId="0" fillId="18" borderId="38"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0" fillId="5" borderId="3" xfId="0" applyFill="1" applyBorder="1"/>
    <xf numFmtId="0" fontId="0" fillId="5" borderId="2" xfId="0" applyFill="1" applyBorder="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0" fontId="0" fillId="3" borderId="0" xfId="0" applyFill="1" applyAlignment="1">
      <alignment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0" fontId="9" fillId="0" borderId="44" xfId="0" applyFont="1" applyFill="1" applyBorder="1" applyAlignment="1">
      <alignment horizontal="lef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30" xfId="0" applyFont="1" applyFill="1" applyBorder="1" applyAlignment="1" applyProtection="1">
      <alignment horizontal="center" vertic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60" fillId="5" borderId="0" xfId="6" applyFont="1" applyFill="1" applyBorder="1" applyAlignment="1">
      <alignment vertical="center"/>
    </xf>
    <xf numFmtId="0" fontId="0" fillId="20" borderId="14" xfId="0" applyFill="1" applyBorder="1" applyAlignment="1">
      <alignment vertical="center"/>
    </xf>
    <xf numFmtId="165" fontId="44" fillId="0" borderId="0" xfId="7" quotePrefix="1" applyNumberFormat="1" applyFont="1" applyFill="1" applyBorder="1" applyAlignment="1">
      <alignment vertical="center"/>
    </xf>
    <xf numFmtId="0" fontId="0" fillId="5" borderId="0" xfId="0" applyFont="1" applyFill="1" applyBorder="1" applyAlignment="1">
      <alignment horizontal="center" vertical="center" wrapText="1"/>
    </xf>
    <xf numFmtId="0" fontId="61" fillId="0" borderId="0" xfId="0" applyFont="1" applyFill="1" applyBorder="1" applyAlignment="1">
      <alignment vertical="center"/>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21"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3"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4"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18" borderId="22" xfId="0" applyFill="1" applyBorder="1" applyAlignment="1">
      <alignment horizontal="center"/>
    </xf>
    <xf numFmtId="0" fontId="0" fillId="18" borderId="37" xfId="0" applyFill="1" applyBorder="1" applyAlignment="1">
      <alignment horizontal="left"/>
    </xf>
    <xf numFmtId="9" fontId="0" fillId="18" borderId="34" xfId="0" applyNumberFormat="1" applyFill="1" applyBorder="1"/>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7"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59" xfId="0" applyFont="1" applyBorder="1" applyAlignment="1">
      <alignment horizontal="center" vertical="center" textRotation="90"/>
    </xf>
    <xf numFmtId="0" fontId="52" fillId="0" borderId="57" xfId="0" applyFont="1" applyBorder="1" applyAlignment="1">
      <alignment horizontal="center" vertical="center" textRotation="90" wrapText="1"/>
    </xf>
    <xf numFmtId="0" fontId="52" fillId="0" borderId="58" xfId="0" applyFont="1" applyBorder="1" applyAlignment="1">
      <alignment horizontal="center" vertical="center" textRotation="90" wrapText="1"/>
    </xf>
    <xf numFmtId="0" fontId="52" fillId="0" borderId="59"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6" xfId="0" applyFont="1" applyFill="1" applyBorder="1" applyProtection="1">
      <protection locked="0"/>
    </xf>
    <xf numFmtId="0" fontId="61"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6"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7"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5" fillId="4" borderId="68" xfId="0" applyFont="1" applyFill="1" applyBorder="1" applyAlignment="1">
      <alignment vertical="center"/>
    </xf>
    <xf numFmtId="0" fontId="65" fillId="4" borderId="69" xfId="0" applyFont="1" applyFill="1" applyBorder="1" applyAlignment="1">
      <alignment vertical="center"/>
    </xf>
    <xf numFmtId="0" fontId="14" fillId="4" borderId="70"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7" xfId="6" applyNumberFormat="1" applyFont="1" applyFill="1" applyBorder="1" applyAlignment="1">
      <alignment horizontal="right" vertical="center"/>
    </xf>
    <xf numFmtId="165" fontId="18" fillId="4" borderId="67"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1"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2"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6" fillId="0" borderId="14" xfId="0" applyFont="1" applyFill="1" applyBorder="1" applyAlignment="1">
      <alignment vertical="center"/>
    </xf>
    <xf numFmtId="0" fontId="66"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0" xfId="0" applyBorder="1" applyAlignment="1">
      <alignment vertical="top"/>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62" fillId="0" borderId="14" xfId="0" applyFont="1" applyFill="1" applyBorder="1" applyAlignment="1">
      <alignment vertical="center"/>
    </xf>
    <xf numFmtId="0" fontId="62" fillId="0" borderId="10" xfId="0" applyFont="1" applyFill="1" applyBorder="1" applyAlignment="1">
      <alignment horizontal="center" vertical="center"/>
    </xf>
    <xf numFmtId="0" fontId="0" fillId="0" borderId="61" xfId="0" applyFont="1" applyBorder="1" applyAlignment="1">
      <alignment vertical="center"/>
    </xf>
    <xf numFmtId="0" fontId="0" fillId="0" borderId="34" xfId="0" applyBorder="1" applyAlignment="1">
      <alignment vertical="center"/>
    </xf>
    <xf numFmtId="0" fontId="0" fillId="0" borderId="72" xfId="0" applyBorder="1" applyAlignment="1">
      <alignment vertical="center"/>
    </xf>
    <xf numFmtId="0" fontId="62" fillId="0" borderId="73" xfId="0" applyFont="1" applyFill="1" applyBorder="1" applyAlignment="1">
      <alignment horizontal="center" vertical="center"/>
    </xf>
    <xf numFmtId="0" fontId="0" fillId="0" borderId="74" xfId="0" applyBorder="1" applyAlignment="1">
      <alignment vertical="center"/>
    </xf>
    <xf numFmtId="0" fontId="18" fillId="4" borderId="71"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8" fillId="0" borderId="0" xfId="0" applyFont="1"/>
    <xf numFmtId="0" fontId="52" fillId="0" borderId="73" xfId="0" applyFont="1" applyBorder="1" applyAlignment="1">
      <alignment horizontal="center" vertical="center" textRotation="90"/>
    </xf>
    <xf numFmtId="0" fontId="52" fillId="0" borderId="61"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9"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9" fillId="0" borderId="0" xfId="0" applyFont="1" applyFill="1" applyBorder="1" applyAlignment="1">
      <alignment horizontal="right" vertical="center"/>
    </xf>
    <xf numFmtId="0" fontId="69"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4" fillId="0" borderId="1" xfId="0" applyFont="1" applyFill="1" applyBorder="1" applyProtection="1">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62" xfId="0" applyFont="1" applyFill="1" applyBorder="1" applyAlignment="1" applyProtection="1">
      <alignment horizontal="center"/>
      <protection locked="0"/>
    </xf>
    <xf numFmtId="0" fontId="0" fillId="0" borderId="14" xfId="0" applyBorder="1" applyAlignment="1">
      <alignment horizontal="right" vertical="center"/>
    </xf>
    <xf numFmtId="0" fontId="0" fillId="0" borderId="0" xfId="0" applyBorder="1" applyAlignment="1">
      <alignment horizontal="right" vertical="center"/>
    </xf>
    <xf numFmtId="0" fontId="0" fillId="0" borderId="5" xfId="0" quotePrefix="1" applyFont="1" applyFill="1" applyBorder="1" applyAlignment="1">
      <alignment horizontal="center" vertical="center" wrapText="1"/>
    </xf>
    <xf numFmtId="43" fontId="66" fillId="0" borderId="0" xfId="0" applyNumberFormat="1" applyFont="1" applyBorder="1" applyAlignment="1">
      <alignment vertical="center"/>
    </xf>
    <xf numFmtId="0" fontId="3" fillId="0" borderId="37" xfId="0" pivotButton="1" applyFont="1" applyBorder="1" applyAlignment="1">
      <alignment vertical="center"/>
    </xf>
    <xf numFmtId="0" fontId="52" fillId="2" borderId="17" xfId="0" applyFont="1" applyFill="1" applyBorder="1" applyProtection="1">
      <protection locked="0"/>
    </xf>
    <xf numFmtId="0" fontId="52" fillId="2" borderId="1" xfId="0" applyFont="1" applyFill="1" applyBorder="1" applyAlignment="1" applyProtection="1">
      <alignment horizontal="right" vertical="center"/>
      <protection locked="0"/>
    </xf>
    <xf numFmtId="0" fontId="52" fillId="2" borderId="1" xfId="0" applyFont="1" applyFill="1" applyBorder="1" applyProtection="1">
      <protection locked="0"/>
    </xf>
    <xf numFmtId="0" fontId="0" fillId="0" borderId="75" xfId="0" applyFont="1" applyBorder="1" applyAlignment="1">
      <alignment vertical="center"/>
    </xf>
    <xf numFmtId="0" fontId="19" fillId="2" borderId="17" xfId="0" applyFont="1" applyFill="1" applyBorder="1" applyProtection="1">
      <protection locked="0"/>
    </xf>
    <xf numFmtId="0" fontId="19" fillId="2" borderId="1" xfId="0" applyFont="1" applyFill="1" applyBorder="1" applyProtection="1">
      <protection locked="0"/>
    </xf>
    <xf numFmtId="0" fontId="19" fillId="2" borderId="1" xfId="0" applyFont="1" applyFill="1" applyBorder="1" applyAlignment="1" applyProtection="1">
      <alignment horizontal="center"/>
      <protection locked="0"/>
    </xf>
    <xf numFmtId="0" fontId="52" fillId="2" borderId="18" xfId="0" applyFont="1" applyFill="1" applyBorder="1" applyProtection="1">
      <protection locked="0"/>
    </xf>
    <xf numFmtId="0" fontId="52" fillId="2" borderId="17" xfId="0" applyFont="1" applyFill="1" applyBorder="1" applyProtection="1"/>
    <xf numFmtId="0" fontId="19" fillId="2" borderId="30" xfId="0" applyFont="1" applyFill="1" applyBorder="1" applyAlignment="1" applyProtection="1">
      <alignment horizontal="center" vertical="center"/>
      <protection locked="0"/>
    </xf>
    <xf numFmtId="0" fontId="19" fillId="2" borderId="0" xfId="0" applyFont="1" applyFill="1" applyProtection="1">
      <protection locked="0"/>
    </xf>
    <xf numFmtId="0" fontId="19" fillId="2" borderId="1" xfId="0" applyFont="1" applyFill="1" applyBorder="1" applyAlignment="1" applyProtection="1">
      <alignment vertical="center"/>
      <protection locked="0"/>
    </xf>
    <xf numFmtId="0" fontId="51" fillId="2" borderId="2" xfId="0" applyFont="1" applyFill="1" applyBorder="1" applyAlignment="1" applyProtection="1">
      <alignment vertical="center"/>
      <protection locked="0"/>
    </xf>
    <xf numFmtId="0" fontId="9" fillId="2" borderId="0" xfId="0" applyFont="1" applyFill="1"/>
    <xf numFmtId="49" fontId="9" fillId="2" borderId="0" xfId="11" applyNumberFormat="1" applyFont="1" applyFill="1" applyBorder="1" applyAlignment="1">
      <alignment horizontal="left" vertical="center" wrapText="1"/>
    </xf>
    <xf numFmtId="49" fontId="9" fillId="2" borderId="0" xfId="0" applyNumberFormat="1" applyFont="1" applyFill="1" applyBorder="1" applyAlignment="1">
      <alignment horizontal="left" vertical="center"/>
    </xf>
    <xf numFmtId="49" fontId="9" fillId="2" borderId="0" xfId="0" applyNumberFormat="1" applyFont="1" applyFill="1" applyBorder="1" applyAlignment="1">
      <alignment horizontal="left" vertical="center" wrapText="1"/>
    </xf>
    <xf numFmtId="0" fontId="9" fillId="2" borderId="0" xfId="13" applyFont="1" applyFill="1" applyBorder="1" applyAlignment="1">
      <alignment horizontal="right" vertical="center"/>
    </xf>
    <xf numFmtId="0" fontId="9" fillId="2" borderId="0" xfId="0" applyFont="1" applyFill="1" applyAlignment="1">
      <alignment horizontal="right" vertical="center"/>
    </xf>
    <xf numFmtId="2" fontId="9" fillId="2" borderId="0" xfId="0" applyNumberFormat="1" applyFont="1" applyFill="1" applyBorder="1" applyAlignment="1">
      <alignment horizontal="right" vertical="center"/>
    </xf>
    <xf numFmtId="49" fontId="9" fillId="2" borderId="0" xfId="0" applyNumberFormat="1" applyFont="1" applyFill="1" applyBorder="1" applyAlignment="1">
      <alignment vertical="center"/>
    </xf>
    <xf numFmtId="173" fontId="9" fillId="2" borderId="0" xfId="0" applyNumberFormat="1" applyFont="1" applyFill="1" applyBorder="1" applyAlignment="1" applyProtection="1">
      <alignment horizontal="right" vertical="center"/>
    </xf>
    <xf numFmtId="14" fontId="9" fillId="2" borderId="0" xfId="0" applyNumberFormat="1" applyFont="1" applyFill="1" applyBorder="1" applyAlignment="1" applyProtection="1">
      <alignment horizontal="right" vertical="center"/>
    </xf>
    <xf numFmtId="49" fontId="9" fillId="2" borderId="0" xfId="11" applyNumberFormat="1" applyFont="1" applyFill="1" applyBorder="1" applyAlignment="1">
      <alignment horizontal="left" vertical="center"/>
    </xf>
    <xf numFmtId="15" fontId="9" fillId="2" borderId="0" xfId="0" applyNumberFormat="1" applyFont="1" applyFill="1" applyBorder="1" applyAlignment="1">
      <alignment horizontal="right" vertical="center"/>
    </xf>
    <xf numFmtId="165" fontId="9" fillId="2" borderId="0" xfId="7" applyNumberFormat="1" applyFont="1" applyFill="1" applyBorder="1" applyAlignment="1">
      <alignment vertical="center"/>
    </xf>
    <xf numFmtId="49" fontId="9" fillId="2" borderId="0" xfId="0" applyNumberFormat="1" applyFont="1" applyFill="1" applyBorder="1" applyAlignment="1">
      <alignment horizontal="right"/>
    </xf>
    <xf numFmtId="0" fontId="9" fillId="2" borderId="0" xfId="0" applyFont="1" applyFill="1" applyBorder="1"/>
    <xf numFmtId="15" fontId="9" fillId="0" borderId="3" xfId="0" applyNumberFormat="1" applyFont="1" applyBorder="1"/>
    <xf numFmtId="15" fontId="9" fillId="0" borderId="3" xfId="0" applyNumberFormat="1" applyFont="1" applyFill="1" applyBorder="1"/>
    <xf numFmtId="0" fontId="72" fillId="0" borderId="0" xfId="0" applyFont="1" applyFill="1" applyAlignment="1">
      <alignment horizontal="right" vertical="center"/>
    </xf>
    <xf numFmtId="0" fontId="73" fillId="0" borderId="0" xfId="0" applyFont="1" applyFill="1" applyAlignment="1">
      <alignment horizontal="right" vertical="center"/>
    </xf>
    <xf numFmtId="0" fontId="52" fillId="0" borderId="73"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0" borderId="2" xfId="0" applyFont="1" applyFill="1" applyBorder="1"/>
    <xf numFmtId="0" fontId="12" fillId="4" borderId="1" xfId="0" applyFont="1" applyFill="1" applyBorder="1" applyAlignment="1">
      <alignment vertical="center"/>
    </xf>
    <xf numFmtId="0" fontId="9" fillId="0" borderId="1" xfId="0" applyFont="1" applyBorder="1" applyAlignment="1">
      <alignment textRotation="90"/>
    </xf>
    <xf numFmtId="0" fontId="0" fillId="5" borderId="26" xfId="0" applyFill="1" applyBorder="1" applyAlignment="1">
      <alignment horizontal="left"/>
    </xf>
    <xf numFmtId="0" fontId="4" fillId="2" borderId="0" xfId="0" applyFont="1" applyFill="1" applyBorder="1" applyAlignment="1">
      <alignment horizontal="left" vertical="center"/>
    </xf>
    <xf numFmtId="0" fontId="4" fillId="0" borderId="0" xfId="0" applyFont="1" applyFill="1" applyBorder="1" applyAlignment="1">
      <alignment horizontal="lef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34" fillId="0" borderId="0" xfId="0" applyFont="1" applyAlignment="1">
      <alignment horizontal="left" wrapText="1"/>
    </xf>
    <xf numFmtId="0" fontId="38" fillId="5" borderId="37" xfId="6" applyFont="1" applyFill="1" applyBorder="1" applyAlignment="1">
      <alignment horizontal="left"/>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57" xfId="0" applyFont="1" applyFill="1" applyBorder="1" applyAlignment="1" applyProtection="1">
      <alignment horizontal="center" vertical="center"/>
    </xf>
    <xf numFmtId="0" fontId="46" fillId="0" borderId="58" xfId="0" applyFont="1" applyFill="1" applyBorder="1" applyAlignment="1" applyProtection="1">
      <alignment horizontal="center" vertical="center"/>
    </xf>
    <xf numFmtId="0" fontId="46" fillId="0" borderId="59"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60"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3" xfId="0" applyFont="1" applyFill="1" applyBorder="1" applyAlignment="1" applyProtection="1">
      <alignment horizontal="center" vertical="center"/>
      <protection locked="0"/>
    </xf>
    <xf numFmtId="0" fontId="46" fillId="24" borderId="64" xfId="0" applyFont="1" applyFill="1" applyBorder="1" applyAlignment="1" applyProtection="1">
      <alignment horizontal="center" vertical="center"/>
      <protection locked="0"/>
    </xf>
    <xf numFmtId="0" fontId="46" fillId="24" borderId="65" xfId="0" applyFont="1" applyFill="1" applyBorder="1" applyAlignment="1" applyProtection="1">
      <alignment horizontal="center" vertical="center"/>
      <protection locked="0"/>
    </xf>
    <xf numFmtId="0" fontId="46" fillId="0"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9" xfId="0" applyFont="1" applyFill="1" applyBorder="1" applyAlignment="1" applyProtection="1">
      <alignment horizontal="center" vertical="center"/>
      <protection locked="0"/>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50" xfId="0" applyFont="1" applyFill="1" applyBorder="1" applyAlignment="1">
      <alignment horizontal="center" vertical="center" textRotation="90"/>
    </xf>
    <xf numFmtId="0" fontId="12" fillId="4" borderId="54" xfId="0" applyFont="1" applyFill="1" applyBorder="1" applyAlignment="1">
      <alignment horizontal="center" vertical="center" textRotation="90"/>
    </xf>
    <xf numFmtId="0" fontId="12" fillId="4" borderId="11"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1" xfId="0" applyFont="1" applyFill="1" applyBorder="1" applyAlignment="1">
      <alignment horizontal="center" vertical="center" textRotation="90" wrapText="1"/>
    </xf>
    <xf numFmtId="0" fontId="12" fillId="4" borderId="55" xfId="0" applyFont="1" applyFill="1" applyBorder="1" applyAlignment="1">
      <alignment horizontal="center" vertical="center" textRotation="90" wrapText="1"/>
    </xf>
    <xf numFmtId="0" fontId="12" fillId="4" borderId="52" xfId="0" applyFont="1" applyFill="1" applyBorder="1" applyAlignment="1">
      <alignment horizontal="center" vertical="center" textRotation="90"/>
    </xf>
    <xf numFmtId="0" fontId="12" fillId="4" borderId="56"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11"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51"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3" xfId="0" applyFont="1" applyFill="1" applyBorder="1" applyAlignment="1">
      <alignment horizontal="center" vertical="center"/>
    </xf>
    <xf numFmtId="0" fontId="23" fillId="0" borderId="0" xfId="6" applyFont="1" applyFill="1" applyBorder="1" applyAlignment="1">
      <alignment horizontal="left" vertical="center"/>
    </xf>
    <xf numFmtId="0" fontId="18"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19">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Percent" xfId="8" builtinId="5"/>
  </cellStyles>
  <dxfs count="1267">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alignment horizontal="center" readingOrder="0"/>
    </dxf>
    <dxf>
      <alignment horizontal="left" readingOrder="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alignment horizont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alignment horizontal="center" readingOrder="0"/>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alignment horizontal="left" readingOrder="0"/>
    </dxf>
    <dxf>
      <alignment horizontal="center" readingOrder="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0000"/>
      <color rgb="FF993300"/>
      <color rgb="FFCC3300"/>
      <color rgb="FFFFFF00"/>
      <color rgb="FF6CA62C"/>
      <color rgb="FFFD2361"/>
      <color rgb="FF588824"/>
      <color rgb="FFFF0000"/>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8351</c:v>
                </c:pt>
                <c:pt idx="1">
                  <c:v>2471</c:v>
                </c:pt>
                <c:pt idx="2">
                  <c:v>3554</c:v>
                </c:pt>
                <c:pt idx="3">
                  <c:v>559</c:v>
                </c:pt>
                <c:pt idx="4">
                  <c:v>120</c:v>
                </c:pt>
                <c:pt idx="5">
                  <c:v>4215</c:v>
                </c:pt>
                <c:pt idx="6">
                  <c:v>13346</c:v>
                </c:pt>
                <c:pt idx="7">
                  <c:v>541</c:v>
                </c:pt>
                <c:pt idx="8">
                  <c:v>325</c:v>
                </c:pt>
                <c:pt idx="9">
                  <c:v>349</c:v>
                </c:pt>
                <c:pt idx="10">
                  <c:v>24892</c:v>
                </c:pt>
                <c:pt idx="11">
                  <c:v>1265</c:v>
                </c:pt>
                <c:pt idx="12">
                  <c:v>7696</c:v>
                </c:pt>
                <c:pt idx="13">
                  <c:v>1976</c:v>
                </c:pt>
                <c:pt idx="14">
                  <c:v>759</c:v>
                </c:pt>
                <c:pt idx="15">
                  <c:v>412</c:v>
                </c:pt>
                <c:pt idx="16">
                  <c:v>2220</c:v>
                </c:pt>
                <c:pt idx="17">
                  <c:v>1143</c:v>
                </c:pt>
                <c:pt idx="18">
                  <c:v>915</c:v>
                </c:pt>
                <c:pt idx="19">
                  <c:v>25155</c:v>
                </c:pt>
              </c:numCache>
            </c:numRef>
          </c:val>
        </c:ser>
        <c:dLbls>
          <c:showLegendKey val="0"/>
          <c:showVal val="0"/>
          <c:showCatName val="0"/>
          <c:showSerName val="0"/>
          <c:showPercent val="0"/>
          <c:showBubbleSize val="0"/>
        </c:dLbls>
        <c:gapWidth val="150"/>
        <c:axId val="454919096"/>
        <c:axId val="454919488"/>
      </c:barChart>
      <c:catAx>
        <c:axId val="454919096"/>
        <c:scaling>
          <c:orientation val="minMax"/>
        </c:scaling>
        <c:delete val="0"/>
        <c:axPos val="l"/>
        <c:numFmt formatCode="General" sourceLinked="0"/>
        <c:majorTickMark val="out"/>
        <c:minorTickMark val="none"/>
        <c:tickLblPos val="nextTo"/>
        <c:crossAx val="454919488"/>
        <c:crosses val="autoZero"/>
        <c:auto val="1"/>
        <c:lblAlgn val="ctr"/>
        <c:lblOffset val="100"/>
        <c:noMultiLvlLbl val="1"/>
      </c:catAx>
      <c:valAx>
        <c:axId val="454919488"/>
        <c:scaling>
          <c:orientation val="minMax"/>
        </c:scaling>
        <c:delete val="0"/>
        <c:axPos val="b"/>
        <c:majorGridlines/>
        <c:numFmt formatCode="General" sourceLinked="1"/>
        <c:majorTickMark val="out"/>
        <c:minorTickMark val="none"/>
        <c:tickLblPos val="nextTo"/>
        <c:crossAx val="45491909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81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161</c:v>
                </c:pt>
              </c:numCache>
            </c:numRef>
          </c:val>
        </c:ser>
        <c:dLbls>
          <c:showLegendKey val="0"/>
          <c:showVal val="0"/>
          <c:showCatName val="0"/>
          <c:showSerName val="0"/>
          <c:showPercent val="0"/>
          <c:showBubbleSize val="0"/>
        </c:dLbls>
        <c:gapWidth val="500"/>
        <c:overlap val="-71"/>
        <c:axId val="280076920"/>
        <c:axId val="280074568"/>
      </c:barChart>
      <c:catAx>
        <c:axId val="280076920"/>
        <c:scaling>
          <c:orientation val="minMax"/>
        </c:scaling>
        <c:delete val="1"/>
        <c:axPos val="b"/>
        <c:numFmt formatCode="General" sourceLinked="1"/>
        <c:majorTickMark val="none"/>
        <c:minorTickMark val="none"/>
        <c:tickLblPos val="nextTo"/>
        <c:crossAx val="280074568"/>
        <c:crosses val="autoZero"/>
        <c:auto val="1"/>
        <c:lblAlgn val="ctr"/>
        <c:lblOffset val="100"/>
        <c:noMultiLvlLbl val="0"/>
      </c:catAx>
      <c:valAx>
        <c:axId val="2800745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00769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46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294</c:v>
                </c:pt>
              </c:numCache>
            </c:numRef>
          </c:val>
        </c:ser>
        <c:dLbls>
          <c:showLegendKey val="0"/>
          <c:showVal val="0"/>
          <c:showCatName val="0"/>
          <c:showSerName val="0"/>
          <c:showPercent val="0"/>
          <c:showBubbleSize val="0"/>
        </c:dLbls>
        <c:gapWidth val="500"/>
        <c:overlap val="-71"/>
        <c:axId val="454391432"/>
        <c:axId val="454392216"/>
      </c:barChart>
      <c:catAx>
        <c:axId val="454391432"/>
        <c:scaling>
          <c:orientation val="minMax"/>
        </c:scaling>
        <c:delete val="1"/>
        <c:axPos val="b"/>
        <c:numFmt formatCode="General" sourceLinked="1"/>
        <c:majorTickMark val="none"/>
        <c:minorTickMark val="none"/>
        <c:tickLblPos val="nextTo"/>
        <c:crossAx val="454392216"/>
        <c:crosses val="autoZero"/>
        <c:auto val="1"/>
        <c:lblAlgn val="ctr"/>
        <c:lblOffset val="100"/>
        <c:noMultiLvlLbl val="0"/>
      </c:catAx>
      <c:valAx>
        <c:axId val="4543922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43914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180</c:v>
                </c:pt>
              </c:numCache>
            </c:numRef>
          </c:val>
        </c:ser>
        <c:dLbls>
          <c:showLegendKey val="0"/>
          <c:showVal val="0"/>
          <c:showCatName val="0"/>
          <c:showSerName val="0"/>
          <c:showPercent val="0"/>
          <c:showBubbleSize val="0"/>
        </c:dLbls>
        <c:gapWidth val="500"/>
        <c:overlap val="-71"/>
        <c:axId val="454392608"/>
        <c:axId val="151749648"/>
      </c:barChart>
      <c:catAx>
        <c:axId val="454392608"/>
        <c:scaling>
          <c:orientation val="minMax"/>
        </c:scaling>
        <c:delete val="1"/>
        <c:axPos val="b"/>
        <c:numFmt formatCode="General" sourceLinked="1"/>
        <c:majorTickMark val="none"/>
        <c:minorTickMark val="none"/>
        <c:tickLblPos val="nextTo"/>
        <c:crossAx val="151749648"/>
        <c:crosses val="autoZero"/>
        <c:auto val="1"/>
        <c:lblAlgn val="ctr"/>
        <c:lblOffset val="100"/>
        <c:noMultiLvlLbl val="0"/>
      </c:catAx>
      <c:valAx>
        <c:axId val="1517496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43926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497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626</c:v>
                </c:pt>
              </c:numCache>
            </c:numRef>
          </c:val>
        </c:ser>
        <c:dLbls>
          <c:showLegendKey val="0"/>
          <c:showVal val="0"/>
          <c:showCatName val="0"/>
          <c:showSerName val="0"/>
          <c:showPercent val="0"/>
          <c:showBubbleSize val="0"/>
        </c:dLbls>
        <c:gapWidth val="500"/>
        <c:overlap val="-71"/>
        <c:axId val="151750040"/>
        <c:axId val="478393984"/>
      </c:barChart>
      <c:catAx>
        <c:axId val="151750040"/>
        <c:scaling>
          <c:orientation val="minMax"/>
        </c:scaling>
        <c:delete val="1"/>
        <c:axPos val="b"/>
        <c:numFmt formatCode="General" sourceLinked="1"/>
        <c:majorTickMark val="none"/>
        <c:minorTickMark val="none"/>
        <c:tickLblPos val="nextTo"/>
        <c:crossAx val="478393984"/>
        <c:crosses val="autoZero"/>
        <c:auto val="1"/>
        <c:lblAlgn val="ctr"/>
        <c:lblOffset val="100"/>
        <c:noMultiLvlLbl val="0"/>
      </c:catAx>
      <c:valAx>
        <c:axId val="4783939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517500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24</c:v>
                </c:pt>
              </c:numCache>
            </c:numRef>
          </c:val>
        </c:ser>
        <c:dLbls>
          <c:showLegendKey val="0"/>
          <c:showVal val="0"/>
          <c:showCatName val="0"/>
          <c:showSerName val="0"/>
          <c:showPercent val="0"/>
          <c:showBubbleSize val="0"/>
        </c:dLbls>
        <c:gapWidth val="500"/>
        <c:overlap val="-71"/>
        <c:axId val="151296656"/>
        <c:axId val="439749864"/>
      </c:barChart>
      <c:catAx>
        <c:axId val="151296656"/>
        <c:scaling>
          <c:orientation val="minMax"/>
        </c:scaling>
        <c:delete val="1"/>
        <c:axPos val="b"/>
        <c:numFmt formatCode="General" sourceLinked="1"/>
        <c:majorTickMark val="none"/>
        <c:minorTickMark val="none"/>
        <c:tickLblPos val="nextTo"/>
        <c:crossAx val="439749864"/>
        <c:crosses val="autoZero"/>
        <c:auto val="1"/>
        <c:lblAlgn val="ctr"/>
        <c:lblOffset val="100"/>
        <c:noMultiLvlLbl val="0"/>
      </c:catAx>
      <c:valAx>
        <c:axId val="4397498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512966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30</c:v>
                </c:pt>
              </c:numCache>
            </c:numRef>
          </c:val>
        </c:ser>
        <c:dLbls>
          <c:showLegendKey val="0"/>
          <c:showVal val="0"/>
          <c:showCatName val="0"/>
          <c:showSerName val="0"/>
          <c:showPercent val="0"/>
          <c:showBubbleSize val="0"/>
        </c:dLbls>
        <c:gapWidth val="500"/>
        <c:overlap val="-71"/>
        <c:axId val="439750648"/>
        <c:axId val="439751040"/>
      </c:barChart>
      <c:catAx>
        <c:axId val="439750648"/>
        <c:scaling>
          <c:orientation val="minMax"/>
        </c:scaling>
        <c:delete val="1"/>
        <c:axPos val="b"/>
        <c:numFmt formatCode="General" sourceLinked="1"/>
        <c:majorTickMark val="none"/>
        <c:minorTickMark val="none"/>
        <c:tickLblPos val="nextTo"/>
        <c:crossAx val="439751040"/>
        <c:crosses val="autoZero"/>
        <c:auto val="1"/>
        <c:lblAlgn val="ctr"/>
        <c:lblOffset val="100"/>
        <c:noMultiLvlLbl val="0"/>
      </c:catAx>
      <c:valAx>
        <c:axId val="4397510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97506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439751824"/>
        <c:axId val="439752216"/>
      </c:barChart>
      <c:catAx>
        <c:axId val="439751824"/>
        <c:scaling>
          <c:orientation val="minMax"/>
        </c:scaling>
        <c:delete val="1"/>
        <c:axPos val="b"/>
        <c:numFmt formatCode="General" sourceLinked="1"/>
        <c:majorTickMark val="none"/>
        <c:minorTickMark val="none"/>
        <c:tickLblPos val="nextTo"/>
        <c:crossAx val="439752216"/>
        <c:crosses val="autoZero"/>
        <c:auto val="1"/>
        <c:lblAlgn val="ctr"/>
        <c:lblOffset val="100"/>
        <c:noMultiLvlLbl val="0"/>
      </c:catAx>
      <c:valAx>
        <c:axId val="4397522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97518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627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1444</c:v>
                </c:pt>
              </c:numCache>
            </c:numRef>
          </c:val>
        </c:ser>
        <c:dLbls>
          <c:showLegendKey val="0"/>
          <c:showVal val="0"/>
          <c:showCatName val="0"/>
          <c:showSerName val="0"/>
          <c:showPercent val="0"/>
          <c:showBubbleSize val="0"/>
        </c:dLbls>
        <c:gapWidth val="500"/>
        <c:overlap val="-71"/>
        <c:axId val="439753000"/>
        <c:axId val="439753392"/>
      </c:barChart>
      <c:catAx>
        <c:axId val="439753000"/>
        <c:scaling>
          <c:orientation val="minMax"/>
        </c:scaling>
        <c:delete val="1"/>
        <c:axPos val="b"/>
        <c:numFmt formatCode="General" sourceLinked="1"/>
        <c:majorTickMark val="none"/>
        <c:minorTickMark val="none"/>
        <c:tickLblPos val="nextTo"/>
        <c:crossAx val="439753392"/>
        <c:crosses val="autoZero"/>
        <c:auto val="1"/>
        <c:lblAlgn val="ctr"/>
        <c:lblOffset val="100"/>
        <c:noMultiLvlLbl val="0"/>
      </c:catAx>
      <c:valAx>
        <c:axId val="4397533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97530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73</c:v>
                </c:pt>
              </c:numCache>
            </c:numRef>
          </c:val>
        </c:ser>
        <c:dLbls>
          <c:showLegendKey val="0"/>
          <c:showVal val="0"/>
          <c:showCatName val="0"/>
          <c:showSerName val="0"/>
          <c:showPercent val="0"/>
          <c:showBubbleSize val="0"/>
        </c:dLbls>
        <c:gapWidth val="500"/>
        <c:overlap val="-71"/>
        <c:axId val="287448296"/>
        <c:axId val="287448688"/>
      </c:barChart>
      <c:catAx>
        <c:axId val="287448296"/>
        <c:scaling>
          <c:orientation val="minMax"/>
        </c:scaling>
        <c:delete val="1"/>
        <c:axPos val="b"/>
        <c:numFmt formatCode="General" sourceLinked="1"/>
        <c:majorTickMark val="none"/>
        <c:minorTickMark val="none"/>
        <c:tickLblPos val="nextTo"/>
        <c:crossAx val="287448688"/>
        <c:crosses val="autoZero"/>
        <c:auto val="1"/>
        <c:lblAlgn val="ctr"/>
        <c:lblOffset val="100"/>
        <c:noMultiLvlLbl val="0"/>
      </c:catAx>
      <c:valAx>
        <c:axId val="2874486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74482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70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448</c:v>
                </c:pt>
              </c:numCache>
            </c:numRef>
          </c:val>
        </c:ser>
        <c:dLbls>
          <c:showLegendKey val="0"/>
          <c:showVal val="0"/>
          <c:showCatName val="0"/>
          <c:showSerName val="0"/>
          <c:showPercent val="0"/>
          <c:showBubbleSize val="0"/>
        </c:dLbls>
        <c:gapWidth val="500"/>
        <c:overlap val="-71"/>
        <c:axId val="287449472"/>
        <c:axId val="287449864"/>
      </c:barChart>
      <c:catAx>
        <c:axId val="287449472"/>
        <c:scaling>
          <c:orientation val="minMax"/>
        </c:scaling>
        <c:delete val="1"/>
        <c:axPos val="b"/>
        <c:numFmt formatCode="General" sourceLinked="1"/>
        <c:majorTickMark val="none"/>
        <c:minorTickMark val="none"/>
        <c:tickLblPos val="nextTo"/>
        <c:crossAx val="287449864"/>
        <c:crosses val="autoZero"/>
        <c:auto val="1"/>
        <c:lblAlgn val="ctr"/>
        <c:lblOffset val="100"/>
        <c:noMultiLvlLbl val="0"/>
      </c:catAx>
      <c:valAx>
        <c:axId val="2874498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74494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52398</c:v>
                </c:pt>
                <c:pt idx="1">
                  <c:v>5483</c:v>
                </c:pt>
                <c:pt idx="2">
                  <c:v>0</c:v>
                </c:pt>
                <c:pt idx="3">
                  <c:v>3740</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52398</c:v>
                </c:pt>
                <c:pt idx="1">
                  <c:v>5483</c:v>
                </c:pt>
                <c:pt idx="2">
                  <c:v>0</c:v>
                </c:pt>
                <c:pt idx="3">
                  <c:v>3740</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52398</c:v>
                </c:pt>
                <c:pt idx="1">
                  <c:v>5483</c:v>
                </c:pt>
                <c:pt idx="2">
                  <c:v>0</c:v>
                </c:pt>
                <c:pt idx="3">
                  <c:v>3740</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52398</c:v>
                </c:pt>
                <c:pt idx="1">
                  <c:v>5483</c:v>
                </c:pt>
                <c:pt idx="2">
                  <c:v>0</c:v>
                </c:pt>
                <c:pt idx="3">
                  <c:v>3740</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52398</c:v>
                </c:pt>
                <c:pt idx="1">
                  <c:v>5483</c:v>
                </c:pt>
                <c:pt idx="2">
                  <c:v>0</c:v>
                </c:pt>
                <c:pt idx="3">
                  <c:v>3740</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52398</c:v>
                </c:pt>
                <c:pt idx="1">
                  <c:v>5483</c:v>
                </c:pt>
                <c:pt idx="2">
                  <c:v>0</c:v>
                </c:pt>
                <c:pt idx="3">
                  <c:v>3740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139</c:v>
                </c:pt>
              </c:numCache>
            </c:numRef>
          </c:val>
        </c:ser>
        <c:dLbls>
          <c:showLegendKey val="0"/>
          <c:showVal val="0"/>
          <c:showCatName val="0"/>
          <c:showSerName val="0"/>
          <c:showPercent val="0"/>
          <c:showBubbleSize val="0"/>
        </c:dLbls>
        <c:gapWidth val="500"/>
        <c:overlap val="-71"/>
        <c:axId val="287450648"/>
        <c:axId val="287451040"/>
      </c:barChart>
      <c:catAx>
        <c:axId val="287450648"/>
        <c:scaling>
          <c:orientation val="minMax"/>
        </c:scaling>
        <c:delete val="1"/>
        <c:axPos val="b"/>
        <c:numFmt formatCode="General" sourceLinked="1"/>
        <c:majorTickMark val="none"/>
        <c:minorTickMark val="none"/>
        <c:tickLblPos val="nextTo"/>
        <c:crossAx val="287451040"/>
        <c:crosses val="autoZero"/>
        <c:auto val="1"/>
        <c:lblAlgn val="ctr"/>
        <c:lblOffset val="100"/>
        <c:noMultiLvlLbl val="0"/>
      </c:catAx>
      <c:valAx>
        <c:axId val="2874510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74506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114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149</c:v>
                </c:pt>
              </c:numCache>
            </c:numRef>
          </c:val>
        </c:ser>
        <c:dLbls>
          <c:showLegendKey val="0"/>
          <c:showVal val="0"/>
          <c:showCatName val="0"/>
          <c:showSerName val="0"/>
          <c:showPercent val="0"/>
          <c:showBubbleSize val="0"/>
        </c:dLbls>
        <c:gapWidth val="500"/>
        <c:overlap val="-71"/>
        <c:axId val="438841864"/>
        <c:axId val="438842256"/>
      </c:barChart>
      <c:catAx>
        <c:axId val="438841864"/>
        <c:scaling>
          <c:orientation val="minMax"/>
        </c:scaling>
        <c:delete val="1"/>
        <c:axPos val="b"/>
        <c:numFmt formatCode="General" sourceLinked="1"/>
        <c:majorTickMark val="none"/>
        <c:minorTickMark val="none"/>
        <c:tickLblPos val="nextTo"/>
        <c:crossAx val="438842256"/>
        <c:crosses val="autoZero"/>
        <c:auto val="1"/>
        <c:lblAlgn val="ctr"/>
        <c:lblOffset val="100"/>
        <c:noMultiLvlLbl val="0"/>
      </c:catAx>
      <c:valAx>
        <c:axId val="4388422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88418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57</c:v>
                </c:pt>
              </c:numCache>
            </c:numRef>
          </c:val>
        </c:ser>
        <c:dLbls>
          <c:showLegendKey val="0"/>
          <c:showVal val="0"/>
          <c:showCatName val="0"/>
          <c:showSerName val="0"/>
          <c:showPercent val="0"/>
          <c:showBubbleSize val="0"/>
        </c:dLbls>
        <c:gapWidth val="500"/>
        <c:overlap val="-71"/>
        <c:axId val="438843040"/>
        <c:axId val="438843432"/>
      </c:barChart>
      <c:catAx>
        <c:axId val="438843040"/>
        <c:scaling>
          <c:orientation val="minMax"/>
        </c:scaling>
        <c:delete val="1"/>
        <c:axPos val="b"/>
        <c:numFmt formatCode="General" sourceLinked="1"/>
        <c:majorTickMark val="none"/>
        <c:minorTickMark val="none"/>
        <c:tickLblPos val="nextTo"/>
        <c:crossAx val="438843432"/>
        <c:crosses val="autoZero"/>
        <c:auto val="1"/>
        <c:lblAlgn val="ctr"/>
        <c:lblOffset val="100"/>
        <c:noMultiLvlLbl val="0"/>
      </c:catAx>
      <c:valAx>
        <c:axId val="4388434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88430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193</c:v>
                </c:pt>
              </c:numCache>
            </c:numRef>
          </c:val>
        </c:ser>
        <c:dLbls>
          <c:showLegendKey val="0"/>
          <c:showVal val="0"/>
          <c:showCatName val="0"/>
          <c:showSerName val="0"/>
          <c:showPercent val="0"/>
          <c:showBubbleSize val="0"/>
        </c:dLbls>
        <c:gapWidth val="500"/>
        <c:overlap val="-71"/>
        <c:axId val="438844216"/>
        <c:axId val="438844608"/>
      </c:barChart>
      <c:catAx>
        <c:axId val="438844216"/>
        <c:scaling>
          <c:orientation val="minMax"/>
        </c:scaling>
        <c:delete val="1"/>
        <c:axPos val="b"/>
        <c:numFmt formatCode="General" sourceLinked="1"/>
        <c:majorTickMark val="none"/>
        <c:minorTickMark val="none"/>
        <c:tickLblPos val="nextTo"/>
        <c:crossAx val="438844608"/>
        <c:crosses val="autoZero"/>
        <c:auto val="1"/>
        <c:lblAlgn val="ctr"/>
        <c:lblOffset val="100"/>
        <c:noMultiLvlLbl val="0"/>
      </c:catAx>
      <c:valAx>
        <c:axId val="4388446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88442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86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672</c:v>
                </c:pt>
              </c:numCache>
            </c:numRef>
          </c:val>
        </c:ser>
        <c:dLbls>
          <c:showLegendKey val="0"/>
          <c:showVal val="0"/>
          <c:showCatName val="0"/>
          <c:showSerName val="0"/>
          <c:showPercent val="0"/>
          <c:showBubbleSize val="0"/>
        </c:dLbls>
        <c:gapWidth val="500"/>
        <c:overlap val="-71"/>
        <c:axId val="438845392"/>
        <c:axId val="454533224"/>
      </c:barChart>
      <c:catAx>
        <c:axId val="438845392"/>
        <c:scaling>
          <c:orientation val="minMax"/>
        </c:scaling>
        <c:delete val="1"/>
        <c:axPos val="b"/>
        <c:numFmt formatCode="General" sourceLinked="1"/>
        <c:majorTickMark val="none"/>
        <c:minorTickMark val="none"/>
        <c:tickLblPos val="nextTo"/>
        <c:crossAx val="454533224"/>
        <c:crosses val="autoZero"/>
        <c:auto val="1"/>
        <c:lblAlgn val="ctr"/>
        <c:lblOffset val="100"/>
        <c:noMultiLvlLbl val="0"/>
      </c:catAx>
      <c:valAx>
        <c:axId val="4545332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88453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454534008"/>
        <c:axId val="454534400"/>
      </c:barChart>
      <c:catAx>
        <c:axId val="454534008"/>
        <c:scaling>
          <c:orientation val="minMax"/>
        </c:scaling>
        <c:delete val="1"/>
        <c:axPos val="b"/>
        <c:numFmt formatCode="General" sourceLinked="1"/>
        <c:majorTickMark val="none"/>
        <c:minorTickMark val="none"/>
        <c:tickLblPos val="nextTo"/>
        <c:crossAx val="454534400"/>
        <c:crosses val="autoZero"/>
        <c:auto val="1"/>
        <c:lblAlgn val="ctr"/>
        <c:lblOffset val="100"/>
        <c:noMultiLvlLbl val="0"/>
      </c:catAx>
      <c:valAx>
        <c:axId val="4545344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4534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numCache>
            </c:numRef>
          </c:val>
        </c:ser>
        <c:dLbls>
          <c:showLegendKey val="0"/>
          <c:showVal val="0"/>
          <c:showCatName val="0"/>
          <c:showSerName val="0"/>
          <c:showPercent val="0"/>
          <c:showBubbleSize val="0"/>
        </c:dLbls>
        <c:gapWidth val="500"/>
        <c:overlap val="-71"/>
        <c:axId val="454535576"/>
        <c:axId val="454535968"/>
      </c:barChart>
      <c:catAx>
        <c:axId val="454535576"/>
        <c:scaling>
          <c:orientation val="minMax"/>
        </c:scaling>
        <c:delete val="1"/>
        <c:axPos val="b"/>
        <c:numFmt formatCode="General" sourceLinked="1"/>
        <c:majorTickMark val="none"/>
        <c:minorTickMark val="none"/>
        <c:tickLblPos val="nextTo"/>
        <c:crossAx val="454535968"/>
        <c:crosses val="autoZero"/>
        <c:auto val="1"/>
        <c:lblAlgn val="ctr"/>
        <c:lblOffset val="100"/>
        <c:noMultiLvlLbl val="0"/>
      </c:catAx>
      <c:valAx>
        <c:axId val="4545359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45355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454536360"/>
        <c:axId val="454536752"/>
      </c:barChart>
      <c:catAx>
        <c:axId val="454536360"/>
        <c:scaling>
          <c:orientation val="minMax"/>
        </c:scaling>
        <c:delete val="1"/>
        <c:axPos val="b"/>
        <c:numFmt formatCode="General" sourceLinked="1"/>
        <c:majorTickMark val="none"/>
        <c:minorTickMark val="none"/>
        <c:tickLblPos val="nextTo"/>
        <c:crossAx val="454536752"/>
        <c:crosses val="autoZero"/>
        <c:auto val="1"/>
        <c:lblAlgn val="ctr"/>
        <c:lblOffset val="100"/>
        <c:noMultiLvlLbl val="0"/>
      </c:catAx>
      <c:valAx>
        <c:axId val="4545367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45363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(2018)</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Summary'!$AX$5:$AX$10</c:f>
              <c:strCache>
                <c:ptCount val="5"/>
                <c:pt idx="0">
                  <c:v>NRC</c:v>
                </c:pt>
                <c:pt idx="1">
                  <c:v>Shalom</c:v>
                </c:pt>
                <c:pt idx="2">
                  <c:v>RI</c:v>
                </c:pt>
                <c:pt idx="3">
                  <c:v>KMSS_Myitkyina</c:v>
                </c:pt>
                <c:pt idx="4">
                  <c:v>DRC</c:v>
                </c:pt>
              </c:strCache>
            </c:strRef>
          </c:cat>
          <c:val>
            <c:numRef>
              <c:f>'NFI Summary'!$AY$5:$AY$10</c:f>
              <c:numCache>
                <c:formatCode>General</c:formatCode>
                <c:ptCount val="5"/>
                <c:pt idx="0">
                  <c:v>4</c:v>
                </c:pt>
                <c:pt idx="1">
                  <c:v>2</c:v>
                </c:pt>
                <c:pt idx="2">
                  <c:v>11</c:v>
                </c:pt>
                <c:pt idx="3">
                  <c:v>2</c:v>
                </c:pt>
                <c:pt idx="4">
                  <c:v>24</c:v>
                </c:pt>
              </c:numCache>
            </c:numRef>
          </c:val>
        </c:ser>
        <c:dLbls>
          <c:showLegendKey val="0"/>
          <c:showVal val="0"/>
          <c:showCatName val="0"/>
          <c:showSerName val="0"/>
          <c:showPercent val="0"/>
          <c:showBubbleSize val="0"/>
        </c:dLbls>
        <c:gapWidth val="219"/>
        <c:overlap val="-27"/>
        <c:axId val="475134992"/>
        <c:axId val="475135776"/>
      </c:barChart>
      <c:catAx>
        <c:axId val="47513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75135776"/>
        <c:crosses val="autoZero"/>
        <c:auto val="1"/>
        <c:lblAlgn val="ctr"/>
        <c:lblOffset val="100"/>
        <c:noMultiLvlLbl val="0"/>
      </c:catAx>
      <c:valAx>
        <c:axId val="475135776"/>
        <c:scaling>
          <c:orientation val="minMax"/>
        </c:scaling>
        <c:delete val="1"/>
        <c:axPos val="l"/>
        <c:numFmt formatCode="General" sourceLinked="1"/>
        <c:majorTickMark val="none"/>
        <c:minorTickMark val="none"/>
        <c:tickLblPos val="nextTo"/>
        <c:crossAx val="475134992"/>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430</c:v>
                </c:pt>
                <c:pt idx="1">
                  <c:v>726</c:v>
                </c:pt>
                <c:pt idx="2">
                  <c:v>2710</c:v>
                </c:pt>
                <c:pt idx="3">
                  <c:v>2522</c:v>
                </c:pt>
                <c:pt idx="4">
                  <c:v>879</c:v>
                </c:pt>
                <c:pt idx="5">
                  <c:v>8554</c:v>
                </c:pt>
                <c:pt idx="6">
                  <c:v>1243</c:v>
                </c:pt>
                <c:pt idx="7">
                  <c:v>630</c:v>
                </c:pt>
                <c:pt idx="8">
                  <c:v>3417</c:v>
                </c:pt>
                <c:pt idx="9">
                  <c:v>596</c:v>
                </c:pt>
              </c:numCache>
            </c:numRef>
          </c:val>
        </c:ser>
        <c:dLbls>
          <c:dLblPos val="outEnd"/>
          <c:showLegendKey val="0"/>
          <c:showVal val="1"/>
          <c:showCatName val="0"/>
          <c:showSerName val="0"/>
          <c:showPercent val="0"/>
          <c:showBubbleSize val="0"/>
        </c:dLbls>
        <c:gapWidth val="219"/>
        <c:overlap val="-27"/>
        <c:axId val="475136560"/>
        <c:axId val="475136952"/>
      </c:barChart>
      <c:catAx>
        <c:axId val="47513656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75136952"/>
        <c:crosses val="autoZero"/>
        <c:auto val="1"/>
        <c:lblAlgn val="ctr"/>
        <c:lblOffset val="100"/>
        <c:noMultiLvlLbl val="0"/>
      </c:catAx>
      <c:valAx>
        <c:axId val="475136952"/>
        <c:scaling>
          <c:orientation val="minMax"/>
        </c:scaling>
        <c:delete val="1"/>
        <c:axPos val="l"/>
        <c:numFmt formatCode="General" sourceLinked="1"/>
        <c:majorTickMark val="none"/>
        <c:minorTickMark val="none"/>
        <c:tickLblPos val="nextTo"/>
        <c:crossAx val="47513656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37379</c:v>
                </c:pt>
                <c:pt idx="1">
                  <c:v>392</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_March_2018.xlsx]NFI Summary!PivotTable4</c:name>
    <c:fmtId val="1"/>
  </c:pivotSource>
  <c:chart>
    <c:autoTitleDeleted val="1"/>
    <c:pivotFmts>
      <c:pivotFmt>
        <c:idx val="0"/>
        <c:spPr>
          <a:solidFill>
            <a:schemeClr val="accent6"/>
          </a:solidFill>
          <a:ln>
            <a:noFill/>
          </a:ln>
          <a:effectLst/>
        </c:spPr>
        <c:marker>
          <c:symbol val="none"/>
        </c:marker>
        <c:dLbl>
          <c:idx val="0"/>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924762676848244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Summary'!$AU$19:$AU$36</c:f>
              <c:strCache>
                <c:ptCount val="17"/>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Muse </c:v>
                </c:pt>
                <c:pt idx="14">
                  <c:v>Namhkam</c:v>
                </c:pt>
                <c:pt idx="15">
                  <c:v>Kyaukme</c:v>
                </c:pt>
                <c:pt idx="16">
                  <c:v>Momauk</c:v>
                </c:pt>
              </c:strCache>
            </c:strRef>
          </c:cat>
          <c:val>
            <c:numRef>
              <c:f>'NFI Summary'!$AV$19:$AV$36</c:f>
              <c:numCache>
                <c:formatCode>General</c:formatCode>
                <c:ptCount val="17"/>
                <c:pt idx="0">
                  <c:v>21</c:v>
                </c:pt>
                <c:pt idx="1">
                  <c:v>6</c:v>
                </c:pt>
                <c:pt idx="2">
                  <c:v>1</c:v>
                </c:pt>
                <c:pt idx="3">
                  <c:v>3</c:v>
                </c:pt>
                <c:pt idx="4">
                  <c:v>5</c:v>
                </c:pt>
                <c:pt idx="5">
                  <c:v>28</c:v>
                </c:pt>
                <c:pt idx="6">
                  <c:v>37</c:v>
                </c:pt>
                <c:pt idx="7">
                  <c:v>18</c:v>
                </c:pt>
                <c:pt idx="8">
                  <c:v>8</c:v>
                </c:pt>
                <c:pt idx="9">
                  <c:v>2</c:v>
                </c:pt>
                <c:pt idx="10">
                  <c:v>3</c:v>
                </c:pt>
                <c:pt idx="11">
                  <c:v>32</c:v>
                </c:pt>
                <c:pt idx="12">
                  <c:v>3</c:v>
                </c:pt>
                <c:pt idx="13">
                  <c:v>2</c:v>
                </c:pt>
                <c:pt idx="14">
                  <c:v>13</c:v>
                </c:pt>
                <c:pt idx="15">
                  <c:v>8</c:v>
                </c:pt>
                <c:pt idx="16">
                  <c:v>17</c:v>
                </c:pt>
              </c:numCache>
            </c:numRef>
          </c:val>
        </c:ser>
        <c:dLbls>
          <c:dLblPos val="outEnd"/>
          <c:showLegendKey val="0"/>
          <c:showVal val="1"/>
          <c:showCatName val="0"/>
          <c:showSerName val="0"/>
          <c:showPercent val="0"/>
          <c:showBubbleSize val="0"/>
        </c:dLbls>
        <c:gapWidth val="219"/>
        <c:overlap val="-27"/>
        <c:axId val="475137344"/>
        <c:axId val="438075488"/>
      </c:barChart>
      <c:catAx>
        <c:axId val="475137344"/>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8075488"/>
        <c:crosses val="autoZero"/>
        <c:auto val="1"/>
        <c:lblAlgn val="ctr"/>
        <c:lblOffset val="100"/>
        <c:noMultiLvlLbl val="0"/>
      </c:catAx>
      <c:valAx>
        <c:axId val="438075488"/>
        <c:scaling>
          <c:orientation val="minMax"/>
        </c:scaling>
        <c:delete val="1"/>
        <c:axPos val="l"/>
        <c:numFmt formatCode="General" sourceLinked="1"/>
        <c:majorTickMark val="none"/>
        <c:minorTickMark val="none"/>
        <c:tickLblPos val="nextTo"/>
        <c:crossAx val="475137344"/>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90829</c:v>
                </c:pt>
                <c:pt idx="1">
                  <c:v>9435</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38643</c:v>
                </c:pt>
                <c:pt idx="1">
                  <c:v>61621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11</c:v>
                </c:pt>
                <c:pt idx="1">
                  <c:v>5</c:v>
                </c:pt>
                <c:pt idx="2">
                  <c:v>21</c:v>
                </c:pt>
                <c:pt idx="3">
                  <c:v>0</c:v>
                </c:pt>
                <c:pt idx="4">
                  <c:v>0</c:v>
                </c:pt>
                <c:pt idx="5">
                  <c:v>0</c:v>
                </c:pt>
                <c:pt idx="6">
                  <c:v>11</c:v>
                </c:pt>
                <c:pt idx="7">
                  <c:v>4</c:v>
                </c:pt>
                <c:pt idx="8">
                  <c:v>4</c:v>
                </c:pt>
                <c:pt idx="9">
                  <c:v>15</c:v>
                </c:pt>
                <c:pt idx="10">
                  <c:v>22</c:v>
                </c:pt>
                <c:pt idx="11">
                  <c:v>3</c:v>
                </c:pt>
                <c:pt idx="12">
                  <c:v>3</c:v>
                </c:pt>
                <c:pt idx="13">
                  <c:v>3</c:v>
                </c:pt>
                <c:pt idx="14">
                  <c:v>4</c:v>
                </c:pt>
                <c:pt idx="15">
                  <c:v>24</c:v>
                </c:pt>
                <c:pt idx="16">
                  <c:v>2</c:v>
                </c:pt>
                <c:pt idx="17">
                  <c:v>14</c:v>
                </c:pt>
                <c:pt idx="18">
                  <c:v>3</c:v>
                </c:pt>
                <c:pt idx="19">
                  <c:v>4</c:v>
                </c:pt>
                <c:pt idx="20">
                  <c:v>6</c:v>
                </c:pt>
                <c:pt idx="21">
                  <c:v>1</c:v>
                </c:pt>
                <c:pt idx="22">
                  <c:v>4</c:v>
                </c:pt>
              </c:numCache>
            </c:numRef>
          </c:val>
        </c:ser>
        <c:dLbls>
          <c:showLegendKey val="0"/>
          <c:showVal val="0"/>
          <c:showCatName val="0"/>
          <c:showSerName val="0"/>
          <c:showPercent val="0"/>
          <c:showBubbleSize val="0"/>
        </c:dLbls>
        <c:gapWidth val="219"/>
        <c:axId val="473331040"/>
        <c:axId val="453422976"/>
      </c:barChart>
      <c:catAx>
        <c:axId val="473331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53422976"/>
        <c:crosses val="autoZero"/>
        <c:auto val="1"/>
        <c:lblAlgn val="ctr"/>
        <c:lblOffset val="100"/>
        <c:noMultiLvlLbl val="0"/>
      </c:catAx>
      <c:valAx>
        <c:axId val="453422976"/>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33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90829</c:v>
                </c:pt>
                <c:pt idx="1">
                  <c:v>9435</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8351</c:v>
                </c:pt>
                <c:pt idx="1">
                  <c:v>2471</c:v>
                </c:pt>
                <c:pt idx="2">
                  <c:v>3554</c:v>
                </c:pt>
                <c:pt idx="3">
                  <c:v>13346</c:v>
                </c:pt>
                <c:pt idx="4">
                  <c:v>325</c:v>
                </c:pt>
                <c:pt idx="5">
                  <c:v>349</c:v>
                </c:pt>
                <c:pt idx="6">
                  <c:v>24892</c:v>
                </c:pt>
                <c:pt idx="7">
                  <c:v>7696</c:v>
                </c:pt>
                <c:pt idx="8">
                  <c:v>412</c:v>
                </c:pt>
                <c:pt idx="9">
                  <c:v>2220</c:v>
                </c:pt>
                <c:pt idx="10">
                  <c:v>1143</c:v>
                </c:pt>
                <c:pt idx="11">
                  <c:v>915</c:v>
                </c:pt>
                <c:pt idx="12">
                  <c:v>25155</c:v>
                </c:pt>
                <c:pt idx="13">
                  <c:v>559</c:v>
                </c:pt>
                <c:pt idx="14">
                  <c:v>4215</c:v>
                </c:pt>
                <c:pt idx="15">
                  <c:v>541</c:v>
                </c:pt>
                <c:pt idx="16">
                  <c:v>1265</c:v>
                </c:pt>
                <c:pt idx="17">
                  <c:v>1976</c:v>
                </c:pt>
                <c:pt idx="18">
                  <c:v>120</c:v>
                </c:pt>
                <c:pt idx="19">
                  <c:v>759</c:v>
                </c:pt>
              </c:numCache>
            </c:numRef>
          </c:val>
        </c:ser>
        <c:dLbls>
          <c:showLegendKey val="0"/>
          <c:showVal val="0"/>
          <c:showCatName val="0"/>
          <c:showSerName val="0"/>
          <c:showPercent val="0"/>
          <c:showBubbleSize val="0"/>
        </c:dLbls>
        <c:gapWidth val="100"/>
        <c:overlap val="-24"/>
        <c:axId val="473332216"/>
        <c:axId val="473331824"/>
      </c:barChart>
      <c:catAx>
        <c:axId val="4733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73331824"/>
        <c:crosses val="autoZero"/>
        <c:auto val="1"/>
        <c:lblAlgn val="ctr"/>
        <c:lblOffset val="100"/>
        <c:noMultiLvlLbl val="0"/>
      </c:catAx>
      <c:valAx>
        <c:axId val="473331824"/>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73332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187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372</c:v>
                </c:pt>
              </c:numCache>
            </c:numRef>
          </c:val>
        </c:ser>
        <c:dLbls>
          <c:showLegendKey val="0"/>
          <c:showVal val="0"/>
          <c:showCatName val="0"/>
          <c:showSerName val="0"/>
          <c:showPercent val="0"/>
          <c:showBubbleSize val="0"/>
        </c:dLbls>
        <c:gapWidth val="500"/>
        <c:overlap val="-71"/>
        <c:axId val="280075744"/>
        <c:axId val="280076528"/>
      </c:barChart>
      <c:catAx>
        <c:axId val="280075744"/>
        <c:scaling>
          <c:orientation val="minMax"/>
        </c:scaling>
        <c:delete val="1"/>
        <c:axPos val="b"/>
        <c:majorTickMark val="none"/>
        <c:minorTickMark val="none"/>
        <c:tickLblPos val="nextTo"/>
        <c:crossAx val="280076528"/>
        <c:crosses val="autoZero"/>
        <c:auto val="1"/>
        <c:lblAlgn val="ctr"/>
        <c:lblOffset val="100"/>
        <c:noMultiLvlLbl val="0"/>
      </c:catAx>
      <c:valAx>
        <c:axId val="2800765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00757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 Type="http://schemas.openxmlformats.org/officeDocument/2006/relationships/chart" Target="../charts/chart28.xml"/><Relationship Id="rId6" Type="http://schemas.openxmlformats.org/officeDocument/2006/relationships/image" Target="../media/image18.jpeg"/><Relationship Id="rId11" Type="http://schemas.openxmlformats.org/officeDocument/2006/relationships/chart" Target="../charts/chart30.xml"/><Relationship Id="rId5" Type="http://schemas.openxmlformats.org/officeDocument/2006/relationships/hyperlink" Target="http://www.sheltercluster.org/library/standards-and-guidelines-nfi" TargetMode="External"/><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image" Target="../media/image3.png"/><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6</xdr:col>
      <xdr:colOff>1051560</xdr:colOff>
      <xdr:row>2</xdr:row>
      <xdr:rowOff>211455</xdr:rowOff>
    </xdr:from>
    <xdr:to>
      <xdr:col>8</xdr:col>
      <xdr:colOff>64770</xdr:colOff>
      <xdr:row>2</xdr:row>
      <xdr:rowOff>325755</xdr:rowOff>
    </xdr:to>
    <xdr:sp macro="" textlink="">
      <xdr:nvSpPr>
        <xdr:cNvPr id="2" name="Rectangle 1"/>
        <xdr:cNvSpPr/>
      </xdr:nvSpPr>
      <xdr:spPr>
        <a:xfrm>
          <a:off x="3099435" y="506730"/>
          <a:ext cx="137160" cy="11430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3174980" y="257175"/>
          <a:ext cx="2177415"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783949</xdr:colOff>
      <xdr:row>4</xdr:row>
      <xdr:rowOff>68690</xdr:rowOff>
    </xdr:from>
    <xdr:to>
      <xdr:col>18</xdr:col>
      <xdr:colOff>361484</xdr:colOff>
      <xdr:row>51</xdr:row>
      <xdr:rowOff>29576</xdr:rowOff>
    </xdr:to>
    <xdr:pic>
      <xdr:nvPicPr>
        <xdr:cNvPr id="4" name="Picture 3"/>
        <xdr:cNvPicPr>
          <a:picLocks noChangeAspect="1"/>
        </xdr:cNvPicPr>
      </xdr:nvPicPr>
      <xdr:blipFill>
        <a:blip xmlns:r="http://schemas.openxmlformats.org/officeDocument/2006/relationships" r:embed="rId2"/>
        <a:stretch>
          <a:fillRect/>
        </a:stretch>
      </xdr:blipFill>
      <xdr:spPr>
        <a:xfrm>
          <a:off x="3905087" y="1148757"/>
          <a:ext cx="5955884" cy="8984123"/>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582319" y="197031"/>
          <a:ext cx="3301978" cy="383428"/>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637699</xdr:colOff>
      <xdr:row>37</xdr:row>
      <xdr:rowOff>102884</xdr:rowOff>
    </xdr:from>
    <xdr:to>
      <xdr:col>3</xdr:col>
      <xdr:colOff>110646</xdr:colOff>
      <xdr:row>39</xdr:row>
      <xdr:rowOff>15903</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1337" y="7535786"/>
          <a:ext cx="374421" cy="287216"/>
        </a:xfrm>
        <a:prstGeom prst="rect">
          <a:avLst/>
        </a:prstGeom>
      </xdr:spPr>
    </xdr:pic>
    <xdr:clientData/>
  </xdr:twoCellAnchor>
  <xdr:twoCellAnchor editAs="oneCell">
    <xdr:from>
      <xdr:col>2</xdr:col>
      <xdr:colOff>162873</xdr:colOff>
      <xdr:row>37</xdr:row>
      <xdr:rowOff>45181</xdr:rowOff>
    </xdr:from>
    <xdr:to>
      <xdr:col>2</xdr:col>
      <xdr:colOff>493258</xdr:colOff>
      <xdr:row>39</xdr:row>
      <xdr:rowOff>87290</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6511" y="7478083"/>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722879</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47309" y="8343899"/>
          <a:ext cx="3596708" cy="2282258"/>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847727</xdr:colOff>
      <xdr:row>9</xdr:row>
      <xdr:rowOff>107320</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243330</xdr:colOff>
      <xdr:row>13</xdr:row>
      <xdr:rowOff>144774</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660737</xdr:colOff>
      <xdr:row>11</xdr:row>
      <xdr:rowOff>18049</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208476</xdr:colOff>
      <xdr:row>39</xdr:row>
      <xdr:rowOff>16962</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63177" y="7536845"/>
          <a:ext cx="301036" cy="287216"/>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74786" y="10836572"/>
          <a:ext cx="6662235" cy="676910"/>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221114</xdr:colOff>
      <xdr:row>37</xdr:row>
      <xdr:rowOff>152490</xdr:rowOff>
    </xdr:from>
    <xdr:to>
      <xdr:col>4</xdr:col>
      <xdr:colOff>214718</xdr:colOff>
      <xdr:row>38</xdr:row>
      <xdr:rowOff>144576</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86226" y="7585392"/>
          <a:ext cx="639943" cy="179184"/>
        </a:xfrm>
        <a:prstGeom prst="rect">
          <a:avLst/>
        </a:prstGeom>
      </xdr:spPr>
    </xdr:pic>
    <xdr:clientData/>
  </xdr:twoCellAnchor>
  <xdr:twoCellAnchor editAs="oneCell">
    <xdr:from>
      <xdr:col>5</xdr:col>
      <xdr:colOff>688860</xdr:colOff>
      <xdr:row>37</xdr:row>
      <xdr:rowOff>129644</xdr:rowOff>
    </xdr:from>
    <xdr:to>
      <xdr:col>6</xdr:col>
      <xdr:colOff>229620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44597" y="7562546"/>
          <a:ext cx="306161" cy="218686"/>
        </a:xfrm>
        <a:prstGeom prst="rect">
          <a:avLst/>
        </a:prstGeom>
      </xdr:spPr>
    </xdr:pic>
    <xdr:clientData/>
  </xdr:twoCellAnchor>
  <xdr:twoCellAnchor>
    <xdr:from>
      <xdr:col>11</xdr:col>
      <xdr:colOff>681895</xdr:colOff>
      <xdr:row>37</xdr:row>
      <xdr:rowOff>136725</xdr:rowOff>
    </xdr:from>
    <xdr:to>
      <xdr:col>12</xdr:col>
      <xdr:colOff>152577</xdr:colOff>
      <xdr:row>40</xdr:row>
      <xdr:rowOff>32631</xdr:rowOff>
    </xdr:to>
    <xdr:sp macro="" textlink="">
      <xdr:nvSpPr>
        <xdr:cNvPr id="59" name="Oval 58"/>
        <xdr:cNvSpPr/>
      </xdr:nvSpPr>
      <xdr:spPr>
        <a:xfrm>
          <a:off x="6056716" y="7722707"/>
          <a:ext cx="457200" cy="45720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265176</xdr:colOff>
      <xdr:row>35</xdr:row>
      <xdr:rowOff>153735</xdr:rowOff>
    </xdr:from>
    <xdr:to>
      <xdr:col>14</xdr:col>
      <xdr:colOff>40100</xdr:colOff>
      <xdr:row>38</xdr:row>
      <xdr:rowOff>22208</xdr:rowOff>
    </xdr:to>
    <xdr:sp macro="" textlink="">
      <xdr:nvSpPr>
        <xdr:cNvPr id="62" name="Oval 61"/>
        <xdr:cNvSpPr/>
      </xdr:nvSpPr>
      <xdr:spPr>
        <a:xfrm>
          <a:off x="7119774" y="7212440"/>
          <a:ext cx="429768" cy="42976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27050</xdr:colOff>
      <xdr:row>45</xdr:row>
      <xdr:rowOff>153734</xdr:rowOff>
    </xdr:from>
    <xdr:to>
      <xdr:col>13</xdr:col>
      <xdr:colOff>411098</xdr:colOff>
      <xdr:row>48</xdr:row>
      <xdr:rowOff>2001</xdr:rowOff>
    </xdr:to>
    <xdr:sp macro="" textlink="">
      <xdr:nvSpPr>
        <xdr:cNvPr id="70" name="Oval 69"/>
        <xdr:cNvSpPr/>
      </xdr:nvSpPr>
      <xdr:spPr>
        <a:xfrm>
          <a:off x="6881648" y="9083422"/>
          <a:ext cx="384048" cy="3840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452275</xdr:colOff>
      <xdr:row>39</xdr:row>
      <xdr:rowOff>179260</xdr:rowOff>
    </xdr:from>
    <xdr:to>
      <xdr:col>13</xdr:col>
      <xdr:colOff>215048</xdr:colOff>
      <xdr:row>41</xdr:row>
      <xdr:rowOff>61095</xdr:rowOff>
    </xdr:to>
    <xdr:sp macro="" textlink="">
      <xdr:nvSpPr>
        <xdr:cNvPr id="72" name="Oval 71"/>
        <xdr:cNvSpPr/>
      </xdr:nvSpPr>
      <xdr:spPr>
        <a:xfrm>
          <a:off x="6813614" y="7986358"/>
          <a:ext cx="256032" cy="25603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51025</xdr:colOff>
      <xdr:row>44</xdr:row>
      <xdr:rowOff>170755</xdr:rowOff>
    </xdr:from>
    <xdr:to>
      <xdr:col>3</xdr:col>
      <xdr:colOff>308596</xdr:colOff>
      <xdr:row>46</xdr:row>
      <xdr:rowOff>52590</xdr:rowOff>
    </xdr:to>
    <xdr:sp macro="" textlink="">
      <xdr:nvSpPr>
        <xdr:cNvPr id="79" name="Oval 78"/>
        <xdr:cNvSpPr/>
      </xdr:nvSpPr>
      <xdr:spPr>
        <a:xfrm>
          <a:off x="1216137" y="9066425"/>
          <a:ext cx="257571" cy="25603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732241</xdr:colOff>
      <xdr:row>50</xdr:row>
      <xdr:rowOff>17000</xdr:rowOff>
    </xdr:from>
    <xdr:to>
      <xdr:col>3</xdr:col>
      <xdr:colOff>13647</xdr:colOff>
      <xdr:row>51</xdr:row>
      <xdr:rowOff>38295</xdr:rowOff>
    </xdr:to>
    <xdr:sp macro="" textlink="">
      <xdr:nvSpPr>
        <xdr:cNvPr id="80" name="Oval 79"/>
        <xdr:cNvSpPr/>
      </xdr:nvSpPr>
      <xdr:spPr>
        <a:xfrm>
          <a:off x="995879" y="9958719"/>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297832</xdr:colOff>
      <xdr:row>43</xdr:row>
      <xdr:rowOff>75851</xdr:rowOff>
    </xdr:from>
    <xdr:to>
      <xdr:col>3</xdr:col>
      <xdr:colOff>517288</xdr:colOff>
      <xdr:row>44</xdr:row>
      <xdr:rowOff>108208</xdr:rowOff>
    </xdr:to>
    <xdr:sp macro="" textlink="">
      <xdr:nvSpPr>
        <xdr:cNvPr id="81" name="Oval 80"/>
        <xdr:cNvSpPr/>
      </xdr:nvSpPr>
      <xdr:spPr>
        <a:xfrm>
          <a:off x="1462944" y="8784422"/>
          <a:ext cx="219456" cy="21945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1538</xdr:colOff>
      <xdr:row>43</xdr:row>
      <xdr:rowOff>119733</xdr:rowOff>
    </xdr:from>
    <xdr:to>
      <xdr:col>5</xdr:col>
      <xdr:colOff>138698</xdr:colOff>
      <xdr:row>44</xdr:row>
      <xdr:rowOff>69794</xdr:rowOff>
    </xdr:to>
    <xdr:sp macro="" textlink="">
      <xdr:nvSpPr>
        <xdr:cNvPr id="82" name="Oval 81"/>
        <xdr:cNvSpPr/>
      </xdr:nvSpPr>
      <xdr:spPr>
        <a:xfrm>
          <a:off x="2357275" y="8828304"/>
          <a:ext cx="137160" cy="13716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2108" y="9218830"/>
          <a:ext cx="118872" cy="11887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9754" y="8699369"/>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4318075" y="382763"/>
          <a:ext cx="5279252"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35221"/>
          <a:ext cx="3400951" cy="9546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100,264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164</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668624" y="179917"/>
          <a:ext cx="4342007" cy="562784"/>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11207</xdr:rowOff>
    </xdr:from>
    <xdr:to>
      <xdr:col>18</xdr:col>
      <xdr:colOff>20543</xdr:colOff>
      <xdr:row>49</xdr:row>
      <xdr:rowOff>22411</xdr:rowOff>
    </xdr:to>
    <xdr:sp macro="" textlink="">
      <xdr:nvSpPr>
        <xdr:cNvPr id="19" name="Rounded Rectangle 18"/>
        <xdr:cNvSpPr/>
      </xdr:nvSpPr>
      <xdr:spPr>
        <a:xfrm>
          <a:off x="7653618" y="6925236"/>
          <a:ext cx="4458072" cy="15912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619750" y="8646583"/>
          <a:ext cx="6468333" cy="67230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100,264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164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8,351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2,471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21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4,215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13,346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24,892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1,265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7,696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1,976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2,220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1,143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25,155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5991225" y="414058"/>
          <a:ext cx="3533775" cy="47176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80683</xdr:colOff>
      <xdr:row>0</xdr:row>
      <xdr:rowOff>134471</xdr:rowOff>
    </xdr:from>
    <xdr:to>
      <xdr:col>12</xdr:col>
      <xdr:colOff>549812</xdr:colOff>
      <xdr:row>0</xdr:row>
      <xdr:rowOff>645460</xdr:rowOff>
    </xdr:to>
    <xdr:grpSp>
      <xdr:nvGrpSpPr>
        <xdr:cNvPr id="13" name="Group 12"/>
        <xdr:cNvGrpSpPr/>
      </xdr:nvGrpSpPr>
      <xdr:grpSpPr>
        <a:xfrm>
          <a:off x="5833783" y="134471"/>
          <a:ext cx="4288654"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77932</xdr:colOff>
      <xdr:row>8</xdr:row>
      <xdr:rowOff>17318</xdr:rowOff>
    </xdr:from>
    <xdr:to>
      <xdr:col>14</xdr:col>
      <xdr:colOff>1024309</xdr:colOff>
      <xdr:row>39</xdr:row>
      <xdr:rowOff>104986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1159" y="1437409"/>
          <a:ext cx="4652468" cy="5508259"/>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755277" y="218611"/>
          <a:ext cx="3010779" cy="444476"/>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36%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0009388" y="6619832"/>
          <a:ext cx="0" cy="157572"/>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49008289" y="6623538"/>
          <a:ext cx="998366" cy="153866"/>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1636561" y="7092462"/>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115226</xdr:rowOff>
    </xdr:to>
    <xdr:grpSp>
      <xdr:nvGrpSpPr>
        <xdr:cNvPr id="3" name="Group 2"/>
        <xdr:cNvGrpSpPr/>
      </xdr:nvGrpSpPr>
      <xdr:grpSpPr>
        <a:xfrm>
          <a:off x="2784231" y="7428521"/>
          <a:ext cx="7013864" cy="695032"/>
          <a:chOff x="2784231" y="7435848"/>
          <a:chExt cx="7013864" cy="695032"/>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5"/>
            <a:ext cx="6311179" cy="670115"/>
            <a:chOff x="3463641" y="7700393"/>
            <a:chExt cx="5820302" cy="665667"/>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1"/>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792730" y="68580"/>
          <a:ext cx="349186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6146378" y="179070"/>
          <a:ext cx="4765463"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NHCR\AppData\Local\Microsoft\Windows\Temporary%20Internet%20Files\Content.Outlook\6XTI36T1\Cluster%20reporting%20tool_final.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186.569269560183" createdVersion="4" refreshedVersion="5" minRefreshableVersion="3" recordCount="167">
  <cacheSource type="worksheet">
    <worksheetSource name="Table10"/>
  </cacheSource>
  <cacheFields count="14">
    <cacheField name="Pcode" numFmtId="0">
      <sharedItems/>
    </cacheField>
    <cacheField name="Priority" numFmtId="0">
      <sharedItems count="5">
        <e v="#REF!"/>
        <s v="P1" u="1"/>
        <s v="P3" u="1"/>
        <s v="P2" u="1"/>
        <s v="P4" u="1"/>
      </sharedItems>
    </cacheField>
    <cacheField name="Camp" numFmtId="0">
      <sharedItems/>
    </cacheField>
    <cacheField name="Township" numFmtId="0">
      <sharedItems/>
    </cacheField>
    <cacheField name="HH" numFmtId="0">
      <sharedItems containsMixedTypes="1" containsNumber="1" containsInteger="1" minValue="0" maxValue="1519"/>
    </cacheField>
    <cacheField name="Ind" numFmtId="0">
      <sharedItems containsMixedTypes="1" containsNumber="1" containsInteger="1" minValue="0" maxValue="8513"/>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3038"/>
    </cacheField>
    <cacheField name="WC_Child_Gap" numFmtId="0">
      <sharedItems containsMixedTypes="1" containsNumber="1" containsInteger="1" minValue="0" maxValue="1519"/>
    </cacheField>
    <cacheField name="WI_Other_Gap" numFmtId="0">
      <sharedItems containsMixedTypes="1" containsNumber="1" containsInteger="1" minValue="0" maxValue="1519"/>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Thu Khaing" refreshedDate="43227.383703125" missingItemsLimit="0" createdVersion="4" refreshedVersion="5" minRefreshableVersion="3" recordCount="207">
  <cacheSource type="worksheet">
    <worksheetSource name="Table_NFI"/>
  </cacheSource>
  <cacheFields count="46">
    <cacheField name="Distribution Date" numFmtId="169">
      <sharedItems containsSemiMixedTypes="0" containsNonDate="0" containsDate="1" containsString="0" minDate="2017-01-02T00:00:00" maxDate="2018-03-31T00:00:00" count="92">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sharedItems>
    </cacheField>
    <cacheField name="Distribution Month/Year (Auto-calculated)" numFmtId="169">
      <sharedItems count="15">
        <s v="1/2017"/>
        <s v="2/2017"/>
        <s v="3/2017"/>
        <s v="4/2017"/>
        <s v="5/2017"/>
        <s v="6/2017"/>
        <s v="7/2017"/>
        <s v="8/2017"/>
        <s v="9/2017"/>
        <s v="10/2017"/>
        <s v="11/2017"/>
        <s v="12/2017"/>
        <s v="1/2018"/>
        <s v="2/2018"/>
        <s v="3/2018"/>
      </sharedItems>
    </cacheField>
    <cacheField name="Agency" numFmtId="0">
      <sharedItems count="13">
        <s v="UNHCR"/>
        <s v="Solidarites"/>
        <s v="NRC"/>
        <s v="Metta"/>
        <s v="MRCS"/>
        <s v="Shalom"/>
        <s v="KMSS-Myitkyina"/>
        <s v="RI"/>
        <s v="IRC"/>
        <s v="KMSS-Lashio"/>
        <s v="SCI"/>
        <s v="KMSS_Myitkyina"/>
        <s v="DRC"/>
      </sharedItems>
    </cacheField>
    <cacheField name="Implementing Partner" numFmtId="0">
      <sharedItems containsBlank="1"/>
    </cacheField>
    <cacheField name="State" numFmtId="0">
      <sharedItems/>
    </cacheField>
    <cacheField name="Township" numFmtId="0">
      <sharedItems count="17">
        <s v="Waingmaw"/>
        <s v="Myitkyina"/>
        <s v="Mansi"/>
        <s v="Momauk"/>
        <s v="Shwegu"/>
        <s v="Bhamo"/>
        <s v="Hpakant"/>
        <s v="Chipwi"/>
        <s v="Sumprabum"/>
        <s v="Kutkai"/>
        <s v="Hseni"/>
        <s v="Namtu"/>
        <s v="Tanai"/>
        <s v="Muse "/>
        <s v="Namhkam"/>
        <s v="Mohnyin"/>
        <s v="Kyaukme"/>
      </sharedItems>
    </cacheField>
    <cacheField name="Location" numFmtId="0">
      <sharedItems/>
    </cacheField>
    <cacheField name="Cash for NFI (# of HHs covered)" numFmtId="0">
      <sharedItems containsString="0" containsBlank="1" containsNumber="1" containsInteger="1" minValue="1" maxValue="288"/>
    </cacheField>
    <cacheField name="Hygiene Kit" numFmtId="1">
      <sharedItems containsString="0" containsBlank="1" containsNumber="1" containsInteger="1" minValue="1" maxValue="131"/>
    </cacheField>
    <cacheField name="Dignity Kit" numFmtId="1">
      <sharedItems containsString="0" containsBlank="1" containsNumber="1" containsInteger="1" minValue="7" maxValue="10"/>
    </cacheField>
    <cacheField name="NFI Core Kit" numFmtId="1">
      <sharedItems containsString="0" containsBlank="1" containsNumber="1" containsInteger="1" minValue="1" maxValue="141"/>
    </cacheField>
    <cacheField name="Sanitary Kit" numFmtId="1">
      <sharedItems containsString="0" containsBlank="1" containsNumber="1" containsInteger="1" minValue="1" maxValue="657"/>
    </cacheField>
    <cacheField name="Mosquito net" numFmtId="1">
      <sharedItems containsString="0" containsBlank="1" containsNumber="1" containsInteger="1" minValue="2" maxValue="255"/>
    </cacheField>
    <cacheField name="Tarpaulin" numFmtId="1">
      <sharedItems containsString="0" containsBlank="1" containsNumber="1" containsInteger="1" minValue="1" maxValue="255"/>
    </cacheField>
    <cacheField name="Blanket" numFmtId="1">
      <sharedItems containsBlank="1" containsMixedTypes="1" containsNumber="1" containsInteger="1" minValue="2" maxValue="3170"/>
    </cacheField>
    <cacheField name="Kitchen Set" numFmtId="1">
      <sharedItems containsString="0" containsBlank="1" containsNumber="1" containsInteger="1" minValue="1" maxValue="143"/>
    </cacheField>
    <cacheField name="Clothes Kit" numFmtId="1">
      <sharedItems containsString="0" containsBlank="1" containsNumber="1" containsInteger="1" minValue="60" maxValue="60"/>
    </cacheField>
    <cacheField name="Plastic Bucket" numFmtId="1">
      <sharedItems containsString="0" containsBlank="1" containsNumber="1" containsInteger="1" minValue="1" maxValue="91"/>
    </cacheField>
    <cacheField name="Plastic Mat" numFmtId="1">
      <sharedItems containsString="0" containsBlank="1" containsNumber="1" containsInteger="1" minValue="3" maxValue="387"/>
    </cacheField>
    <cacheField name="Winter Clothes Adult" numFmtId="0">
      <sharedItems containsString="0" containsBlank="1" containsNumber="1" containsInteger="1" minValue="1" maxValue="540"/>
    </cacheField>
    <cacheField name="Winter Clothes Children" numFmtId="1">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1">
      <sharedItems containsString="0" containsBlank="1" containsNumber="1" containsInteger="1" minValue="1" maxValue="91"/>
    </cacheField>
    <cacheField name="Solar lamps" numFmtId="1">
      <sharedItems containsString="0" containsBlank="1" containsNumber="1" containsInteger="1" minValue="60" maxValue="167"/>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Thu Khaing" refreshedDate="43227.38370416667" missingItemsLimit="0" createdVersion="4" refreshedVersion="5" minRefreshableVersion="3" recordCount="287">
  <cacheSource type="worksheet">
    <worksheetSource name="AllData_CampList"/>
  </cacheSource>
  <cacheFields count="31">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Hpakant"/>
        <s v="Chipwi"/>
        <s v="Waingmaw"/>
        <s v="Momauk"/>
        <s v="Bhamo"/>
        <s v="Mansi"/>
        <s v="Namhkan"/>
        <s v="Shwegu"/>
        <s v="Mogaung"/>
        <s v="Khaunglanhpu"/>
        <s v="Puta-O"/>
        <s v="Mohnyin"/>
        <s v="Muse"/>
        <s v="Injangyang"/>
        <s v="Sumprabum"/>
        <s v="Kutkai"/>
        <s v="Machanbaw"/>
        <s v="Manton"/>
        <s v="Namtu"/>
        <s v="Hseni"/>
        <s v="Tana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84">
        <s v="Tat Kone Baptist Church"/>
        <s v="Njang Dung Baptist Church "/>
        <s v="Tat Kone Galile Baptist Church"/>
        <s v="AG Church, Hmaw Si Sa"/>
        <s v="Tat Kone San Pya Baptist Church"/>
        <s v="Shatapru Sut Ngai Tawng"/>
        <s v="AG Church, Maw Wan"/>
        <s v="Man Hkring Baptist Church"/>
        <s v="Shwe Zet Baptist Church"/>
        <s v="Du Kahtawng Baptist"/>
        <s v="Kyun Pin Thar Baptist Church"/>
        <s v="Le Kone Ziun Baptist Church "/>
        <s v="Le Kone Bethlehem Church"/>
        <s v="Maliyang Baptist Church"/>
        <s v="Myay Myint Baptist Church"/>
        <s v="Jan Mai Kawng Baptist Church"/>
        <s v="5 Ward RC Church(lon Khin)"/>
        <s v="Chin Church, Seik Mu"/>
        <s v="Chipwi KBC camp"/>
        <s v="Wun Tho Buddhist Monastery"/>
        <s v="Dhama Rakhita, Nyein Chan Tar Yar Ward(Lon Khin)"/>
        <s v="Border Post 8"/>
        <s v="Qtr. 2 Myoma Baptist Church"/>
        <s v="Hkat Cho "/>
        <s v="Mading Baptist Church"/>
        <s v="Hmaw Wan, Anglican"/>
        <s v="Dum Bung "/>
        <s v="Ka Bu Dam CoC"/>
        <s v="Lhaovao Baptist Church (LBC)"/>
        <s v="Lisu Baptist Church, Maw Shan Vil,. Seik Mu"/>
        <s v="Lisu Baptist Church, Maw Wan Ward"/>
        <s v="Nawng Si Paw Village - Inn Lay"/>
        <s v="Moke Lwe Village - Hkar Shi"/>
        <s v="Waingmaw Baptist Zonal Office"/>
        <s v="Lisu Boarding-House"/>
        <s v="Maina Lawang Baptist Church"/>
        <s v="Maina AG Church"/>
        <s v="Maina KBC (Bawng Ring)"/>
        <s v="Shing Jai"/>
        <s v="Hpare Hkyer - BP6"/>
        <s v="Maw Hpawng Hka Nan Baptist Church"/>
        <s v="Robert Church"/>
        <s v="Women's Affairs Association Building"/>
        <s v="Lan Jaw "/>
        <s v="Gant Gwin"/>
        <s v="Htoi San Church"/>
        <s v="Kannar Yeik Thar"/>
        <s v="Maw Hpawng Lhaovo Baptist Church"/>
        <s v="AD-2000 Tharthana Compound"/>
        <s v="Maw Wan, Mu-yin Baptist Church"/>
        <s v="Momauk Baptist Church"/>
        <s v="Mu-yin Baptist Church"/>
        <s v="Bum Tsit Pa "/>
        <s v="Nam Ma Phyit, COC"/>
        <s v="Nam Hkam Malut Jak "/>
        <s v="Mansi Baptist Church"/>
        <s v="Nam Hkam Catholic Church ( St. Thomas I)"/>
        <s v="Momauk Catholic Church (St. Patrick)"/>
        <s v="Mandalay Monestry"/>
        <s v="Ni Thaw Ka Monestry"/>
        <s v="Tarli "/>
        <s v="Myo Thit "/>
        <s v="Lana Zup Ja "/>
        <s v="Man Nawng "/>
        <s v="Mai Khat "/>
        <s v="Phar Kay/Nant Waing "/>
        <s v="Shwe Gu Baptist Church"/>
        <s v="Loi Je Lisu Camp"/>
        <s v="Loi Je Catholic Church"/>
        <s v="Maing Khaung Catholic Church"/>
        <s v="Loi Je Baptist Church"/>
        <s v="Nyaung Na Pin "/>
        <s v="Seng Ja "/>
        <s v="Ma Hawng Baptist Church"/>
        <s v="La Ja"/>
        <s v="Tote Tan Ward"/>
        <s v="Kyun Taw Baptist Church "/>
        <s v="Nat Gyi Kone Baptist Church "/>
        <s v="Yumar Baptist Church"/>
        <s v="Hpun Lum Yang "/>
        <s v="Nant Mun"/>
        <s v="Nga Pyaw Taw Baptist Nursery School "/>
        <s v="Nga Pyaw Taw Roman Catholic Church"/>
        <s v="Maw Wan, Kyauk Hlaing Gu Pagoda Compound"/>
        <s v="Maw Wan, Kachin Baptist Church"/>
        <s v="Chin(Zomi) Baptist Church"/>
        <s v="Maw Wan, Myo Oo Pagoda"/>
        <s v="Maw Wan, Catholic Church"/>
        <s v="Nawng Hee Village"/>
        <s v="Hkau Shau (BP 12)"/>
        <s v="Mung Baw "/>
        <s v="Aye Mya Tharyar Church of Christ "/>
        <s v="Pajau - Jan Mai"/>
        <s v="Mashi Kahtawng Catholic Church"/>
        <s v="Man Wing Baptist Church"/>
        <s v="Mashi Kahtawng Baptist  Church"/>
        <s v="Hlaing Naung Baptist"/>
        <s v="Howa"/>
        <s v="Mashi Kahtawng Rakhine traditional group"/>
        <s v="Nam Hkyet"/>
        <s v="Mashi Kahtawng Evangelical Church"/>
        <s v="Munekoe Pa (Giwang) - Hka San (Mung  Go  Pa ) "/>
        <s v="Mashi Kahtawng Yaung Chi Oo Thi la shin Monestry"/>
        <s v="Mashi Kahtawng Municipal Dammar Yone"/>
        <s v="Mashi Kahtawng Myo Oo Taw Ya Monestry"/>
        <s v="Mashi Kahtawng Shan Traditional Monestry"/>
        <s v="Thiri Mingalar Manizay Yone, Myoma Quarter"/>
        <s v="Parami, Charity Office, MyoMa Quarter"/>
        <s v="Jan Mai Kawng Catholic Church"/>
        <s v="San Kyel, Masoe Yein Monestry"/>
        <s v="Nawng Ing (Indawgyi) Baptist Church  "/>
        <s v="Maw Si Zar, Thiriyardanar Sein, Damma Compound, Lone Khin"/>
        <s v="Ma Mon Buddhist Monastery"/>
        <s v="Sa Baw Sarsana Parla Monastery"/>
        <s v="Qtr. 2 Lhaovo Baptist Church"/>
        <s v="Tar Ma Hkan Buddhist Monastery, Haung Par"/>
        <s v="Zai Awng - Mung Ga Zup"/>
        <s v="Je Yang Hka "/>
        <s v="Border Post 10"/>
        <s v="Baptist Church, Hmaw Si Sar(Lon Khin)"/>
        <s v="Maga Yang "/>
        <s v="Laiza Market 3 - Laiza Gat"/>
        <s v="Manau Compound"/>
        <s v="Maina Catholic Church (St. Joseph)"/>
        <s v="Ward 2 Sai Taung Baptist Church, Seik Mu "/>
        <s v="Muyin church (Aung Yar pre-school compound)"/>
        <s v="Nan Kway St. John Catholic Church"/>
        <s v="Nant Ma Hpit Catholic Church"/>
        <s v="Man Bung Catholic compound"/>
        <s v="Man Wing Catholic Church"/>
        <s v="Man Wing Catholic Church II"/>
        <s v="Nant Hlaing Church"/>
        <s v="Nhkawng Pa "/>
        <s v="Phan Khar Kone"/>
        <s v="Man Wing Host Families"/>
        <s v="Lung Kawk  ( Hka Hkye Zup)"/>
        <s v="Nam Hka Mare (west of Man Wing)"/>
        <s v="Nam Lim Pa - Scattered IDPs in forest"/>
        <s v="Lawk Hkawng Ginwang"/>
        <s v="Lawk Awng Mare D. (Sinbo Area)"/>
        <s v="Aung Thar Church"/>
        <s v="Maing Khaung"/>
        <s v="Daw Hpum Yang Ninghtawn"/>
        <s v="Pa Dauk Myaing(Pa La Na)"/>
        <s v="Pan Wa"/>
        <s v="Host Families"/>
        <s v="Qtr. 3 Mu-yin  Baptist Church"/>
        <s v="Post 6 Camp"/>
        <s v="Hpakant Baptist Church, Nam Ma Hpit"/>
        <s v="Away Yar Rama Monastery, Ka Day village"/>
        <s v="1 Ward, Sein Yadanar Company(Lon Khin)"/>
        <s v="Baptist Church, Sai Ra village"/>
        <s v="Anglican Church, Hmaw Si Sar"/>
        <s v="Qtr. 4 Monestry (Thargaya Thayett Taw)"/>
        <s v="Wrad(5) Christian Association"/>
        <s v="Rawan Baptist Church, Maw Shan Vil., Seik Mu"/>
        <s v="Muring Baptist Church, Awng Ra, Wa Ra Zut VT"/>
        <s v="May Di Ka Rama Monastery(Lon Khin)"/>
        <s v="5 Ward Baptist Church(lon Khin)"/>
        <s v="Ei Wan Gali Asso., Ward 1, Seik Mu"/>
        <s v="Shatapru Thida Aye Baptist Church"/>
        <s v="Ta Gun Taing Monastery (Shwe Kyi Na)"/>
        <s v="Sai Nai Baptish Church, Maw Shan Vil., Seki Mu"/>
        <s v="Man Wing Baptist Church Cultural Compound"/>
        <s v="Ward 2 Cahotlic Church, Seik Mu"/>
        <s v="Free Christian Asso., Ward 1, Seik Mu"/>
        <s v="Baptist Church, Naung Hmee VT"/>
        <s v="Hmaw Wan, Baptist Christian Church"/>
        <s v="Tat Kone COC Baptist - Tat Kone Htoi San"/>
        <s v="Tat Kone Emanuel Church"/>
        <s v="Thargaya Lisu Baptist Church"/>
        <s v="Lung Sut"/>
        <s v="Sar Hmaw - KBC"/>
        <s v="Ndup Yang"/>
        <s v="Kone Khem Camp"/>
        <s v="Waingmaw AG Church"/>
        <s v="Salang Yang"/>
        <s v="Kutkai downtown (RC Church)"/>
        <s v="Man Ting"/>
        <s v="Shar Du Zut KBC church "/>
        <s v="Khun Sint Village"/>
        <s v="Zomee Baptist Church camp, Hmaw Wan"/>
        <s v="Lagatyan "/>
        <s v="Mung Ding Pa  (Boarder)"/>
        <s v="Mungji Pa Dabang (RC Church)         "/>
        <s v="Sha-It Yang"/>
        <s v="Hpai Kawng Mare"/>
        <s v="Nam Lim Pa"/>
        <s v="Sumprabum"/>
        <s v="IDP Boarding School, A Len Bum"/>
        <s v="Nam Lim Pa    (Boarding School)"/>
        <s v="Saw Zam"/>
        <s v="Thu Kha Waddy"/>
        <s v="Man Kawng Baptist Church"/>
        <s v="Man Kawng Catholic Church"/>
        <s v="Ban Hkung Yang (Boarding School)"/>
        <s v="Ban Hkung (School)"/>
        <s v="Ban Hkung Yang"/>
        <s v="IDPs scattered in South Mansi"/>
        <s v="Lawng Hkang Shait Yang Camp​ ( Lel Pyin)​ "/>
        <s v="Si Hkan Gyi"/>
        <s v="Naung Khaing"/>
        <s v="Machanbaw - KBC"/>
        <s v="St. Patrick Church, Bhamo"/>
        <s v="Pa Kahtawng "/>
        <s v="Tharthana Ahlin Yaung New Monastery"/>
        <s v="Nam Hkam Catholic Church ( St. Thomas II)"/>
        <s v="Shar Du Zut RC church"/>
        <s v="Bum Tsit Pa Camp II"/>
        <s v="Inn Lel Yan - Host Families"/>
        <s v="Shwe Gu Catholic Church"/>
        <s v="Nam Hkam (KBC Jaw Wang)"/>
        <s v="Nam Hkam - Nay Win Ni (Palawng)"/>
        <s v="Ku Day Maw KBC"/>
        <s v="Hopin Host Families"/>
        <s v="Moenyin Host Families"/>
        <s v="Mungji Pa Dabang (Baptist Church)         "/>
        <s v="Sar Hmaw - ICM"/>
        <s v="Nam Hpak Ka Mare "/>
        <s v="Ma Hawng RC "/>
        <s v="Mandung - Jinghpaw"/>
        <s v="Nam Hkawng"/>
        <s v="Nam Tu Baptist"/>
        <s v="Narte"/>
        <s v="Dawthponeyan Boarding School"/>
        <s v="Mandung - RC"/>
        <s v="Nam Tu RC"/>
        <s v="Galeng (Kachin)"/>
        <s v="Mung Ding Pa "/>
        <s v="Wara Zup KBC Church"/>
        <s v="A Lo Taw Pyae monastery"/>
        <s v="Galeng (Palaung)"/>
        <s v="Kutkai downtown (KBC Church)"/>
        <s v="Mine Yu Lay village ( Old)"/>
        <s v="Zup Aung Camp"/>
        <s v="Muse Baptist Church"/>
        <s v="Thar Ta Na Aung San monastery"/>
        <s v="Muse Catholic Church"/>
        <s v="Mungji Pa Dabang (Catholic Church)"/>
        <s v="Nam Hkam (KBC Jaw Wang) II"/>
        <s v="New Pang Ku "/>
        <s v="Namhkan - Pang Long KBC"/>
        <s v="Pan Ta Pyae"/>
        <s v="Man Sa"/>
        <s v="St. Patrick Catholic Church "/>
        <s v="Woi Chyai "/>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Hka Shi"/>
        <s v="Namt Hkun monastery"/>
        <s v="St. Peter Church (Ho Mun ward)"/>
        <s v="Gawrakha Youth Association"/>
        <s v="B.E.H.S 2 (Ho Mun ward)"/>
        <s v="Nam Sa Larp"/>
        <s v="Mai Yu Lay New (Ta'ang)"/>
        <s v="Tanai RC Church - Kinsa Ra "/>
        <s v="Tanai AG Church "/>
        <s v="Tanai KBC Church "/>
        <s v="Tanai CoC"/>
        <s v="B.E.H.S 4 (Ho Mun ward)"/>
        <s v="Namti"/>
        <s v="Yoe Kyi Monastery"/>
        <s v="AG Church Pa Ma Tee"/>
        <s v="Sadung"/>
        <s v="Wein Sai Church "/>
        <s v="Man Kaung/Naung Ti Kyar Village"/>
        <s v="Kutkai downtown (KBC Church-2)"/>
        <s v="Man Loi"/>
        <s v="Hpai Kawng"/>
        <s v="Pan Law"/>
        <s v="Kyu Sot"/>
      </sharedItems>
    </cacheField>
    <cacheField name="CP_Pcode" numFmtId="0">
      <sharedItems count="287">
        <s v="MMR001CMP001"/>
        <s v="MMR001CMP002"/>
        <s v="MMR001CMP003"/>
        <s v="MMR001CMP176"/>
        <s v="MMR001CMP005"/>
        <s v="MMR001CMP006"/>
        <s v="MMR001CMP190"/>
        <s v="MMR001CMP008"/>
        <s v="MMR001CMP009"/>
        <s v="MMR001CMP010"/>
        <s v="MMR001CMP013"/>
        <s v="MMR001CMP014"/>
        <s v="MMR001CMP015"/>
        <s v="MMR001CMP016"/>
        <s v="MMR001CMP017"/>
        <s v="MMR001CMP018"/>
        <s v="MMR001CMP168"/>
        <s v="MMR001CMP109"/>
        <s v="MMR001CMP042"/>
        <s v="MMR001CMP022"/>
        <s v="MMR001CMP174"/>
        <s v="MMR001CMP113"/>
        <s v="MMR001CMP025"/>
        <s v="MMR001CMP028"/>
        <s v="MMR001CMP027"/>
        <s v="MMR001CMP191"/>
        <s v="MMR001CMP123"/>
        <s v="MMR001CMP256"/>
        <s v="MMR001CMP195"/>
        <s v="MMR001CMP181"/>
        <s v="MMR001CMP167"/>
        <s v="MMR001CMP034"/>
        <s v="MMR001CMP035"/>
        <s v="MMR001CMP036"/>
        <s v="MMR001CMP049"/>
        <s v="MMR001CMP039"/>
        <s v="MMR001CMP031"/>
        <s v="MMR001CMP040"/>
        <s v="MMR001CMP041"/>
        <s v="MMR001CMP043"/>
        <s v="MMR001CMP020"/>
        <s v="MMR001CMP047"/>
        <s v="MMR001CMP044"/>
        <s v="MMR001CMP045"/>
        <s v="MMR001CMP046"/>
        <s v="MMR001CMP052"/>
        <s v="MMR001CMP048"/>
        <s v="MMR001CMP021"/>
        <s v="MMR001CMP050"/>
        <s v="MMR001CMP091"/>
        <s v="MMR001CMP056"/>
        <s v="MMR001CMP051"/>
        <s v="MMR001CMP129"/>
        <s v="MMR001CMP192"/>
        <s v="MMR015CMP002"/>
        <s v="MMR001CMP066"/>
        <s v="MMR015CMP003"/>
        <s v="MMR001CMP057"/>
        <s v="MMR001CMP058"/>
        <s v="MMR001CMP059"/>
        <s v="MMR001CMP060"/>
        <s v="MMR001CMP061"/>
        <s v="MMR001CMP128"/>
        <s v="MMR001CMP063"/>
        <s v="MMR001CMP064"/>
        <s v="MMR001CMP065"/>
        <s v="MMR001CMP067"/>
        <s v="MMR001CMP070"/>
        <s v="MMR001CMP069"/>
        <s v="MMR001CMP223"/>
        <s v="MMR001CMP071"/>
        <s v="MMR001CMP072"/>
        <s v="MMR001CMP073"/>
        <s v="MMR001CMP077"/>
        <s v="MMR001CMP074"/>
        <s v="MMR001CMP075"/>
        <s v="MMR001CMP078"/>
        <s v="MMR001CMP079"/>
        <s v="MMR001CMP105"/>
        <s v="MMR001CMP122"/>
        <s v="MMR001CMP081"/>
        <s v="MMR001CMP082"/>
        <s v="MMR001CMP083"/>
        <s v="MMR001CMP084"/>
        <s v="MMR001CMP085"/>
        <s v="MMR001CMP086"/>
        <s v="MMR001CMP088"/>
        <s v="MMR001CMP090"/>
        <s v="MMR001CMP033"/>
        <s v="MMR001CMP115"/>
        <s v="MMR015CMP005"/>
        <s v="MMR001CMP092"/>
        <s v="MMR001CMP120"/>
        <s v="MMR001CMP093"/>
        <s v="MMR001CMP133"/>
        <s v="MMR001CMP094"/>
        <s v="MMR001CMP148"/>
        <s v="MMR015CMP010"/>
        <s v="MMR001CMP095"/>
        <s v="MMR015CMP011"/>
        <s v="MMR001CMP096"/>
        <s v="MMR015CMP012"/>
        <s v="MMR001CMP097"/>
        <s v="MMR001CMP098"/>
        <s v="MMR001CMP099"/>
        <s v="MMR001CMP100"/>
        <s v="MMR001CMP101"/>
        <s v="MMR001CMP102"/>
        <s v="MMR001CMP019"/>
        <s v="MMR001CMP104"/>
        <s v="MMR001CMP152"/>
        <s v="MMR001CMP106"/>
        <s v="MMR001CMP107"/>
        <s v="MMR001CMP108"/>
        <s v="MMR001CMP032"/>
        <s v="MMR001CMP110"/>
        <s v="MMR001CMP111"/>
        <s v="MMR001CMP121"/>
        <s v="MMR001CMP114"/>
        <s v="MMR001CMP169"/>
        <s v="MMR001CMP119"/>
        <s v="MMR001CMP117"/>
        <s v="MMR001CMP118"/>
        <s v="MMR001CMP029"/>
        <s v="MMR001CMP184"/>
        <s v="MMR001CMP247"/>
        <s v="MMR001CMP024"/>
        <s v="MMR001CMP103"/>
        <s v="MMR001CMP062"/>
        <s v="MMR001CMP132"/>
        <s v="MMR001CMP228"/>
        <s v="MMR001CMP054"/>
        <s v="MMR001CMP131"/>
        <s v="MMR001CMP193"/>
        <s v="MMR001CMP134"/>
        <s v="MMR001CMP135"/>
        <s v="MMR001CMP136"/>
        <s v="MMR001CMP137"/>
        <s v="MMR001CMP146"/>
        <s v="MMR001CMP147"/>
        <s v="MMR001CMP194"/>
        <s v="MMR001CMP218"/>
        <s v="MMR001CMP153"/>
        <s v="MMR001CMP162"/>
        <s v="MMR001CMP210"/>
        <s v="MMR001CMP163"/>
        <s v="MMR001CMP030"/>
        <s v="MMR001CMP160"/>
        <s v="MMR001CMP229"/>
        <s v="MMR001CMP170"/>
        <s v="MMR001CMP171"/>
        <s v="MMR001CMP172"/>
        <s v="MMR001CMP173"/>
        <s v="MMR001CMP026"/>
        <s v="MMR001CMP175"/>
        <s v="MMR001CMP182"/>
        <s v="MMR001CMP177"/>
        <s v="MMR001CMP178"/>
        <s v="MMR001CMP179"/>
        <s v="MMR001CMP180"/>
        <s v="MMR001CMP007"/>
        <s v="MMR001CMP055"/>
        <s v="MMR001CMP183"/>
        <s v="MMR001CMP230"/>
        <s v="MMR001CMP185"/>
        <s v="MMR001CMP186"/>
        <s v="MMR001CMP188"/>
        <s v="MMR001CMP189"/>
        <s v="MMR001CMP023"/>
        <s v="MMR001CMP004"/>
        <s v="MMR001CMP037"/>
        <s v="MMR001CMP234"/>
        <s v="MMR001CMP236"/>
        <s v="MMR001CMP238"/>
        <s v="MMR015CMP015"/>
        <s v="MMR001CMP038"/>
        <s v="MMR001CMP196"/>
        <s v="MMR001CMP239"/>
        <s v="MMR001CMP197"/>
        <s v="MMR015CMP017"/>
        <s v="MMR001CMP198"/>
        <s v="MMR001CMP199"/>
        <s v="MMR001CMP244"/>
        <s v="MMR001CMP200"/>
        <s v="MMR001CMP201"/>
        <s v="MMR001CMP202"/>
        <s v="MMR001CMP203"/>
        <s v="MMR015CMP019"/>
        <s v="MMR001CMP249"/>
        <s v="MMR015CMP022"/>
        <s v="MMR001CMP204"/>
        <s v="MMR001CMP206"/>
        <s v="MMR001CMP208"/>
        <s v="MMR001CMP209"/>
        <s v="MMR001CMP225"/>
        <s v="MMR001CMP211"/>
        <s v="MMR001CMP212"/>
        <s v="MMR001CMP213"/>
        <s v="MMR001CMP214"/>
        <s v="MMR001CMP215"/>
        <s v="MMR001CMP216"/>
        <s v="MMR001CMP217"/>
        <s v="MMR001CMP250"/>
        <s v="MMR001CMP219"/>
        <s v="MMR001CMP220"/>
        <s v="MMR001CMP221"/>
        <s v="MMR001CMP222"/>
        <s v="MMR001CMP126"/>
        <s v="MMR001CMP224"/>
        <s v="MMR015CMP024"/>
        <s v="MMR001CMP246"/>
        <s v="MMR001CMP226"/>
        <s v="MMR001CMP227"/>
        <s v="MMR001CMP068"/>
        <s v="MMR015CMP001"/>
        <s v="MMR015CMP004"/>
        <s v="MMR001CMP231"/>
        <s v="MMR001CMP232"/>
        <s v="MMR001CMP233"/>
        <s v="MMR015CMP006"/>
        <s v="MMR001CMP235"/>
        <s v="MMR015CMP007"/>
        <s v="MMR001CMP237"/>
        <s v="MMR015CMP009"/>
        <s v="MMR015CMP139"/>
        <s v="MMR015CMP014"/>
        <s v="MMR015CMP207"/>
        <s v="MMR001CMP240"/>
        <s v="MMR015CMP209"/>
        <s v="MMR015CMP210"/>
        <s v="MMR015CMP211"/>
        <s v="MMR001CMP241"/>
        <s v="MMR001CMP242"/>
        <s v="MMR001CMP243"/>
        <s v="MMR015CMP212"/>
        <s v="MMR015CMP016"/>
        <s v="MMR015CMP018"/>
        <s v="MMR015CMP020"/>
        <s v="MMR015CMP213"/>
        <s v="MMR001CMP245"/>
        <s v="MMR015CMP216"/>
        <s v="MMR015CMP217"/>
        <s v="MMR015CMP214"/>
        <s v="MMR015CMP219"/>
        <s v="MMR015CMP215"/>
        <s v="MMR015CMP221"/>
        <s v="MMR015CMP222"/>
        <s v="MMR001CMP080"/>
        <s v="MMR001CMP116"/>
        <s v="MMR015CMP223"/>
        <s v="MMR015CMP224"/>
        <s v="MMR015CMP225"/>
        <s v="MMR015CMP226"/>
        <s v="MMR015CMP227"/>
        <s v="MMR015CMP228"/>
        <s v="MMR015CMP229"/>
        <s v="MMR015CMP230"/>
        <s v="MMR015CMP231"/>
        <s v="MMR015CMP232"/>
        <s v="MMR015CMP233"/>
        <s v="MMR015CMP234"/>
        <s v="MMR015CMP235"/>
        <s v="MMR015CMP236"/>
        <s v="MMR015CMP237"/>
        <s v="MMR001CMP248"/>
        <s v="MMR015CMP238"/>
        <s v="MMR015CMP239"/>
        <s v="MMR015CMP240"/>
        <s v="MMR015CMP241"/>
        <s v="MMR015CMP218"/>
        <s v="MMR015CMP220"/>
        <s v="MMR001CMP251"/>
        <s v="MMR001CMP252"/>
        <s v="MMR001CMP253"/>
        <s v="MMR001CMP254"/>
        <s v="MMR015CMP242"/>
        <s v="MMR001CMP255"/>
        <s v="MMR001CMP053"/>
        <s v="MMR001CMP257"/>
        <s v="MMR001CMP258"/>
        <s v="MMR015CMP243"/>
        <s v="MMR015CMP244"/>
        <s v="MMR015CMP245"/>
        <s v="MMR015CMP246"/>
        <s v="MMR015CMP247"/>
        <s v="MMR015CMP249"/>
        <s v="MMR015CMP248"/>
      </sharedItems>
    </cacheField>
    <cacheField name="Longitude" numFmtId="0">
      <sharedItems containsString="0" containsBlank="1" containsNumber="1" minValue="96.269199999999998" maxValue="98.475719999999995" count="203">
        <n v="97.386718999999999"/>
        <n v="97.394547000000003"/>
        <n v="97.377662999999998"/>
        <n v="96.345569999999995"/>
        <n v="97.382192000000003"/>
        <n v="97.399628000000007"/>
        <n v="96.317350000000005"/>
        <n v="97.418694000000002"/>
        <n v="97.419403000000003"/>
        <n v="97.382997575757599"/>
        <n v="97.405202777777802"/>
        <n v="97.403402307692303"/>
        <n v="97.409035000000003"/>
        <n v="97.4113064583333"/>
        <n v="97.376671999999999"/>
        <n v="97.373361000000003"/>
        <n v="96.361609999999999"/>
        <n v="96.283377000000002"/>
        <n v="98.131550000000004"/>
        <n v="97.403878500000005"/>
        <n v="96.35257"/>
        <n v="97.915833000000006"/>
        <n v="97.438432380952406"/>
        <n v="97.404195925926004"/>
        <n v="97.451965000000001"/>
        <n v="96.316564"/>
        <n v="97.537099999999995"/>
        <m/>
        <n v="98.129990000000006"/>
        <n v="96.269199999999998"/>
        <n v="96.316400000000002"/>
        <n v="97.421104"/>
        <n v="97.438259000000002"/>
        <n v="97.240183461538507"/>
        <n v="97.426536944444507"/>
        <n v="97.433419259259296"/>
        <n v="97.434855869565197"/>
        <n v="98.025662999999994"/>
        <n v="98.475719999999995"/>
        <n v="97.2843958974359"/>
        <n v="97.229116811594196"/>
        <n v="98.354146999999998"/>
        <n v="97.236919999999998"/>
        <n v="97.221556500999995"/>
        <n v="97.290952037037002"/>
        <n v="97.238829999999993"/>
        <n v="96.319829999999996"/>
        <n v="97.344359999999995"/>
        <n v="97.234200000000001"/>
        <n v="97.609832999999995"/>
        <n v="96.339590000000001"/>
        <n v="97.291820000000001"/>
        <n v="97.670360000000002"/>
        <n v="97.346950000000007"/>
        <n v="97.346940000000004"/>
        <n v="97.347740000000002"/>
        <n v="97.416826999999998"/>
        <n v="97.407787999999996"/>
        <n v="97.625617000000005"/>
        <n v="97.321659999999994"/>
        <n v="97.409474000000003"/>
        <n v="97.429860000000005"/>
        <n v="96.807353000000006"/>
        <n v="97.717133000000004"/>
        <n v="97.724566999999993"/>
        <n v="97.227057000000002"/>
        <n v="97.718582999999995"/>
        <n v="97.724483000000006"/>
        <n v="97.710864000000001"/>
        <n v="96.942279999999997"/>
        <n v="98.144502500000002"/>
        <n v="97.415289999999999"/>
        <n v="96.922619999999995"/>
        <n v="96.948740000000001"/>
        <n v="96.306910999999999"/>
        <n v="97.573126000000002"/>
        <n v="96.364949999999993"/>
        <n v="96.312790000000007"/>
        <n v="96.31326"/>
        <n v="96.316210999999996"/>
        <n v="97.345039"/>
        <n v="97.807182999999995"/>
        <n v="98.054946000000001"/>
        <n v="97.751389000000003"/>
        <n v="97.589979999999997"/>
        <n v="96.310928000000004"/>
        <n v="96.705960000000005"/>
        <n v="98.116817999999995"/>
        <n v="98.129380999999995"/>
        <n v="98.320651999999995"/>
        <n v="97.379594999999995"/>
        <n v="96.343350000000001"/>
        <n v="97.441166388888902"/>
        <n v="97.756789999999995"/>
        <n v="97.568331999999998"/>
        <n v="97.837778"/>
        <n v="96.346469999999997"/>
        <n v="97.715230000000005"/>
        <n v="97.551507000000001"/>
        <n v="97.550267000000005"/>
        <n v="97.437782499999997"/>
        <n v="96.286680000000004"/>
        <n v="96.662092000000001"/>
        <n v="97.359320179999997"/>
        <n v="96.341352999999998"/>
        <n v="97.325019999999995"/>
        <n v="97.578490000000002"/>
        <n v="97.578367"/>
        <n v="97.315860000000001"/>
        <n v="97.669366999999994"/>
        <n v="97.252650000000003"/>
        <n v="97.588291999999996"/>
        <n v="97.585667000000001"/>
        <n v="97.132339999999999"/>
        <n v="97.225881000000001"/>
        <n v="97.4345"/>
        <n v="98.377780000000001"/>
        <n v="97.228835000000004"/>
        <n v="97.437472666666693"/>
        <n v="97.990555999999998"/>
        <n v="96.339870000000005"/>
        <n v="96.359549999999999"/>
        <n v="96.353070000000002"/>
        <n v="97.432495000000003"/>
        <n v="96.279200000000003"/>
        <n v="96.354159999999993"/>
        <n v="96.359309999999994"/>
        <n v="96.355270000000004"/>
        <n v="97.418004999999994"/>
        <n v="97.227789999999999"/>
        <n v="96.353030000000004"/>
        <n v="97.590767"/>
        <n v="96.288250000000005"/>
        <n v="96.673805000000002"/>
        <n v="97.379987"/>
        <n v="97.389778000000007"/>
        <n v="97.428251153846105"/>
        <n v="97.416121000000004"/>
        <n v="96.793999999999997"/>
        <n v="97.745480999999998"/>
        <n v="97.848529999999997"/>
        <n v="97.444283730158702"/>
        <n v="97.298055000000005"/>
        <n v="97.75609"/>
        <n v="97.348405"/>
        <n v="97.947360000000003"/>
        <n v="97.276591999999994"/>
        <n v="96.793177"/>
        <n v="97.343406999999999"/>
        <n v="96.315601999999998"/>
        <n v="97.601243999999994"/>
        <n v="96.808850000000007"/>
        <n v="98.213958000000005"/>
        <n v="98.115809999999996"/>
        <n v="97.568836000000005"/>
        <n v="97.541793999999996"/>
        <n v="98.356260000000006"/>
        <n v="97.710989999999995"/>
        <n v="97.58184"/>
        <n v="97.586470000000006"/>
        <n v="97.752667000000002"/>
        <n v="97.239130000000003"/>
        <n v="97.678299999999993"/>
        <n v="97.608249999999998"/>
        <n v="97.561105999999995"/>
        <n v="97.669557999999995"/>
        <n v="97.681970000000007"/>
        <n v="96.637"/>
        <n v="96.52534"/>
        <n v="96.366919999999993"/>
        <n v="98.220614999999995"/>
        <n v="97.818979999999996"/>
        <n v="97.124403000000001"/>
        <n v="98.139397000000002"/>
        <n v="97.404089999999997"/>
        <n v="98.352670000000003"/>
        <n v="97.461271999999994"/>
        <n v="97.116680000000002"/>
        <n v="97.398989"/>
        <n v="97.174999999999997"/>
        <n v="97.926813999999993"/>
        <n v="97.793019999999999"/>
        <n v="97.837040000000002"/>
        <n v="97.909400000000005"/>
        <n v="97.911647000000002"/>
        <n v="98.248999999999995"/>
        <n v="97.700940000000003"/>
        <n v="97.868876999999998"/>
        <n v="97.709879999999998"/>
        <n v="97.358999999999995"/>
        <n v="96.367059999999995"/>
        <n v="97.546893999999995"/>
        <n v="97.504999999999995"/>
        <n v="97.506"/>
        <n v="97.810101000000003"/>
        <n v="98.221000000000004"/>
        <n v="98.337999999999994"/>
        <n v="97.400671000000003"/>
        <n v="97.430321000000006"/>
        <n v="98.218626999999998"/>
        <n v="97.796999999999997"/>
        <n v="97.240639999999999"/>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7"/>
    </cacheField>
    <cacheField name="Total" numFmtId="0">
      <sharedItems containsString="0" containsBlank="1" containsNumber="1" containsInteger="1" minValue="0" maxValue="8461"/>
    </cacheField>
    <cacheField name="Avg" numFmtId="2">
      <sharedItems containsMixedTypes="1" containsNumber="1" minValue="2.4210526315789473" maxValue="6.75"/>
    </cacheField>
    <cacheField name="Accessibility" numFmtId="0">
      <sharedItems count="2">
        <s v="GCA"/>
        <s v="NGCA"/>
      </sharedItems>
    </cacheField>
    <cacheField name="Affected Population" numFmtId="49">
      <sharedItems count="1">
        <s v="IDP"/>
      </sharedItems>
    </cacheField>
    <cacheField name="Type of Accomodation" numFmtId="0">
      <sharedItems/>
    </cacheField>
    <cacheField name="Type of Location" numFmtId="0">
      <sharedItems containsBlank="1" count="4">
        <s v="Urban"/>
        <s v="Rural"/>
        <s v="Forest/bush"/>
        <m/>
      </sharedItems>
    </cacheField>
    <cacheField name="Opening Date" numFmtId="0">
      <sharedItems containsNonDate="0" containsDate="1" containsString="0" containsBlank="1" minDate="2011-03-01T00:00:00" maxDate="2017-08-17T00:00:00" count="53">
        <d v="2011-06-01T00:00:00"/>
        <d v="2011-07-01T00:00:00"/>
        <d v="2013-01-01T00:00:00"/>
        <d v="2011-10-01T00:00:00"/>
        <d v="2011-08-01T00:00:00"/>
        <d v="2012-01-01T00:00:00"/>
        <d v="2011-03-01T00:00:00"/>
        <d v="2013-08-01T00:00:00"/>
        <d v="2012-12-01T00:00:00"/>
        <d v="2012-04-01T00:00:00"/>
        <d v="2011-11-01T00:00:00"/>
        <d v="2012-05-01T00:00:00"/>
        <d v="2012-08-01T00:00:00"/>
        <d v="2017-07-13T00:00:00"/>
        <d v="2012-02-01T00:00:00"/>
        <m/>
        <d v="2011-12-01T00:00:00"/>
        <d v="2013-07-01T00:00:00"/>
        <d v="2012-06-01T00:00:00"/>
        <d v="2012-10-01T00:00:00"/>
        <d v="2013-11-01T00:00:00"/>
        <d v="2013-10-01T00:00:00"/>
        <d v="2012-03-01T00:00:00"/>
        <d v="2012-07-01T00:00:00"/>
        <d v="2013-06-01T00:00:00"/>
        <d v="2016-08-02T00:00:00"/>
        <d v="2014-06-01T00:00:00"/>
        <d v="2014-03-03T00:00:00"/>
        <d v="2011-09-01T00:00:00"/>
        <d v="2014-04-01T00:00:00"/>
        <d v="2015-06-25T00:00:00"/>
        <d v="2015-05-01T00:00:00"/>
        <d v="2015-02-01T00:00:00"/>
        <d v="2013-04-01T00:00:00"/>
        <d v="2017-01-17T00:00:00"/>
        <d v="2017-06-01T00:00:00"/>
        <d v="2013-09-01T00:00:00"/>
        <d v="2013-12-01T00:00:00"/>
        <d v="2015-01-15T00:00:00"/>
        <d v="2016-01-01T00:00:00"/>
        <d v="2014-03-05T00:00:00"/>
        <d v="2014-04-05T00:00:00"/>
        <d v="2014-11-04T00:00:00"/>
        <d v="2014-04-18T00:00:00"/>
        <d v="2016-02-01T00:00:00"/>
        <d v="2016-03-01T00:00:00"/>
        <d v="2016-03-06T00:00:00"/>
        <d v="2017-01-06T00:00:00"/>
        <d v="2017-08-15T00:00:00"/>
        <d v="2017-08-16T00:00:00"/>
        <d v="2017-01-16T00:00:00"/>
        <d v="2016-12-20T00:00:00"/>
        <d v="2017-02-15T00:00:00"/>
      </sharedItems>
    </cacheField>
    <cacheField name="Responsible Agency" numFmtId="0">
      <sharedItems containsBlank="1" count="7">
        <s v="KBC"/>
        <s v="Shalom"/>
        <s v="KMSS-MYT"/>
        <s v="uncovered"/>
        <m/>
        <s v="KMSS-BMO"/>
        <s v="KMSS-LSO"/>
      </sharedItems>
    </cacheField>
    <cacheField name="Source" numFmtId="0">
      <sharedItems containsBlank="1"/>
    </cacheField>
    <cacheField name="Update Date" numFmtId="0">
      <sharedItems containsDate="1" containsBlank="1" containsMixedTypes="1" minDate="2013-01-15T00:00:00" maxDate="2018-05-0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45"/>
    </cacheField>
    <cacheField name="Distance_Cat" numFmtId="0">
      <sharedItems containsBlank="1" containsMixedTypes="1" containsNumber="1" containsInteger="1" minValue="1" maxValue="1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07"/>
    <n v="559"/>
    <n v="0"/>
    <n v="0"/>
    <n v="0"/>
    <n v="214"/>
    <n v="107"/>
    <n v="107"/>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143"/>
    <n v="640"/>
    <n v="0"/>
    <n v="0"/>
    <n v="0"/>
    <n v="286"/>
    <n v="143"/>
    <n v="143"/>
    <s v=""/>
    <n v="0"/>
  </r>
  <r>
    <s v="MMR001CMP225"/>
    <x v="0"/>
    <s v="Saw Zam"/>
    <s v="Chipwi"/>
    <n v="30"/>
    <n v="171"/>
    <n v="0"/>
    <n v="0"/>
    <n v="0"/>
    <n v="60"/>
    <n v="30"/>
    <n v="30"/>
    <s v=""/>
    <n v="0"/>
  </r>
  <r>
    <s v="MMR001CMP210"/>
    <x v="0"/>
    <s v="Pan Wa"/>
    <s v="Chipwi"/>
    <n v="57"/>
    <n v="270"/>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88"/>
    <n v="558"/>
    <n v="0"/>
    <n v="0"/>
    <n v="0"/>
    <n v="176"/>
    <n v="88"/>
    <n v="88"/>
    <s v=""/>
    <n v="0"/>
  </r>
  <r>
    <s v="MMR001CMP113"/>
    <x v="0"/>
    <s v="Border Post 8"/>
    <s v="Waingmaw"/>
    <n v="125"/>
    <n v="497"/>
    <n v="0"/>
    <n v="0"/>
    <n v="0"/>
    <n v="250"/>
    <n v="125"/>
    <n v="125"/>
    <s v=""/>
    <n v="0"/>
  </r>
  <r>
    <s v="MMR001CMP041"/>
    <x v="0"/>
    <s v="Shing Jai"/>
    <s v="Waingmaw"/>
    <n v="181"/>
    <n v="1001"/>
    <n v="0"/>
    <n v="0"/>
    <n v="0"/>
    <n v="362"/>
    <n v="181"/>
    <n v="181"/>
    <s v=""/>
    <n v="0"/>
  </r>
  <r>
    <s v="MMR001CMP131"/>
    <x v="0"/>
    <s v="Nhkawng Pa "/>
    <s v="Momauk"/>
    <n v="356"/>
    <n v="1787"/>
    <n v="0"/>
    <n v="0"/>
    <n v="0"/>
    <n v="712"/>
    <n v="356"/>
    <n v="356"/>
    <s v=""/>
    <n v="0"/>
  </r>
  <r>
    <s v="MMR015CMP006"/>
    <x v="0"/>
    <s v="Mungji Pa Dabang (Baptist Church)         "/>
    <s v="Kutkai"/>
    <n v="42"/>
    <n v="234"/>
    <n v="0"/>
    <n v="0"/>
    <n v="0"/>
    <n v="84"/>
    <n v="42"/>
    <n v="42"/>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31"/>
    <n v="0"/>
    <n v="0"/>
    <n v="0"/>
    <n v="730"/>
    <n v="365"/>
    <n v="365"/>
    <s v=""/>
    <n v="0"/>
  </r>
  <r>
    <s v="MMR001CMP226"/>
    <x v="0"/>
    <s v="Bum Tsit Pa Camp II"/>
    <s v="Mansi"/>
    <n v="0"/>
    <n v="0"/>
    <n v="0"/>
    <n v="0"/>
    <n v="0"/>
    <n v="0"/>
    <n v="0"/>
    <n v="0"/>
    <s v=""/>
    <n v="0"/>
  </r>
  <r>
    <s v="MMR001CMP128"/>
    <x v="0"/>
    <s v="Lana Zup Ja "/>
    <s v="Mansi"/>
    <n v="547"/>
    <n v="2368"/>
    <n v="0"/>
    <n v="0"/>
    <n v="0"/>
    <n v="1094"/>
    <n v="547"/>
    <n v="547"/>
    <s v=""/>
    <n v="0"/>
  </r>
  <r>
    <s v="MMR001CMP135"/>
    <x v="0"/>
    <s v="Lung Kawk  ( Hka Hkye Zup)"/>
    <s v="Mansi"/>
    <n v="0"/>
    <n v="0"/>
    <n v="0"/>
    <n v="0"/>
    <n v="0"/>
    <n v="0"/>
    <n v="0"/>
    <n v="0"/>
    <s v=""/>
    <n v="0"/>
  </r>
  <r>
    <s v="MMR001CMP122"/>
    <x v="0"/>
    <s v="Hpun Lum Yang "/>
    <s v="Momauk"/>
    <n v="719"/>
    <n v="3659"/>
    <n v="0"/>
    <n v="0"/>
    <n v="0"/>
    <n v="1438"/>
    <n v="719"/>
    <n v="719"/>
    <s v=""/>
    <n v="0"/>
  </r>
  <r>
    <s v="MMR001CMP121"/>
    <x v="0"/>
    <s v="Je Yang Hka "/>
    <s v="Momauk"/>
    <n v="1519"/>
    <n v="8513"/>
    <n v="0"/>
    <n v="0"/>
    <n v="0"/>
    <n v="3038"/>
    <n v="1519"/>
    <n v="1519"/>
    <s v=""/>
    <n v="0"/>
  </r>
  <r>
    <s v="MMR001CMP126"/>
    <x v="0"/>
    <s v="Pa Kahtawng "/>
    <s v="Momauk"/>
    <n v="651"/>
    <n v="3605"/>
    <n v="0"/>
    <n v="0"/>
    <n v="0"/>
    <n v="1302"/>
    <n v="651"/>
    <n v="651"/>
    <s v=""/>
    <n v="0"/>
  </r>
  <r>
    <s v="MMR001CMP123"/>
    <x v="0"/>
    <s v="Dum Bung "/>
    <s v="Momauk"/>
    <n v="95"/>
    <n v="447"/>
    <n v="0"/>
    <n v="0"/>
    <n v="0"/>
    <n v="190"/>
    <n v="95"/>
    <n v="95"/>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9"/>
    <n v="1662"/>
    <n v="0"/>
    <n v="0"/>
    <n v="0"/>
    <n v="838"/>
    <n v="419"/>
    <n v="419"/>
    <s v=""/>
    <n v="0"/>
  </r>
  <r>
    <s v="MMR015CMP009"/>
    <x v="0"/>
    <s v="Mandung - Jinghpaw"/>
    <s v="Manton"/>
    <n v="33"/>
    <n v="181"/>
    <n v="0"/>
    <n v="0"/>
    <n v="0"/>
    <n v="66"/>
    <n v="33"/>
    <n v="33"/>
    <s v=""/>
    <n v="0"/>
  </r>
  <r>
    <s v="MMR015CMP139"/>
    <x v="0"/>
    <s v="Nam Hkawng"/>
    <s v="Muse"/>
    <n v="9"/>
    <n v="44"/>
    <n v="0"/>
    <n v="0"/>
    <n v="0"/>
    <n v="18"/>
    <n v="9"/>
    <n v="9"/>
    <s v=""/>
    <n v="0"/>
  </r>
  <r>
    <s v="MMR001CMP071"/>
    <x v="0"/>
    <s v="Loi Je Baptist Church"/>
    <s v="Momauk"/>
    <n v="40"/>
    <n v="240"/>
    <n v="0"/>
    <n v="0"/>
    <n v="0"/>
    <n v="80"/>
    <n v="40"/>
    <n v="40"/>
    <s v=""/>
    <n v="0"/>
  </r>
  <r>
    <s v="MMR001CMP069"/>
    <x v="0"/>
    <s v="Loi Je Catholic Church"/>
    <s v="Momauk"/>
    <n v="129"/>
    <n v="640"/>
    <n v="0"/>
    <n v="0"/>
    <n v="0"/>
    <n v="258"/>
    <n v="129"/>
    <n v="129"/>
    <s v=""/>
    <n v="0"/>
  </r>
  <r>
    <s v="MMR001CMP070"/>
    <x v="0"/>
    <s v="Loi Je Lisu Camp"/>
    <s v="Momauk"/>
    <n v="203"/>
    <n v="1138"/>
    <n v="0"/>
    <n v="0"/>
    <n v="0"/>
    <n v="406"/>
    <n v="203"/>
    <n v="203"/>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9"/>
    <n v="138"/>
    <n v="0"/>
    <n v="0"/>
    <n v="0"/>
    <n v="58"/>
    <n v="29"/>
    <n v="29"/>
    <s v=""/>
    <n v="0"/>
  </r>
  <r>
    <s v="MMR015CMP018"/>
    <x v="0"/>
    <s v="Mine Yu Lay village"/>
    <s v="Kutkai"/>
    <n v="76"/>
    <n v="338"/>
    <n v="0"/>
    <n v="0"/>
    <n v="0"/>
    <n v="152"/>
    <n v="76"/>
    <n v="76"/>
    <s v=""/>
    <n v="0"/>
  </r>
  <r>
    <s v="MMR015CMP007"/>
    <x v="0"/>
    <s v="Nam Hpak Ka Mare "/>
    <s v="Kutkai"/>
    <n v="58"/>
    <n v="274"/>
    <n v="0"/>
    <n v="0"/>
    <n v="0"/>
    <n v="116"/>
    <n v="58"/>
    <n v="58"/>
    <s v=""/>
    <n v="0"/>
  </r>
  <r>
    <s v="MMR015CMP020"/>
    <x v="0"/>
    <s v="Zup Aung Camp"/>
    <s v="Kutkai"/>
    <n v="196"/>
    <n v="1008"/>
    <n v="0"/>
    <n v="0"/>
    <n v="0"/>
    <n v="392"/>
    <n v="196"/>
    <n v="196"/>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6"/>
    <n v="371"/>
    <n v="0"/>
    <n v="0"/>
    <n v="0"/>
    <n v="152"/>
    <n v="76"/>
    <n v="76"/>
    <s v=""/>
    <n v="0"/>
  </r>
  <r>
    <s v="MMR015CMP001"/>
    <x v="0"/>
    <s v="Nam Hkam (KBC Jaw Wang)"/>
    <s v="Namhkan"/>
    <n v="66"/>
    <n v="336"/>
    <n v="0"/>
    <n v="0"/>
    <n v="0"/>
    <n v="132"/>
    <n v="66"/>
    <n v="66"/>
    <s v=""/>
    <n v="0"/>
  </r>
  <r>
    <s v="MMR015CMP003"/>
    <x v="0"/>
    <s v="Nam Hkam Catholic Church ( St. Thomas I)"/>
    <s v="Namhkan"/>
    <n v="44"/>
    <n v="223"/>
    <n v="0"/>
    <n v="0"/>
    <n v="0"/>
    <n v="88"/>
    <n v="44"/>
    <n v="44"/>
    <s v=""/>
    <n v="0"/>
  </r>
  <r>
    <s v="MMR015CMP014"/>
    <x v="0"/>
    <s v="Nam Tu Baptist"/>
    <s v="Namtu"/>
    <n v="42"/>
    <n v="182"/>
    <n v="0"/>
    <n v="0"/>
    <n v="0"/>
    <n v="84"/>
    <n v="42"/>
    <n v="42"/>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2"/>
    <n v="197"/>
    <n v="0"/>
    <n v="0"/>
    <n v="0"/>
    <n v="124"/>
    <n v="62"/>
    <n v="62"/>
    <s v=""/>
    <n v="0"/>
  </r>
  <r>
    <s v="MMR001CMP050"/>
    <x v="0"/>
    <s v="AD-2000 Tharthana Compound"/>
    <s v="Bhamo"/>
    <n v="257"/>
    <n v="1278"/>
    <n v="0"/>
    <n v="0"/>
    <n v="0"/>
    <n v="514"/>
    <n v="257"/>
    <n v="257"/>
    <s v=""/>
    <n v="0"/>
  </r>
  <r>
    <s v="MMR001CMP176"/>
    <x v="0"/>
    <s v="AG Church, Hmaw Si Sa"/>
    <s v="Hpakant"/>
    <n v="65"/>
    <n v="353"/>
    <n v="0"/>
    <n v="0"/>
    <n v="0"/>
    <n v="130"/>
    <n v="65"/>
    <n v="65"/>
    <s v=""/>
    <n v="0"/>
  </r>
  <r>
    <s v="MMR001CMP190"/>
    <x v="0"/>
    <s v="AG Church, Maw Wan"/>
    <s v="Hpakant"/>
    <n v="14"/>
    <n v="81"/>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7"/>
    <n v="228"/>
    <n v="0"/>
    <n v="0"/>
    <n v="0"/>
    <n v="74"/>
    <n v="37"/>
    <n v="37"/>
    <s v=""/>
    <n v="0"/>
  </r>
  <r>
    <s v="MMR001CMP188"/>
    <x v="0"/>
    <s v="Baptist Church, Naung Hmee VT"/>
    <s v="Hpakant"/>
    <n v="0"/>
    <n v="0"/>
    <n v="0"/>
    <n v="0"/>
    <n v="0"/>
    <n v="0"/>
    <n v="0"/>
    <n v="0"/>
    <s v=""/>
    <n v="0"/>
  </r>
  <r>
    <s v="MMR001CMP109"/>
    <x v="0"/>
    <s v="Chin Church, Seik Mu"/>
    <s v="Hpakant"/>
    <n v="5"/>
    <n v="27"/>
    <n v="0"/>
    <n v="0"/>
    <n v="0"/>
    <n v="10"/>
    <n v="5"/>
    <n v="5"/>
    <s v=""/>
    <n v="0"/>
  </r>
  <r>
    <s v="MMR001CMP174"/>
    <x v="0"/>
    <s v="Dhama Rakhita, Nyein Chan Tar Yar Ward(Lon Khin)"/>
    <s v="Hpakant"/>
    <n v="70"/>
    <n v="375"/>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13"/>
    <n v="46"/>
    <n v="0"/>
    <n v="0"/>
    <n v="0"/>
    <n v="26"/>
    <n v="13"/>
    <n v="13"/>
    <s v=""/>
    <n v="0"/>
  </r>
  <r>
    <s v="MMR001CMP191"/>
    <x v="0"/>
    <s v="Hmaw Wan, Anglican"/>
    <s v="Hpakant"/>
    <n v="4"/>
    <n v="27"/>
    <n v="0"/>
    <n v="0"/>
    <n v="0"/>
    <n v="8"/>
    <n v="4"/>
    <n v="4"/>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3"/>
    <n v="498"/>
    <n v="0"/>
    <n v="0"/>
    <n v="0"/>
    <n v="206"/>
    <n v="103"/>
    <n v="103"/>
    <s v=""/>
    <n v="0"/>
  </r>
  <r>
    <s v="MMR001CMP052"/>
    <x v="0"/>
    <s v="Htoi San Church"/>
    <s v="Bhamo"/>
    <n v="40"/>
    <n v="225"/>
    <n v="0"/>
    <n v="0"/>
    <n v="0"/>
    <n v="80"/>
    <n v="40"/>
    <n v="40"/>
    <s v=""/>
    <n v="0"/>
  </r>
  <r>
    <s v="MMR001CMP018"/>
    <x v="0"/>
    <s v="Jan Mai Kawng Baptist Church"/>
    <s v="Myitkyina"/>
    <n v="199"/>
    <n v="1118"/>
    <n v="0"/>
    <n v="0"/>
    <n v="0"/>
    <n v="398"/>
    <n v="199"/>
    <n v="199"/>
    <s v=""/>
    <n v="0"/>
  </r>
  <r>
    <s v="MMR001CMP019"/>
    <x v="0"/>
    <s v="Jan Mai Kawng Catholic Church"/>
    <s v="Myitkyina"/>
    <n v="115"/>
    <n v="562"/>
    <n v="0"/>
    <n v="0"/>
    <n v="0"/>
    <n v="230"/>
    <n v="115"/>
    <n v="115"/>
    <s v=""/>
    <n v="0"/>
  </r>
  <r>
    <s v="MMR001CMP200"/>
    <x v="0"/>
    <s v="Khun Sint Village"/>
    <s v="Momauk"/>
    <n v="3"/>
    <n v="18"/>
    <n v="0"/>
    <n v="0"/>
    <n v="0"/>
    <n v="6"/>
    <n v="3"/>
    <n v="3"/>
    <s v=""/>
    <n v="0"/>
  </r>
  <r>
    <s v="MMR001CMP013"/>
    <x v="0"/>
    <s v="Kyun Pin Thar Baptist Church"/>
    <s v="Myitkyina"/>
    <n v="44"/>
    <n v="197"/>
    <n v="0"/>
    <n v="0"/>
    <n v="0"/>
    <n v="88"/>
    <n v="44"/>
    <n v="44"/>
    <s v=""/>
    <n v="0"/>
  </r>
  <r>
    <s v="MMR001CMP078"/>
    <x v="0"/>
    <s v="Kyun Taw Baptist Church "/>
    <s v="Mogaung"/>
    <n v="13"/>
    <n v="66"/>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Shwegu"/>
    <n v="375"/>
    <n v="1691"/>
    <n v="0"/>
    <n v="0"/>
    <n v="0"/>
    <n v="750"/>
    <n v="375"/>
    <n v="375"/>
    <s v=""/>
    <n v="0"/>
  </r>
  <r>
    <s v="MMR001CMP015"/>
    <x v="0"/>
    <s v="Le Kone Bethlehem Church"/>
    <s v="Myitkyina"/>
    <n v="102"/>
    <n v="546"/>
    <n v="0"/>
    <n v="0"/>
    <n v="0"/>
    <n v="204"/>
    <n v="102"/>
    <n v="102"/>
    <s v=""/>
    <n v="0"/>
  </r>
  <r>
    <s v="MMR001CMP014"/>
    <x v="0"/>
    <s v="Le Kone Ziun Baptist Church "/>
    <s v="Myitkyina"/>
    <n v="138"/>
    <n v="703"/>
    <n v="0"/>
    <n v="0"/>
    <n v="0"/>
    <n v="276"/>
    <n v="138"/>
    <n v="138"/>
    <s v=""/>
    <n v="0"/>
  </r>
  <r>
    <s v="MMR001CMP181"/>
    <x v="0"/>
    <s v="Lisu Baptist Church, Maw Shan Vil,. Seik Mu"/>
    <s v="Hpakant"/>
    <n v="19"/>
    <n v="102"/>
    <n v="0"/>
    <n v="0"/>
    <n v="0"/>
    <n v="38"/>
    <n v="19"/>
    <n v="19"/>
    <s v=""/>
    <n v="0"/>
  </r>
  <r>
    <s v="MMR001CMP167"/>
    <x v="0"/>
    <s v="Lisu Baptist Church, Maw Wan Ward"/>
    <s v="Hpakant"/>
    <n v="12"/>
    <n v="61"/>
    <n v="0"/>
    <n v="0"/>
    <n v="0"/>
    <n v="24"/>
    <n v="12"/>
    <n v="12"/>
    <s v=""/>
    <n v="0"/>
  </r>
  <r>
    <s v="MMR001CMP049"/>
    <x v="0"/>
    <s v="Lisu Boarding-House"/>
    <s v="Bhamo"/>
    <n v="129"/>
    <n v="742"/>
    <n v="0"/>
    <n v="0"/>
    <n v="0"/>
    <n v="258"/>
    <n v="129"/>
    <n v="129"/>
    <s v=""/>
    <n v="0"/>
  </r>
  <r>
    <s v="MMR001CMP027"/>
    <x v="0"/>
    <s v="Mading Baptist Church"/>
    <s v="Waingmaw"/>
    <n v="31"/>
    <n v="175"/>
    <n v="0"/>
    <n v="0"/>
    <n v="0"/>
    <n v="62"/>
    <n v="31"/>
    <n v="31"/>
    <s v=""/>
    <n v="0"/>
  </r>
  <r>
    <s v="MMR001CMP064"/>
    <x v="0"/>
    <s v="Mai Khat "/>
    <s v="Momauk"/>
    <n v="0"/>
    <n v="0"/>
    <n v="0"/>
    <n v="0"/>
    <n v="0"/>
    <n v="0"/>
    <n v="0"/>
    <n v="0"/>
    <s v=""/>
    <n v="0"/>
  </r>
  <r>
    <s v="MMR001CMP031"/>
    <x v="0"/>
    <s v="Maina AG Church"/>
    <s v="Waingmaw"/>
    <n v="339"/>
    <n v="1975"/>
    <n v="0"/>
    <n v="0"/>
    <n v="0"/>
    <n v="678"/>
    <n v="339"/>
    <n v="339"/>
    <s v=""/>
    <n v="0"/>
  </r>
  <r>
    <s v="MMR001CMP029"/>
    <x v="0"/>
    <s v="Maina Catholic Church (St. Joseph)"/>
    <s v="Waingmaw"/>
    <n v="284"/>
    <n v="1499"/>
    <n v="0"/>
    <n v="0"/>
    <n v="0"/>
    <n v="568"/>
    <n v="284"/>
    <n v="284"/>
    <s v=""/>
    <n v="0"/>
  </r>
  <r>
    <s v="MMR001CMP040"/>
    <x v="0"/>
    <s v="Maina KBC (Bawng Ring)"/>
    <s v="Waingmaw"/>
    <n v="499"/>
    <n v="2550"/>
    <n v="0"/>
    <n v="0"/>
    <n v="0"/>
    <n v="998"/>
    <n v="499"/>
    <n v="499"/>
    <s v=""/>
    <n v="0"/>
  </r>
  <r>
    <s v="MMR001CMP039"/>
    <x v="0"/>
    <s v="Maina Lawang Baptist Church"/>
    <s v="Waingmaw"/>
    <n v="46"/>
    <n v="193"/>
    <n v="0"/>
    <n v="0"/>
    <n v="0"/>
    <n v="92"/>
    <n v="46"/>
    <n v="46"/>
    <s v=""/>
    <n v="0"/>
  </r>
  <r>
    <s v="MMR001CMP218"/>
    <x v="0"/>
    <s v="Maing Khaung"/>
    <s v="Mansi"/>
    <n v="432"/>
    <n v="2149"/>
    <n v="0"/>
    <n v="0"/>
    <n v="0"/>
    <n v="864"/>
    <n v="432"/>
    <n v="432"/>
    <s v=""/>
    <n v="0"/>
  </r>
  <r>
    <s v="MMR001CMP223"/>
    <x v="0"/>
    <s v="Maing Khaung Catholic Church"/>
    <s v="Mansi"/>
    <n v="172"/>
    <n v="783"/>
    <n v="0"/>
    <n v="0"/>
    <n v="0"/>
    <n v="344"/>
    <n v="172"/>
    <n v="172"/>
    <s v=""/>
    <n v="0"/>
  </r>
  <r>
    <s v="MMR001CMP016"/>
    <x v="0"/>
    <s v="Maliyang Baptist Church"/>
    <s v="Myitkyina"/>
    <n v="61"/>
    <n v="302"/>
    <n v="0"/>
    <n v="0"/>
    <n v="0"/>
    <n v="122"/>
    <n v="61"/>
    <n v="61"/>
    <s v=""/>
    <n v="0"/>
  </r>
  <r>
    <s v="MMR001CMP062"/>
    <x v="0"/>
    <s v="Man Bung Catholic compound"/>
    <s v="Momauk"/>
    <n v="274"/>
    <n v="1210"/>
    <n v="0"/>
    <n v="0"/>
    <n v="0"/>
    <n v="548"/>
    <n v="274"/>
    <n v="274"/>
    <s v=""/>
    <n v="0"/>
  </r>
  <r>
    <s v="MMR001CMP008"/>
    <x v="0"/>
    <s v="Man Hkring Baptist Church"/>
    <s v="Myitkyina"/>
    <n v="103"/>
    <n v="584"/>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7"/>
    <n v="0"/>
    <n v="0"/>
    <n v="0"/>
    <n v="254"/>
    <n v="127"/>
    <n v="127"/>
    <s v=""/>
    <n v="0"/>
  </r>
  <r>
    <s v="MMR001CMP132"/>
    <x v="0"/>
    <s v="Man Wing Catholic Church"/>
    <s v="Mansi"/>
    <n v="449"/>
    <n v="2339"/>
    <n v="0"/>
    <n v="0"/>
    <n v="0"/>
    <n v="898"/>
    <n v="449"/>
    <n v="449"/>
    <s v=""/>
    <n v="0"/>
  </r>
  <r>
    <s v="MMR001CMP228"/>
    <x v="0"/>
    <s v="Man Wing Catholic Church II"/>
    <s v="Mansi"/>
    <n v="156"/>
    <n v="711"/>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4"/>
    <n v="97"/>
    <n v="0"/>
    <n v="0"/>
    <n v="0"/>
    <n v="48"/>
    <n v="24"/>
    <n v="24"/>
    <s v=""/>
    <n v="0"/>
  </r>
  <r>
    <s v="MMR001CMP021"/>
    <x v="0"/>
    <s v="Maw Hpawng Lhaovo Baptist Church"/>
    <s v="Myitkyina"/>
    <n v="14"/>
    <n v="76"/>
    <n v="0"/>
    <n v="0"/>
    <n v="0"/>
    <n v="28"/>
    <n v="14"/>
    <n v="14"/>
    <s v=""/>
    <n v="0"/>
  </r>
  <r>
    <s v="MMR001CMP091"/>
    <x v="0"/>
    <s v="Maw Wan, Mu-yin Baptist Church"/>
    <s v="Hpakant"/>
    <n v="4"/>
    <n v="15"/>
    <n v="0"/>
    <n v="0"/>
    <n v="0"/>
    <n v="8"/>
    <n v="4"/>
    <n v="4"/>
    <s v=""/>
    <n v="0"/>
  </r>
  <r>
    <s v="MMR001CMP056"/>
    <x v="0"/>
    <s v="Momauk Baptist Church"/>
    <s v="Momauk"/>
    <n v="415"/>
    <n v="1898"/>
    <n v="0"/>
    <n v="0"/>
    <n v="0"/>
    <n v="830"/>
    <n v="415"/>
    <n v="415"/>
    <s v=""/>
    <n v="0"/>
  </r>
  <r>
    <s v="MMR001CMP057"/>
    <x v="0"/>
    <s v="Momauk Catholic Church (St. Patrick)"/>
    <s v="Momauk"/>
    <n v="0"/>
    <n v="0"/>
    <n v="0"/>
    <n v="0"/>
    <n v="0"/>
    <n v="0"/>
    <n v="0"/>
    <n v="0"/>
    <s v=""/>
    <n v="0"/>
  </r>
  <r>
    <s v="MMR015CMP213"/>
    <x v="0"/>
    <s v="Muse Baptist Church"/>
    <s v="Muse"/>
    <n v="42"/>
    <n v="192"/>
    <n v="0"/>
    <n v="0"/>
    <n v="0"/>
    <n v="84"/>
    <n v="42"/>
    <n v="42"/>
    <s v=""/>
    <n v="0"/>
  </r>
  <r>
    <s v="MMR015CMP216"/>
    <x v="0"/>
    <s v="Muse Catholic Church"/>
    <s v="Muse"/>
    <n v="22"/>
    <n v="107"/>
    <n v="0"/>
    <n v="0"/>
    <n v="0"/>
    <n v="44"/>
    <n v="22"/>
    <n v="22"/>
    <s v=""/>
    <n v="0"/>
  </r>
  <r>
    <s v="MMR001CMP051"/>
    <x v="0"/>
    <s v="Mu-yin Baptist Church"/>
    <s v="Bhamo"/>
    <n v="14"/>
    <n v="59"/>
    <n v="0"/>
    <n v="0"/>
    <n v="0"/>
    <n v="28"/>
    <n v="14"/>
    <n v="14"/>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8"/>
    <n v="200"/>
    <n v="0"/>
    <n v="0"/>
    <n v="0"/>
    <n v="76"/>
    <n v="38"/>
    <n v="38"/>
    <s v=""/>
    <n v="0"/>
  </r>
  <r>
    <s v="MMR001CMP192"/>
    <x v="0"/>
    <s v="Nam Ma Phyit, COC"/>
    <s v="Hpakant"/>
    <n v="11"/>
    <n v="46"/>
    <n v="0"/>
    <n v="0"/>
    <n v="0"/>
    <n v="22"/>
    <n v="11"/>
    <n v="11"/>
    <s v=""/>
    <n v="0"/>
  </r>
  <r>
    <s v="MMR015CMP215"/>
    <x v="0"/>
    <s v="Namhkan - Pang Long KBC"/>
    <s v="Namhkan"/>
    <n v="127"/>
    <n v="582"/>
    <n v="0"/>
    <n v="0"/>
    <n v="0"/>
    <n v="254"/>
    <n v="127"/>
    <n v="127"/>
    <s v=""/>
    <n v="0"/>
  </r>
  <r>
    <s v="MMR001CMP024"/>
    <x v="0"/>
    <s v="Nan Kway St. John Catholic Church"/>
    <s v="Myitkyina"/>
    <n v="58"/>
    <n v="308"/>
    <n v="0"/>
    <n v="0"/>
    <n v="0"/>
    <n v="116"/>
    <n v="58"/>
    <n v="58"/>
    <s v=""/>
    <n v="0"/>
  </r>
  <r>
    <s v="MMR001CMP054"/>
    <x v="0"/>
    <s v="Nant Hlaing Church"/>
    <s v="Bhamo"/>
    <n v="21"/>
    <n v="112"/>
    <n v="0"/>
    <n v="0"/>
    <n v="0"/>
    <n v="42"/>
    <n v="21"/>
    <n v="21"/>
    <s v=""/>
    <n v="0"/>
  </r>
  <r>
    <s v="MMR001CMP103"/>
    <x v="0"/>
    <s v="Nant Ma Hpit Catholic Church"/>
    <s v="Hpakant"/>
    <n v="48"/>
    <n v="225"/>
    <n v="0"/>
    <n v="0"/>
    <n v="0"/>
    <n v="96"/>
    <n v="48"/>
    <n v="48"/>
    <s v=""/>
    <n v="0"/>
  </r>
  <r>
    <s v="MMR001CMP081"/>
    <x v="0"/>
    <s v="Nant Mun"/>
    <s v="Mohnyin"/>
    <n v="0"/>
    <n v="0"/>
    <n v="0"/>
    <n v="0"/>
    <n v="0"/>
    <n v="0"/>
    <n v="0"/>
    <n v="0"/>
    <s v=""/>
    <n v="0"/>
  </r>
  <r>
    <s v="MMR015CMP207"/>
    <x v="0"/>
    <s v="Narte"/>
    <s v="Hseni"/>
    <n v="67"/>
    <n v="392"/>
    <n v="0"/>
    <n v="0"/>
    <n v="0"/>
    <n v="134"/>
    <n v="67"/>
    <n v="67"/>
    <s v=""/>
    <n v="0"/>
  </r>
  <r>
    <s v="MMR001CMP079"/>
    <x v="0"/>
    <s v="Nat Gyi Kone Baptist Church "/>
    <s v="Mogaung"/>
    <n v="11"/>
    <n v="40"/>
    <n v="0"/>
    <n v="0"/>
    <n v="0"/>
    <n v="22"/>
    <n v="11"/>
    <n v="11"/>
    <s v=""/>
    <n v="0"/>
  </r>
  <r>
    <s v="MMR001CMP033"/>
    <x v="0"/>
    <s v="Nawng Hee Village"/>
    <s v="Waingmaw"/>
    <n v="20"/>
    <n v="86"/>
    <n v="0"/>
    <n v="0"/>
    <n v="0"/>
    <n v="40"/>
    <n v="20"/>
    <n v="20"/>
    <s v=""/>
    <n v="0"/>
  </r>
  <r>
    <s v="MMR001CMP152"/>
    <x v="0"/>
    <s v="Nawng Ing (Indawgyi) Baptist Church  "/>
    <s v="Mohnyin"/>
    <n v="24"/>
    <n v="115"/>
    <n v="0"/>
    <n v="0"/>
    <n v="0"/>
    <n v="48"/>
    <n v="24"/>
    <n v="24"/>
    <s v=""/>
    <n v="0"/>
  </r>
  <r>
    <s v="MMR001CMP059"/>
    <x v="0"/>
    <s v="Ni Thaw Ka Monestry"/>
    <s v="Momauk"/>
    <n v="0"/>
    <n v="0"/>
    <n v="0"/>
    <n v="0"/>
    <n v="0"/>
    <n v="0"/>
    <n v="0"/>
    <n v="0"/>
    <s v=""/>
    <n v="0"/>
  </r>
  <r>
    <s v="MMR001CMP002"/>
    <x v="0"/>
    <s v="Njang Dung Baptist Church "/>
    <s v="Myitkyina"/>
    <n v="67"/>
    <n v="296"/>
    <n v="0"/>
    <n v="0"/>
    <n v="0"/>
    <n v="134"/>
    <n v="67"/>
    <n v="67"/>
    <s v=""/>
    <n v="0"/>
  </r>
  <r>
    <s v="MMR001CMP162"/>
    <x v="0"/>
    <s v="Pa Dauk Myaing(Pa La Na)"/>
    <s v="Myitkyina"/>
    <n v="49"/>
    <n v="293"/>
    <n v="0"/>
    <n v="0"/>
    <n v="0"/>
    <n v="98"/>
    <n v="49"/>
    <n v="49"/>
    <s v=""/>
    <n v="0"/>
  </r>
  <r>
    <s v="MMR001CMP193"/>
    <x v="0"/>
    <s v="Phan Khar Kone"/>
    <s v="Bhamo"/>
    <n v="147"/>
    <n v="771"/>
    <n v="0"/>
    <n v="0"/>
    <n v="0"/>
    <n v="294"/>
    <n v="147"/>
    <n v="147"/>
    <s v=""/>
    <n v="0"/>
  </r>
  <r>
    <s v="MMR001CMP065"/>
    <x v="0"/>
    <s v="Phar Kay/Nant Waing "/>
    <s v="Momauk"/>
    <n v="0"/>
    <n v="0"/>
    <n v="0"/>
    <n v="0"/>
    <n v="0"/>
    <n v="0"/>
    <n v="0"/>
    <n v="0"/>
    <s v=""/>
    <n v="0"/>
  </r>
  <r>
    <s v="MMR001CMP032"/>
    <x v="0"/>
    <s v="Qtr. 2 Lhaovo Baptist Church"/>
    <s v="Waingmaw"/>
    <n v="117"/>
    <n v="459"/>
    <n v="0"/>
    <n v="0"/>
    <n v="0"/>
    <n v="234"/>
    <n v="117"/>
    <n v="117"/>
    <s v=""/>
    <n v="0"/>
  </r>
  <r>
    <s v="MMR001CMP025"/>
    <x v="0"/>
    <s v="Qtr. 2 Myoma Baptist Church"/>
    <s v="Waingmaw"/>
    <n v="64"/>
    <n v="322"/>
    <n v="0"/>
    <n v="0"/>
    <n v="0"/>
    <n v="128"/>
    <n v="64"/>
    <n v="64"/>
    <s v=""/>
    <n v="0"/>
  </r>
  <r>
    <s v="MMR001CMP030"/>
    <x v="0"/>
    <s v="Qtr. 3 Mu-yin  Baptist Church"/>
    <s v="Waingmaw"/>
    <n v="29"/>
    <n v="160"/>
    <n v="0"/>
    <n v="0"/>
    <n v="0"/>
    <n v="58"/>
    <n v="29"/>
    <n v="29"/>
    <s v=""/>
    <n v="0"/>
  </r>
  <r>
    <s v="MMR001CMP026"/>
    <x v="0"/>
    <s v="Qtr. 4 Monestry (Thargaya Thayett Taw)"/>
    <s v="Waingmaw"/>
    <n v="92"/>
    <n v="499"/>
    <n v="0"/>
    <n v="0"/>
    <n v="0"/>
    <n v="184"/>
    <n v="92"/>
    <n v="92"/>
    <s v=""/>
    <n v="0"/>
  </r>
  <r>
    <s v="MMR001CMP182"/>
    <x v="0"/>
    <s v="Rawan Baptist Church, Maw Shan Vil., Seik Mu"/>
    <s v="Hpakant"/>
    <n v="10"/>
    <n v="39"/>
    <n v="0"/>
    <n v="0"/>
    <n v="0"/>
    <n v="20"/>
    <n v="10"/>
    <n v="10"/>
    <s v=""/>
    <n v="0"/>
  </r>
  <r>
    <s v="MMR001CMP047"/>
    <x v="0"/>
    <s v="Robert Church"/>
    <s v="Bhamo"/>
    <n v="638"/>
    <n v="3979"/>
    <n v="0"/>
    <n v="0"/>
    <n v="0"/>
    <n v="1276"/>
    <n v="638"/>
    <n v="638"/>
    <s v=""/>
    <n v="0"/>
  </r>
  <r>
    <s v="MMR001CMP183"/>
    <x v="0"/>
    <s v="Sai Nai Baptish Church, Maw Shan Vil., Seki Mu"/>
    <s v="Hpakant"/>
    <n v="8"/>
    <n v="32"/>
    <n v="0"/>
    <n v="0"/>
    <n v="0"/>
    <n v="16"/>
    <n v="8"/>
    <n v="8"/>
    <s v=""/>
    <n v="0"/>
  </r>
  <r>
    <s v="MMR001CMP006"/>
    <x v="0"/>
    <s v="Shatapru Sut Ngai Tawng"/>
    <s v="Myitkyina"/>
    <n v="118"/>
    <n v="568"/>
    <n v="0"/>
    <n v="0"/>
    <n v="0"/>
    <n v="236"/>
    <n v="118"/>
    <n v="118"/>
    <s v=""/>
    <n v="0"/>
  </r>
  <r>
    <s v="MMR001CMP007"/>
    <x v="0"/>
    <s v="Shatapru Thida Aye Baptist Church"/>
    <s v="Myitkyina"/>
    <n v="23"/>
    <n v="114"/>
    <n v="0"/>
    <n v="0"/>
    <n v="0"/>
    <n v="46"/>
    <n v="23"/>
    <n v="23"/>
    <s v=""/>
    <n v="0"/>
  </r>
  <r>
    <s v="MMR001CMP067"/>
    <x v="0"/>
    <s v="Shwe Gu Baptist Church"/>
    <s v="Shwegu"/>
    <n v="88"/>
    <n v="329"/>
    <n v="0"/>
    <n v="0"/>
    <n v="0"/>
    <n v="176"/>
    <n v="88"/>
    <n v="88"/>
    <s v=""/>
    <n v="0"/>
  </r>
  <r>
    <s v="MMR001CMP068"/>
    <x v="0"/>
    <s v="Shwe Gu Catholic Church"/>
    <s v="Shwegu"/>
    <n v="46"/>
    <n v="199"/>
    <n v="0"/>
    <n v="0"/>
    <n v="0"/>
    <n v="92"/>
    <n v="46"/>
    <n v="46"/>
    <s v=""/>
    <n v="0"/>
  </r>
  <r>
    <s v="MMR001CMP009"/>
    <x v="0"/>
    <s v="Shwe Zet Baptist Church"/>
    <s v="Myitkyina"/>
    <n v="91"/>
    <n v="498"/>
    <n v="0"/>
    <n v="0"/>
    <n v="0"/>
    <n v="182"/>
    <n v="91"/>
    <n v="91"/>
    <s v=""/>
    <n v="0"/>
  </r>
  <r>
    <s v="MMR001CMP080"/>
    <x v="0"/>
    <s v="St. Patrick Catholic Church "/>
    <s v="Mohnyin"/>
    <n v="11"/>
    <n v="51"/>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69"/>
    <n v="369"/>
    <n v="0"/>
    <n v="0"/>
    <n v="0"/>
    <n v="138"/>
    <n v="69"/>
    <n v="69"/>
    <s v=""/>
    <n v="0"/>
  </r>
  <r>
    <s v="MMR001CMP023"/>
    <x v="0"/>
    <s v="Tat Kone COC Baptist - Tat Kone Htoi San"/>
    <s v="Myitkyina"/>
    <n v="54"/>
    <n v="267"/>
    <n v="0"/>
    <n v="0"/>
    <n v="0"/>
    <n v="108"/>
    <n v="54"/>
    <n v="54"/>
    <s v=""/>
    <n v="0"/>
  </r>
  <r>
    <s v="MMR001CMP004"/>
    <x v="0"/>
    <s v="Tat Kone Emanuel Church"/>
    <s v="Myitkyina"/>
    <n v="7"/>
    <n v="31"/>
    <n v="0"/>
    <n v="0"/>
    <n v="0"/>
    <n v="14"/>
    <n v="7"/>
    <n v="7"/>
    <s v=""/>
    <n v="0"/>
  </r>
  <r>
    <s v="MMR001CMP003"/>
    <x v="0"/>
    <s v="Tat Kone Galile Baptist Church"/>
    <s v="Myitkyina"/>
    <n v="31"/>
    <n v="173"/>
    <n v="0"/>
    <n v="0"/>
    <n v="0"/>
    <n v="62"/>
    <n v="31"/>
    <n v="31"/>
    <s v=""/>
    <n v="0"/>
  </r>
  <r>
    <s v="MMR001CMP005"/>
    <x v="0"/>
    <s v="Tat Kone San Pya Baptist Church"/>
    <s v="Myitkyina"/>
    <n v="46"/>
    <n v="241"/>
    <n v="0"/>
    <n v="0"/>
    <n v="0"/>
    <n v="92"/>
    <n v="46"/>
    <n v="46"/>
    <s v=""/>
    <n v="0"/>
  </r>
  <r>
    <s v="MMR001CMP037"/>
    <x v="0"/>
    <s v="Thargaya Lisu Baptist Church"/>
    <s v="Waingmaw"/>
    <n v="46"/>
    <n v="192"/>
    <n v="0"/>
    <n v="0"/>
    <n v="0"/>
    <n v="92"/>
    <n v="46"/>
    <n v="46"/>
    <s v=""/>
    <n v="0"/>
  </r>
  <r>
    <s v="MMR001CMP224"/>
    <x v="0"/>
    <s v="Tharthana Ahlin Yaung New Monastery"/>
    <s v="Bhamo"/>
    <n v="0"/>
    <n v="0"/>
    <n v="0"/>
    <n v="0"/>
    <n v="0"/>
    <n v="0"/>
    <n v="0"/>
    <n v="0"/>
    <s v=""/>
    <n v="0"/>
  </r>
  <r>
    <s v="MMR001CMP038"/>
    <x v="0"/>
    <s v="Waingmaw AG Church"/>
    <s v="Waingmaw"/>
    <n v="69"/>
    <n v="293"/>
    <n v="0"/>
    <n v="0"/>
    <n v="0"/>
    <n v="138"/>
    <n v="69"/>
    <n v="69"/>
    <s v=""/>
    <n v="0"/>
  </r>
  <r>
    <s v="MMR001CMP036"/>
    <x v="0"/>
    <s v="Waingmaw Baptist Zonal Office"/>
    <s v="Waingmaw"/>
    <n v="0"/>
    <n v="0"/>
    <n v="0"/>
    <n v="0"/>
    <n v="0"/>
    <n v="0"/>
    <n v="0"/>
    <n v="0"/>
    <s v=""/>
    <n v="0"/>
  </r>
  <r>
    <s v="MMR001CMP184"/>
    <x v="0"/>
    <s v="Ward 2 Sai Taung Baptist Church, Seik Mu "/>
    <s v="Hpakant"/>
    <n v="33"/>
    <n v="171"/>
    <n v="0"/>
    <n v="0"/>
    <n v="0"/>
    <n v="66"/>
    <n v="33"/>
    <n v="33"/>
    <s v=""/>
    <n v="0"/>
  </r>
  <r>
    <s v="MMR001CMP116"/>
    <x v="0"/>
    <s v="Woi Chyai "/>
    <s v="Waingmaw"/>
    <n v="1417"/>
    <n v="6952"/>
    <n v="0"/>
    <n v="0"/>
    <n v="0"/>
    <n v="2834"/>
    <n v="1417"/>
    <n v="1417"/>
    <s v=""/>
    <n v="0"/>
  </r>
  <r>
    <s v="MMR001CMP022"/>
    <x v="0"/>
    <s v="Wun Tho Buddhist Monastery"/>
    <s v="Myitkyina"/>
    <n v="7"/>
    <n v="37"/>
    <n v="0"/>
    <n v="0"/>
    <n v="0"/>
    <n v="14"/>
    <n v="7"/>
    <n v="7"/>
    <s v=""/>
    <n v="0"/>
  </r>
  <r>
    <s v="MMR001CMP053"/>
    <x v="0"/>
    <s v="Yoe Kyi Monastery"/>
    <s v="Bhamo"/>
    <n v="14"/>
    <n v="77"/>
    <n v="0"/>
    <n v="0"/>
    <n v="0"/>
    <n v="28"/>
    <n v="14"/>
    <n v="14"/>
    <s v=""/>
    <n v="0"/>
  </r>
  <r>
    <s v="MMR001CMP105"/>
    <x v="0"/>
    <s v="Yumar Baptist Church"/>
    <s v="Hpakant"/>
    <n v="16"/>
    <n v="67"/>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207">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n Kawng Baptist Church"/>
    <m/>
    <m/>
    <m/>
    <n v="15"/>
    <n v="15"/>
    <n v="15"/>
    <n v="15"/>
    <n v="15"/>
    <n v="15"/>
    <m/>
    <n v="15"/>
    <n v="30"/>
    <m/>
    <m/>
    <m/>
    <m/>
    <n v="15"/>
    <m/>
    <m/>
    <n v="15"/>
    <e v="#REF!"/>
    <e v="#REF!"/>
    <e v="#REF!"/>
    <m/>
    <m/>
    <m/>
    <m/>
    <m/>
    <m/>
    <m/>
    <m/>
    <m/>
    <m/>
    <n v="0"/>
    <m/>
    <m/>
    <m/>
    <s v="MMR001CMP212"/>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Ta'ang"/>
    <m/>
    <m/>
    <m/>
    <m/>
    <m/>
    <n v="143"/>
    <n v="62"/>
    <n v="286"/>
    <n v="143"/>
    <m/>
    <m/>
    <n v="143"/>
    <m/>
    <m/>
    <m/>
    <m/>
    <m/>
    <m/>
    <m/>
    <m/>
    <m/>
    <m/>
    <m/>
    <m/>
    <m/>
    <m/>
    <m/>
    <m/>
    <m/>
    <m/>
    <m/>
    <m/>
    <m/>
    <n v="0"/>
    <m/>
    <m/>
    <m/>
    <s v=""/>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village"/>
    <m/>
    <m/>
    <m/>
    <n v="17"/>
    <n v="14"/>
    <n v="25"/>
    <n v="17"/>
    <n v="38"/>
    <n v="17"/>
    <m/>
    <n v="17"/>
    <n v="26"/>
    <m/>
    <m/>
    <m/>
    <m/>
    <n v="17"/>
    <m/>
    <m/>
    <n v="17"/>
    <m/>
    <m/>
    <m/>
    <m/>
    <m/>
    <m/>
    <m/>
    <m/>
    <m/>
    <m/>
    <m/>
    <m/>
    <m/>
    <n v="0"/>
    <m/>
    <m/>
    <m/>
    <s v=""/>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2 Lhavo Zonal"/>
    <m/>
    <m/>
    <m/>
    <n v="4"/>
    <n v="4"/>
    <n v="6"/>
    <n v="4"/>
    <n v="4"/>
    <n v="3"/>
    <m/>
    <n v="3"/>
    <n v="5"/>
    <m/>
    <m/>
    <m/>
    <m/>
    <n v="4"/>
    <m/>
    <m/>
    <m/>
    <m/>
    <m/>
    <m/>
    <m/>
    <m/>
    <m/>
    <m/>
    <m/>
    <m/>
    <m/>
    <m/>
    <m/>
    <m/>
    <n v="0"/>
    <m/>
    <m/>
    <m/>
    <s v=""/>
    <m/>
  </r>
  <r>
    <x v="51"/>
    <x v="9"/>
    <x v="5"/>
    <s v="UNHCR"/>
    <s v="Kachin"/>
    <x v="0"/>
    <s v="waing maw AG"/>
    <m/>
    <m/>
    <m/>
    <n v="2"/>
    <n v="2"/>
    <n v="3"/>
    <n v="2"/>
    <n v="5"/>
    <n v="1"/>
    <m/>
    <n v="1"/>
    <n v="5"/>
    <m/>
    <m/>
    <m/>
    <m/>
    <n v="2"/>
    <m/>
    <m/>
    <m/>
    <m/>
    <m/>
    <m/>
    <m/>
    <m/>
    <m/>
    <m/>
    <m/>
    <m/>
    <m/>
    <m/>
    <m/>
    <m/>
    <n v="0"/>
    <m/>
    <m/>
    <m/>
    <s v=""/>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village"/>
    <m/>
    <m/>
    <m/>
    <m/>
    <m/>
    <m/>
    <m/>
    <n v="50"/>
    <m/>
    <m/>
    <m/>
    <m/>
    <n v="36"/>
    <n v="13"/>
    <m/>
    <m/>
    <m/>
    <m/>
    <m/>
    <m/>
    <m/>
    <m/>
    <m/>
    <m/>
    <m/>
    <m/>
    <m/>
    <m/>
    <m/>
    <m/>
    <m/>
    <m/>
    <m/>
    <n v="1"/>
    <m/>
    <m/>
    <m/>
    <s v=""/>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m/>
    <m/>
    <m/>
    <m/>
    <m/>
    <m/>
    <m/>
    <m/>
    <m/>
    <m/>
    <m/>
    <m/>
    <m/>
    <m/>
    <m/>
    <n v="257"/>
    <m/>
    <m/>
    <m/>
    <m/>
    <m/>
    <m/>
    <m/>
    <m/>
    <m/>
    <m/>
    <m/>
    <m/>
    <m/>
    <m/>
    <m/>
    <m/>
    <m/>
    <n v="1"/>
    <m/>
    <m/>
    <m/>
    <s v=""/>
    <m/>
  </r>
  <r>
    <x v="64"/>
    <x v="11"/>
    <x v="4"/>
    <m/>
    <s v="Kachin"/>
    <x v="5"/>
    <s v="Lisu Boarding-House"/>
    <m/>
    <m/>
    <m/>
    <m/>
    <m/>
    <m/>
    <m/>
    <m/>
    <m/>
    <m/>
    <m/>
    <m/>
    <m/>
    <m/>
    <m/>
    <n v="130"/>
    <m/>
    <m/>
    <m/>
    <m/>
    <m/>
    <m/>
    <m/>
    <m/>
    <m/>
    <m/>
    <m/>
    <m/>
    <m/>
    <m/>
    <m/>
    <m/>
    <m/>
    <n v="1"/>
    <m/>
    <m/>
    <m/>
    <s v="MMR001CMP049"/>
    <m/>
  </r>
  <r>
    <x v="64"/>
    <x v="11"/>
    <x v="4"/>
    <m/>
    <s v="Kachin"/>
    <x v="5"/>
    <s v="Nant Hlaing "/>
    <m/>
    <m/>
    <m/>
    <m/>
    <m/>
    <m/>
    <m/>
    <m/>
    <m/>
    <m/>
    <m/>
    <m/>
    <m/>
    <m/>
    <m/>
    <n v="21"/>
    <m/>
    <m/>
    <m/>
    <m/>
    <m/>
    <m/>
    <m/>
    <m/>
    <m/>
    <m/>
    <m/>
    <m/>
    <m/>
    <m/>
    <m/>
    <m/>
    <m/>
    <n v="1"/>
    <m/>
    <m/>
    <m/>
    <s v=""/>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astery"/>
    <m/>
    <m/>
    <m/>
    <m/>
    <m/>
    <m/>
    <m/>
    <m/>
    <m/>
    <m/>
    <m/>
    <m/>
    <m/>
    <m/>
    <m/>
    <n v="5"/>
    <m/>
    <m/>
    <m/>
    <m/>
    <m/>
    <m/>
    <m/>
    <m/>
    <m/>
    <m/>
    <m/>
    <m/>
    <m/>
    <m/>
    <m/>
    <m/>
    <m/>
    <n v="1"/>
    <m/>
    <m/>
    <m/>
    <s v=""/>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Chipwi LBC camp"/>
    <m/>
    <m/>
    <m/>
    <m/>
    <m/>
    <m/>
    <m/>
    <m/>
    <m/>
    <m/>
    <m/>
    <m/>
    <n v="295"/>
    <n v="345"/>
    <m/>
    <m/>
    <m/>
    <m/>
    <m/>
    <m/>
    <m/>
    <m/>
    <m/>
    <m/>
    <m/>
    <m/>
    <m/>
    <m/>
    <m/>
    <m/>
    <m/>
    <m/>
    <m/>
    <n v="1"/>
    <m/>
    <m/>
    <m/>
    <s v=""/>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pivotCacheRecords>
</file>

<file path=xl/pivotCache/pivotCacheRecords5.xml><?xml version="1.0" encoding="utf-8"?>
<pivotCacheRecords xmlns="http://schemas.openxmlformats.org/spreadsheetml/2006/main" xmlns:r="http://schemas.openxmlformats.org/officeDocument/2006/relationships" count="287">
  <r>
    <x v="0"/>
    <x v="0"/>
    <s v="MMR001"/>
    <s v="Myitkyina"/>
    <s v="MMR001D001"/>
    <x v="0"/>
    <s v="MMR001001"/>
    <s v="Myitkyina Town"/>
    <s v="MMR001001701"/>
    <s v="Tat Kone Ward"/>
    <s v="MMR001001701520"/>
    <x v="0"/>
    <x v="0"/>
    <x v="0"/>
    <n v="25.415482000000001"/>
    <n v="0"/>
    <n v="73"/>
    <n v="406"/>
    <n v="5.5616438356164384"/>
    <x v="0"/>
    <x v="0"/>
    <s v="Camp"/>
    <x v="0"/>
    <x v="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6"/>
    <n v="4.4179104477611943"/>
    <x v="0"/>
    <x v="0"/>
    <s v="Camp"/>
    <x v="0"/>
    <x v="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s v="Camp"/>
    <x v="0"/>
    <x v="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ohnyin"/>
    <s v="MMR001D002"/>
    <x v="1"/>
    <s v="MMR001009"/>
    <s v="Lone Khin"/>
    <s v="MMR001009001"/>
    <s v="Lone Khin"/>
    <n v="166773"/>
    <x v="3"/>
    <x v="3"/>
    <x v="3"/>
    <n v="25.635300000000001"/>
    <n v="0"/>
    <n v="65"/>
    <n v="353"/>
    <n v="5.430769230769231"/>
    <x v="0"/>
    <x v="0"/>
    <s v="Camp"/>
    <x v="0"/>
    <x v="2"/>
    <x v="1"/>
    <s v="IP"/>
    <d v="2018-04-30T00:00:00"/>
    <s v="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0"/>
    <x v="0"/>
    <s v="MMR001"/>
    <s v="Myitkyina"/>
    <s v="MMR001D001"/>
    <x v="0"/>
    <s v="MMR001001"/>
    <s v="Myitkyina Town"/>
    <s v="MMR001001701"/>
    <s v="Tat Kone Ward"/>
    <s v="MMR001001701520"/>
    <x v="4"/>
    <x v="4"/>
    <x v="4"/>
    <n v="25.404015000000001"/>
    <n v="0"/>
    <n v="46"/>
    <n v="241"/>
    <n v="5.2391304347826084"/>
    <x v="0"/>
    <x v="0"/>
    <s v="Camp"/>
    <x v="0"/>
    <x v="3"/>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8"/>
    <n v="569"/>
    <n v="4.8220338983050848"/>
    <x v="0"/>
    <x v="0"/>
    <s v="Camp"/>
    <x v="0"/>
    <x v="4"/>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ohnyin"/>
    <s v="MMR001D002"/>
    <x v="1"/>
    <s v="MMR001009"/>
    <s v="Hpakan Town"/>
    <s v="MMR001009701"/>
    <s v="Maw Wam Ward"/>
    <s v="MMR001009701501"/>
    <x v="6"/>
    <x v="6"/>
    <x v="6"/>
    <n v="25.616509000000001"/>
    <n v="264"/>
    <n v="14"/>
    <n v="81"/>
    <n v="5.7857142857142856"/>
    <x v="0"/>
    <x v="0"/>
    <s v="Camp"/>
    <x v="0"/>
    <x v="2"/>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yitkyina"/>
    <s v="MMR001D001"/>
    <x v="0"/>
    <s v="MMR001001"/>
    <s v="Myitkyina Town"/>
    <s v="MMR001001701"/>
    <s v="Man Khein Ward"/>
    <s v="MMR001001701519"/>
    <x v="7"/>
    <x v="7"/>
    <x v="7"/>
    <n v="25.428910999999999"/>
    <n v="0"/>
    <n v="103"/>
    <n v="586"/>
    <n v="5.6893203883495147"/>
    <x v="0"/>
    <x v="0"/>
    <s v="Camp"/>
    <x v="0"/>
    <x v="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s v="Camp"/>
    <x v="0"/>
    <x v="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4"/>
    <n v="4.3809523809523814"/>
    <x v="0"/>
    <x v="0"/>
    <s v="Camp"/>
    <x v="0"/>
    <x v="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4"/>
    <n v="197"/>
    <n v="4.4772727272727275"/>
    <x v="0"/>
    <x v="0"/>
    <s v="Camp"/>
    <x v="0"/>
    <x v="5"/>
    <x v="0"/>
    <s v="IP"/>
    <d v="2018-04-30T00:00:00"/>
    <s v="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3"/>
    <n v="5.0942028985507246"/>
    <x v="0"/>
    <x v="0"/>
    <s v="Camp"/>
    <x v="0"/>
    <x v="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2"/>
    <n v="546"/>
    <n v="5.3529411764705879"/>
    <x v="0"/>
    <x v="0"/>
    <s v="Camp"/>
    <x v="0"/>
    <x v="6"/>
    <x v="0"/>
    <s v="IP"/>
    <d v="2018-04-30T00:00:00"/>
    <s v="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Maliyang Ward"/>
    <m/>
    <x v="13"/>
    <x v="13"/>
    <x v="13"/>
    <n v="25.360463124999999"/>
    <n v="0"/>
    <n v="61"/>
    <n v="302"/>
    <n v="4.9508196721311473"/>
    <x v="0"/>
    <x v="0"/>
    <s v="Camp"/>
    <x v="0"/>
    <x v="4"/>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s v="Camp"/>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8"/>
    <n v="5.6180904522613062"/>
    <x v="0"/>
    <x v="0"/>
    <s v="Camp"/>
    <x v="0"/>
    <x v="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ohnyin"/>
    <s v="MMR001D002"/>
    <x v="1"/>
    <s v="MMR001009"/>
    <s v="Lone Khin"/>
    <s v="MMR001009001"/>
    <s v="Lone Khin"/>
    <n v="166773"/>
    <x v="16"/>
    <x v="16"/>
    <x v="16"/>
    <n v="25.656009999999998"/>
    <n v="317"/>
    <n v="62"/>
    <n v="304"/>
    <n v="4.903225806451613"/>
    <x v="0"/>
    <x v="0"/>
    <s v="Camp"/>
    <x v="1"/>
    <x v="2"/>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
    <s v="MMR001009"/>
    <s v="Seik Mu"/>
    <s v="MMR001009003"/>
    <s v="Seik Mu"/>
    <n v="166783"/>
    <x v="17"/>
    <x v="17"/>
    <x v="17"/>
    <n v="25.582065"/>
    <n v="0"/>
    <n v="5"/>
    <n v="27"/>
    <n v="5.4"/>
    <x v="0"/>
    <x v="0"/>
    <s v="Camp like setting"/>
    <x v="0"/>
    <x v="7"/>
    <x v="3"/>
    <s v="IP"/>
    <d v="2018-04-30T00:00:00"/>
    <s v="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2"/>
    <s v="MMR001005"/>
    <s v="Chipwi Town"/>
    <s v="MMR001005701"/>
    <s v="Ba Leit Dan Ward"/>
    <s v="MMR001005701503"/>
    <x v="18"/>
    <x v="18"/>
    <x v="18"/>
    <n v="25.889410000000002"/>
    <n v="304"/>
    <n v="107"/>
    <n v="559"/>
    <n v="5.2242990654205608"/>
    <x v="0"/>
    <x v="0"/>
    <s v="Camp"/>
    <x v="0"/>
    <x v="8"/>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1"/>
    <x v="0"/>
    <s v="MMR001"/>
    <s v="Myitkyina"/>
    <s v="MMR001D001"/>
    <x v="0"/>
    <s v="MMR001001"/>
    <s v="Myitkyina Town"/>
    <s v="MMR001001701"/>
    <s v="Kachin Su Ward"/>
    <s v="MMR001001701509"/>
    <x v="19"/>
    <x v="19"/>
    <x v="19"/>
    <n v="25.377038166666701"/>
    <n v="0"/>
    <n v="7"/>
    <n v="37"/>
    <n v="5.2857142857142856"/>
    <x v="0"/>
    <x v="0"/>
    <s v="Camp"/>
    <x v="0"/>
    <x v="9"/>
    <x v="1"/>
    <s v="IP"/>
    <d v="2017-06-29T00:00:00"/>
    <s v="Closed july 2017"/>
    <s v="Myitkyina Town"/>
    <n v="1.7877148351104664"/>
    <n v="1"/>
  </r>
  <r>
    <x v="0"/>
    <x v="0"/>
    <s v="MMR001"/>
    <s v="Mohnyin"/>
    <s v="MMR001D002"/>
    <x v="1"/>
    <s v="MMR001009"/>
    <s v="Lone Khin"/>
    <s v="MMR001009001"/>
    <s v="Nyein Chan Thar Yar"/>
    <n v="216876"/>
    <x v="20"/>
    <x v="20"/>
    <x v="20"/>
    <n v="25.637309999999999"/>
    <n v="277.60000000000002"/>
    <n v="70"/>
    <n v="375"/>
    <n v="5.3571428571428568"/>
    <x v="0"/>
    <x v="0"/>
    <s v="Camp"/>
    <x v="0"/>
    <x v="2"/>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yitkyina"/>
    <s v="MMR001D001"/>
    <x v="3"/>
    <s v="MMR001002"/>
    <s v="Saga Pa (Sadung Sub-township)"/>
    <s v="MMR001002040"/>
    <s v="Saga Pa"/>
    <n v="165895"/>
    <x v="21"/>
    <x v="21"/>
    <x v="21"/>
    <n v="25.220278"/>
    <n v="2404"/>
    <n v="125"/>
    <n v="483"/>
    <n v="3.8639999999999999"/>
    <x v="1"/>
    <x v="0"/>
    <s v="Camp"/>
    <x v="2"/>
    <x v="10"/>
    <x v="2"/>
    <s v="IP"/>
    <d v="2018-04-30T00:00:00"/>
    <s v="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3"/>
    <s v="MMR001002"/>
    <s v="Waingmaw Town"/>
    <s v="MMR001002701"/>
    <s v="No (2) Ward"/>
    <s v="MMR001002701502"/>
    <x v="22"/>
    <x v="22"/>
    <x v="22"/>
    <n v="25.351724999999998"/>
    <n v="0"/>
    <n v="63"/>
    <n v="321"/>
    <n v="5.0952380952380949"/>
    <x v="0"/>
    <x v="0"/>
    <s v="Camp"/>
    <x v="0"/>
    <x v="0"/>
    <x v="0"/>
    <s v="IP"/>
    <d v="2018-04-30T00:00:00"/>
    <s v="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3"/>
    <s v="MMR001002"/>
    <s v="Hkat Shu"/>
    <s v="MMR001002003"/>
    <s v="Hkat Shu"/>
    <n v="165735"/>
    <x v="23"/>
    <x v="23"/>
    <x v="23"/>
    <n v="25.321710740740698"/>
    <n v="0"/>
    <n v="103"/>
    <n v="504"/>
    <n v="4.8932038834951452"/>
    <x v="0"/>
    <x v="0"/>
    <s v="Camp"/>
    <x v="1"/>
    <x v="0"/>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3"/>
    <s v="MMR001002"/>
    <s v="Mading"/>
    <s v="MMR001002001"/>
    <s v="Mading/Hka Kun"/>
    <n v="165730"/>
    <x v="24"/>
    <x v="24"/>
    <x v="24"/>
    <n v="25.356632000000001"/>
    <n v="0"/>
    <n v="30"/>
    <n v="176"/>
    <n v="5.8666666666666663"/>
    <x v="0"/>
    <x v="0"/>
    <s v="Camp"/>
    <x v="0"/>
    <x v="1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ohnyin"/>
    <s v="MMR001D002"/>
    <x v="1"/>
    <s v="MMR001009"/>
    <s v="Hpakan Town"/>
    <s v="MMR001009701"/>
    <s v="Maw Wam Ward"/>
    <s v="MMR001009701501"/>
    <x v="25"/>
    <x v="25"/>
    <x v="25"/>
    <n v="25.615960999999999"/>
    <n v="281"/>
    <n v="4"/>
    <n v="27"/>
    <n v="6.75"/>
    <x v="0"/>
    <x v="0"/>
    <s v="Camp like setting"/>
    <x v="0"/>
    <x v="12"/>
    <x v="3"/>
    <s v="IP"/>
    <d v="2018-04-30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Bhamo"/>
    <s v="MMR001D003"/>
    <x v="4"/>
    <s v="MMR001012"/>
    <s v="Zee Wone Gawt"/>
    <s v="MMR001012023"/>
    <s v="Dum Bung"/>
    <n v="167343"/>
    <x v="26"/>
    <x v="26"/>
    <x v="26"/>
    <n v="24.461033"/>
    <n v="360"/>
    <n v="93"/>
    <n v="428"/>
    <n v="4.602150537634409"/>
    <x v="1"/>
    <x v="0"/>
    <s v="Camp"/>
    <x v="2"/>
    <x v="4"/>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m/>
    <s v="Myitkyina"/>
    <m/>
    <x v="0"/>
    <m/>
    <s v="Myitkyina Town"/>
    <m/>
    <s v="Ka Bu Dam"/>
    <m/>
    <x v="27"/>
    <x v="27"/>
    <x v="27"/>
    <m/>
    <m/>
    <n v="19"/>
    <n v="46"/>
    <n v="2.4210526315789473"/>
    <x v="0"/>
    <x v="0"/>
    <s v="Camp like setting"/>
    <x v="0"/>
    <x v="13"/>
    <x v="3"/>
    <s v="IP"/>
    <d v="2018-03-05T00:00:00"/>
    <s v="5/Mar/2018: Population update. Data source:  Camp manager _x000a_New displacement from Tingkawk_x000a_"/>
    <s v="Myitkyina Town"/>
    <s v=""/>
    <s v=""/>
  </r>
  <r>
    <x v="0"/>
    <x v="0"/>
    <s v="MMR001"/>
    <s v="Myitkyina"/>
    <s v="MMR001D001"/>
    <x v="2"/>
    <s v="MMR001005"/>
    <s v="Urban"/>
    <s v="MMR001005701"/>
    <s v="Rit Law"/>
    <m/>
    <x v="28"/>
    <x v="28"/>
    <x v="28"/>
    <n v="25.887339999999998"/>
    <n v="259.10000000000002"/>
    <n v="143"/>
    <n v="640"/>
    <n v="4.4755244755244759"/>
    <x v="0"/>
    <x v="0"/>
    <s v="Camp"/>
    <x v="1"/>
    <x v="14"/>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Mohnyin"/>
    <s v="MMR001D002"/>
    <x v="1"/>
    <s v="MMR001009"/>
    <s v="Seik Mu"/>
    <s v="MMR001009003"/>
    <s v="Maw Shan"/>
    <n v="166785"/>
    <x v="29"/>
    <x v="29"/>
    <x v="29"/>
    <n v="25.566510000000001"/>
    <n v="278"/>
    <n v="19"/>
    <n v="102"/>
    <n v="5.3684210526315788"/>
    <x v="0"/>
    <x v="0"/>
    <s v="Camp"/>
    <x v="1"/>
    <x v="2"/>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
    <s v="MMR001009"/>
    <s v="Hpakan Town"/>
    <s v="MMR001009701"/>
    <s v="Maw Wam Ward"/>
    <s v="MMR001009701501"/>
    <x v="30"/>
    <x v="30"/>
    <x v="30"/>
    <n v="25.61842"/>
    <n v="250"/>
    <n v="12"/>
    <n v="61"/>
    <n v="5.083333333333333"/>
    <x v="0"/>
    <x v="0"/>
    <s v="Camp"/>
    <x v="0"/>
    <x v="2"/>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1"/>
    <x v="0"/>
    <s v="MMR001"/>
    <s v="Myitkyina"/>
    <s v="MMR001D001"/>
    <x v="3"/>
    <s v="MMR001002"/>
    <s v="Nawng Si Paw"/>
    <s v="MMR001002013"/>
    <s v="Nawng Si Paw"/>
    <n v="165750"/>
    <x v="31"/>
    <x v="31"/>
    <x v="27"/>
    <m/>
    <m/>
    <m/>
    <m/>
    <s v="NA"/>
    <x v="0"/>
    <x v="0"/>
    <s v="Camp"/>
    <x v="3"/>
    <x v="15"/>
    <x v="4"/>
    <m/>
    <m/>
    <s v=" "/>
    <s v=""/>
    <s v=""/>
    <s v=""/>
  </r>
  <r>
    <x v="1"/>
    <x v="0"/>
    <s v="MMR001"/>
    <s v="Myitkyina"/>
    <s v="MMR001D001"/>
    <x v="3"/>
    <s v="MMR001002"/>
    <s v="Hkat Shu"/>
    <s v="MMR001002003"/>
    <s v="Hkat Shu"/>
    <n v="165735"/>
    <x v="32"/>
    <x v="32"/>
    <x v="31"/>
    <n v="25.328987000000001"/>
    <m/>
    <m/>
    <m/>
    <s v="NA"/>
    <x v="0"/>
    <x v="0"/>
    <s v="Camp"/>
    <x v="3"/>
    <x v="15"/>
    <x v="4"/>
    <m/>
    <m/>
    <s v=" "/>
    <s v=""/>
    <s v=""/>
    <s v=""/>
  </r>
  <r>
    <x v="1"/>
    <x v="0"/>
    <s v="MMR001"/>
    <s v="Myitkyina"/>
    <s v="MMR001D001"/>
    <x v="3"/>
    <s v="MMR001002"/>
    <s v="Waingmaw Town"/>
    <s v="MMR001002701"/>
    <s v="No (2) Ward"/>
    <s v="MMR001002701502"/>
    <x v="33"/>
    <x v="33"/>
    <x v="32"/>
    <n v="25.355841999999999"/>
    <n v="0"/>
    <m/>
    <m/>
    <s v="NA"/>
    <x v="0"/>
    <x v="0"/>
    <s v="Boarding School"/>
    <x v="0"/>
    <x v="10"/>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Bhamo"/>
    <s v="MMR001D003"/>
    <x v="5"/>
    <s v="MMR001010"/>
    <s v="Moe Hping"/>
    <s v="MMR001010009"/>
    <s v="Moe Hping"/>
    <n v="166836"/>
    <x v="34"/>
    <x v="34"/>
    <x v="33"/>
    <n v="24.2631743589744"/>
    <n v="0"/>
    <n v="129"/>
    <n v="742"/>
    <n v="5.7519379844961236"/>
    <x v="0"/>
    <x v="0"/>
    <s v="Camp"/>
    <x v="0"/>
    <x v="0"/>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Myitkyina"/>
    <s v="MMR001D001"/>
    <x v="3"/>
    <s v="MMR001002"/>
    <s v="Mai Na"/>
    <s v="MMR001002006"/>
    <s v="Mai Na"/>
    <n v="165740"/>
    <x v="35"/>
    <x v="35"/>
    <x v="34"/>
    <n v="25.409612685185198"/>
    <n v="0"/>
    <n v="47"/>
    <n v="208"/>
    <n v="4.4255319148936172"/>
    <x v="0"/>
    <x v="0"/>
    <s v="Camp"/>
    <x v="0"/>
    <x v="16"/>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3"/>
    <s v="MMR001002"/>
    <s v="Mai Na"/>
    <s v="MMR001002006"/>
    <s v="Mai Na"/>
    <n v="165740"/>
    <x v="36"/>
    <x v="36"/>
    <x v="35"/>
    <n v="25.424529444444399"/>
    <n v="0"/>
    <n v="339"/>
    <n v="1975"/>
    <n v="5.8259587020648969"/>
    <x v="0"/>
    <x v="0"/>
    <s v="Camp"/>
    <x v="1"/>
    <x v="17"/>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3"/>
    <s v="MMR001002"/>
    <s v="Mai Na"/>
    <s v="MMR001002006"/>
    <s v="Mai Na"/>
    <n v="165740"/>
    <x v="37"/>
    <x v="37"/>
    <x v="36"/>
    <n v="25.4118005797101"/>
    <n v="0"/>
    <n v="510"/>
    <n v="2680"/>
    <n v="5.2549019607843137"/>
    <x v="0"/>
    <x v="0"/>
    <s v="Camp"/>
    <x v="1"/>
    <x v="18"/>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3"/>
    <s v="MMR001002"/>
    <s v="Waw Shung (Kan Paik Ti Sub-township)"/>
    <s v="MMR001002035"/>
    <s v="Shan Kyaing"/>
    <n v="165845"/>
    <x v="38"/>
    <x v="38"/>
    <x v="37"/>
    <n v="25.418084"/>
    <m/>
    <n v="181"/>
    <n v="1001"/>
    <n v="5.5303867403314921"/>
    <x v="0"/>
    <x v="0"/>
    <s v="Camp"/>
    <x v="1"/>
    <x v="1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39"/>
    <x v="39"/>
    <x v="38"/>
    <n v="25.754110000000001"/>
    <n v="2785"/>
    <n v="160"/>
    <n v="830"/>
    <n v="5.1875"/>
    <x v="1"/>
    <x v="0"/>
    <s v="Camp"/>
    <x v="2"/>
    <x v="1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0"/>
    <s v="MMR001"/>
    <s v="Myitkyina"/>
    <s v="MMR001D001"/>
    <x v="0"/>
    <s v="MMR001001"/>
    <s v="Maw Hpawng"/>
    <s v="MMR001001007"/>
    <s v="Maw Hpawng"/>
    <n v="165698"/>
    <x v="40"/>
    <x v="40"/>
    <x v="39"/>
    <n v="25.374343974359"/>
    <n v="0"/>
    <n v="24"/>
    <n v="97"/>
    <n v="4.041666666666667"/>
    <x v="0"/>
    <x v="0"/>
    <s v="Camp"/>
    <x v="1"/>
    <x v="3"/>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Bhamo"/>
    <s v="MMR001D003"/>
    <x v="5"/>
    <s v="MMR001010"/>
    <s v="Bhamo Town"/>
    <s v="MMR001010701"/>
    <s v="Nyaung Pin Ward"/>
    <s v="MMR001010701508"/>
    <x v="41"/>
    <x v="41"/>
    <x v="40"/>
    <n v="24.268292826086999"/>
    <m/>
    <n v="641"/>
    <n v="4010"/>
    <n v="6.25585023400936"/>
    <x v="0"/>
    <x v="0"/>
    <s v="Camp"/>
    <x v="0"/>
    <x v="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Myitkyina"/>
    <s v="MMR001D001"/>
    <x v="2"/>
    <s v="MMR001005"/>
    <m/>
    <m/>
    <m/>
    <m/>
    <x v="42"/>
    <x v="42"/>
    <x v="27"/>
    <m/>
    <m/>
    <m/>
    <m/>
    <s v="NA"/>
    <x v="0"/>
    <x v="0"/>
    <s v="Camp"/>
    <x v="3"/>
    <x v="15"/>
    <x v="4"/>
    <m/>
    <m/>
    <s v=" "/>
    <s v=""/>
    <s v=""/>
    <s v=""/>
  </r>
  <r>
    <x v="1"/>
    <x v="0"/>
    <s v="MMR001"/>
    <s v="Myitkyina"/>
    <s v="MMR001D001"/>
    <x v="2"/>
    <s v="MMR001005"/>
    <s v="Lang Jaw (Pang War Sub-township)"/>
    <s v="MMR001005022"/>
    <s v="Lang Jaw"/>
    <n v="166337"/>
    <x v="43"/>
    <x v="43"/>
    <x v="41"/>
    <n v="25.708763000000001"/>
    <m/>
    <m/>
    <m/>
    <s v="NA"/>
    <x v="0"/>
    <x v="0"/>
    <s v="Host Families"/>
    <x v="1"/>
    <x v="15"/>
    <x v="4"/>
    <s v="IP"/>
    <d v="2017-07-11T00:00:00"/>
    <s v="11/Jul/2017: Change status to Close as no update available since December 2016"/>
    <s v="Pang War Town"/>
    <n v="12.486065224161463"/>
    <n v="3"/>
  </r>
  <r>
    <x v="1"/>
    <x v="0"/>
    <s v="MMR001"/>
    <s v="Myitkyina"/>
    <s v="MMR001D001"/>
    <x v="2"/>
    <s v="MMR001005"/>
    <m/>
    <m/>
    <m/>
    <m/>
    <x v="44"/>
    <x v="44"/>
    <x v="27"/>
    <m/>
    <m/>
    <m/>
    <m/>
    <s v="NA"/>
    <x v="0"/>
    <x v="0"/>
    <s v="Camp"/>
    <x v="1"/>
    <x v="15"/>
    <x v="2"/>
    <s v="IP"/>
    <d v="2015-04-02T00:00:00"/>
    <s v="2-Apr-15 (Closed. Source: GAD)_x000a_Responsible Agency update. KMSS-BMO to KMSS-MYT."/>
    <s v=""/>
    <s v=""/>
    <s v=""/>
  </r>
  <r>
    <x v="0"/>
    <x v="0"/>
    <s v="MMR001"/>
    <s v="Bhamo"/>
    <s v="MMR001D003"/>
    <x v="5"/>
    <s v="MMR001010"/>
    <s v="Bhamo Town"/>
    <s v="MMR001010701"/>
    <s v="Pauk Kone Ward"/>
    <s v="MMR001010701506"/>
    <x v="45"/>
    <x v="45"/>
    <x v="42"/>
    <n v="24.24766"/>
    <n v="0"/>
    <n v="41"/>
    <n v="227"/>
    <n v="5.5365853658536581"/>
    <x v="0"/>
    <x v="0"/>
    <s v="Camp"/>
    <x v="0"/>
    <x v="16"/>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5"/>
    <s v="MMR001010"/>
    <m/>
    <m/>
    <m/>
    <m/>
    <x v="46"/>
    <x v="46"/>
    <x v="43"/>
    <n v="24.262418020999998"/>
    <m/>
    <m/>
    <m/>
    <s v="NA"/>
    <x v="0"/>
    <x v="0"/>
    <s v="Camp"/>
    <x v="3"/>
    <x v="15"/>
    <x v="4"/>
    <s v="IP"/>
    <d v="2014-01-22T00:00:00"/>
    <s v="Closed: Source UNHCR-Bhamo"/>
    <s v=""/>
    <s v=""/>
    <s v=""/>
  </r>
  <r>
    <x v="0"/>
    <x v="0"/>
    <s v="MMR001"/>
    <s v="Myitkyina"/>
    <s v="MMR001D001"/>
    <x v="0"/>
    <s v="MMR001001"/>
    <s v="Maw Hpawng"/>
    <s v="MMR001001007"/>
    <s v="Maw Hpawng"/>
    <n v="165698"/>
    <x v="47"/>
    <x v="47"/>
    <x v="44"/>
    <n v="25.371049444444399"/>
    <n v="476"/>
    <n v="14"/>
    <n v="76"/>
    <n v="5.4285714285714288"/>
    <x v="0"/>
    <x v="0"/>
    <s v="Camp"/>
    <x v="1"/>
    <x v="3"/>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Bhamo"/>
    <s v="MMR001D003"/>
    <x v="5"/>
    <s v="MMR001010"/>
    <s v="Moe Hping"/>
    <s v="MMR001010009"/>
    <s v="Moe Hping"/>
    <n v="166836"/>
    <x v="48"/>
    <x v="48"/>
    <x v="45"/>
    <n v="24.260719999999999"/>
    <m/>
    <n v="257"/>
    <n v="1278"/>
    <n v="4.972762645914397"/>
    <x v="0"/>
    <x v="0"/>
    <s v="Camp"/>
    <x v="0"/>
    <x v="10"/>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Mohnyin"/>
    <s v="MMR001D002"/>
    <x v="1"/>
    <s v="MMR001009"/>
    <s v="Hpakan Town"/>
    <s v="MMR001009701"/>
    <s v="Maw Wam Ward"/>
    <s v="MMR001009701501"/>
    <x v="49"/>
    <x v="49"/>
    <x v="46"/>
    <n v="25.6145"/>
    <n v="65"/>
    <n v="4"/>
    <n v="15"/>
    <n v="3.75"/>
    <x v="0"/>
    <x v="0"/>
    <s v="Camp like setting"/>
    <x v="0"/>
    <x v="12"/>
    <x v="3"/>
    <s v="IP"/>
    <d v="2018-04-30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0"/>
    <x v="0"/>
    <s v="MMR001"/>
    <s v="Bhamo"/>
    <s v="MMR001D003"/>
    <x v="4"/>
    <s v="MMR001012"/>
    <s v="Momauk Town"/>
    <s v="MMR001012701"/>
    <s v="Ah Lin Kawng Ward"/>
    <s v="MMR001012701502"/>
    <x v="50"/>
    <x v="50"/>
    <x v="47"/>
    <n v="24.250689999999999"/>
    <n v="0"/>
    <n v="415"/>
    <n v="1898"/>
    <n v="4.5734939759036148"/>
    <x v="0"/>
    <x v="0"/>
    <s v="Camp"/>
    <x v="0"/>
    <x v="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5"/>
    <s v="MMR001010"/>
    <s v="Bhamo Town"/>
    <s v="MMR001010701"/>
    <s v="Pauk Kone Ward"/>
    <s v="MMR001010701506"/>
    <x v="51"/>
    <x v="51"/>
    <x v="48"/>
    <n v="24.253067000000001"/>
    <n v="0"/>
    <n v="14"/>
    <n v="59"/>
    <n v="4.2142857142857144"/>
    <x v="0"/>
    <x v="0"/>
    <s v="Camp"/>
    <x v="0"/>
    <x v="19"/>
    <x v="1"/>
    <s v="IP"/>
    <d v="2018-04-30T00:00:00"/>
    <s v="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6"/>
    <s v="MMR001013"/>
    <s v="Dum Buk"/>
    <s v="MMR001013014"/>
    <s v="Dum Buk"/>
    <s v="Dum Buk"/>
    <x v="52"/>
    <x v="52"/>
    <x v="49"/>
    <n v="24.002433"/>
    <n v="854"/>
    <n v="365"/>
    <n v="1730"/>
    <n v="4.7397260273972606"/>
    <x v="1"/>
    <x v="0"/>
    <s v="Camp"/>
    <x v="1"/>
    <x v="3"/>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Mohnyin"/>
    <s v="MMR001D002"/>
    <x v="1"/>
    <s v="MMR001009"/>
    <s v="Nam Ma Hpyit"/>
    <s v="MMR001009002"/>
    <s v="Nam Ma Hpyit"/>
    <n v="166776"/>
    <x v="53"/>
    <x v="53"/>
    <x v="50"/>
    <n v="25.617998"/>
    <m/>
    <n v="11"/>
    <n v="46"/>
    <n v="4.1818181818181817"/>
    <x v="0"/>
    <x v="0"/>
    <s v="Camp like setting"/>
    <x v="0"/>
    <x v="2"/>
    <x v="3"/>
    <s v="IP"/>
    <d v="2018-04-30T00:00:00"/>
    <s v="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1"/>
    <s v="MMR015"/>
    <s v="Muse"/>
    <s v="MMR015D002"/>
    <x v="7"/>
    <s v="MMR015010"/>
    <s v="Nawng Hkam"/>
    <s v="MMR015010010"/>
    <s v="Nawng Hkam"/>
    <n v="208353"/>
    <x v="54"/>
    <x v="54"/>
    <x v="27"/>
    <m/>
    <m/>
    <m/>
    <m/>
    <s v="NA"/>
    <x v="1"/>
    <x v="0"/>
    <s v="Camp"/>
    <x v="3"/>
    <x v="15"/>
    <x v="4"/>
    <s v="IP"/>
    <d v="2014-03-03T00:00:00"/>
    <s v="Closed. Same with (Nam Hkam Catholic Church  St. Thomas II)"/>
    <s v=""/>
    <s v=""/>
    <s v=""/>
  </r>
  <r>
    <x v="0"/>
    <x v="0"/>
    <s v="MMR001"/>
    <s v="Bhamo"/>
    <s v="MMR001D003"/>
    <x v="6"/>
    <s v="MMR001013"/>
    <s v="Mansi Town"/>
    <s v="MMR001013701"/>
    <s v="Kawng Yar Ward"/>
    <s v="MMR001013701504"/>
    <x v="55"/>
    <x v="55"/>
    <x v="51"/>
    <n v="24.129059999999999"/>
    <n v="0"/>
    <n v="185"/>
    <n v="830"/>
    <n v="4.4864864864864868"/>
    <x v="0"/>
    <x v="0"/>
    <s v="Camp"/>
    <x v="0"/>
    <x v="20"/>
    <x v="0"/>
    <s v="IP"/>
    <d v="2018-04-30T00:00:00"/>
    <s v="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1"/>
    <s v="MMR015"/>
    <s v="Muse"/>
    <s v="MMR015D002"/>
    <x v="7"/>
    <s v="MMR015010"/>
    <s v="Nawng Hkam"/>
    <s v="MMR015010010"/>
    <s v="Nawng Hkam"/>
    <n v="208353"/>
    <x v="56"/>
    <x v="56"/>
    <x v="52"/>
    <n v="23.828150000000001"/>
    <n v="751.8"/>
    <n v="43"/>
    <n v="222"/>
    <n v="5.1627906976744189"/>
    <x v="0"/>
    <x v="0"/>
    <s v="Camp"/>
    <x v="0"/>
    <x v="16"/>
    <x v="6"/>
    <s v="IP"/>
    <d v="2018-04-30T00:00:00"/>
    <s v="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4"/>
    <s v="MMR001012"/>
    <s v="Momauk Town"/>
    <s v="MMR001012701"/>
    <s v="Kyay Nan Waing Ward"/>
    <s v="MMR001012701503"/>
    <x v="57"/>
    <x v="57"/>
    <x v="53"/>
    <n v="24.25177"/>
    <n v="0"/>
    <m/>
    <m/>
    <s v="NA"/>
    <x v="0"/>
    <x v="0"/>
    <s v="Camp"/>
    <x v="0"/>
    <x v="4"/>
    <x v="5"/>
    <s v="IP"/>
    <d v="2014-11-28T00:00:00"/>
    <s v="Closed. Population relocated to Man Bung Catholic Compound (MMR001CMP062)"/>
    <s v=""/>
    <s v=""/>
    <s v=""/>
  </r>
  <r>
    <x v="1"/>
    <x v="0"/>
    <s v="MMR001"/>
    <s v="Bhamo"/>
    <s v="MMR001D003"/>
    <x v="4"/>
    <s v="MMR001012"/>
    <s v="Momauk Town"/>
    <s v="MMR001012701"/>
    <s v="Ah Lin Kawng Ward"/>
    <s v="MMR001012701502"/>
    <x v="58"/>
    <x v="58"/>
    <x v="54"/>
    <n v="24.251860000000001"/>
    <n v="0"/>
    <m/>
    <m/>
    <s v="NA"/>
    <x v="0"/>
    <x v="0"/>
    <s v="Camp"/>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9"/>
    <x v="59"/>
    <x v="55"/>
    <n v="24.253769999999999"/>
    <n v="0"/>
    <m/>
    <m/>
    <s v="NA"/>
    <x v="0"/>
    <x v="0"/>
    <s v="Camp"/>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60"/>
    <x v="60"/>
    <x v="56"/>
    <n v="24.492493"/>
    <m/>
    <m/>
    <m/>
    <s v="NA"/>
    <x v="0"/>
    <x v="0"/>
    <s v="Host Families"/>
    <x v="1"/>
    <x v="15"/>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61"/>
    <x v="61"/>
    <x v="57"/>
    <n v="24.404876999999999"/>
    <m/>
    <n v="47"/>
    <n v="153"/>
    <n v="3.2553191489361701"/>
    <x v="0"/>
    <x v="0"/>
    <s v="Host Families"/>
    <x v="1"/>
    <x v="15"/>
    <x v="4"/>
    <s v="RRD"/>
    <d v="2017-12-21T00:00:00"/>
    <s v="21/Dec/2017: Population update. Data source: WFP_x000a_7/April/2017: Population update. Data source: WFP_x000a_Geo-Info, HH/Pop data was updated from Google Earth."/>
    <s v="Momauk Town"/>
    <n v="17.689123339899055"/>
    <n v="4"/>
  </r>
  <r>
    <x v="0"/>
    <x v="0"/>
    <s v="MMR001"/>
    <s v="Bhamo"/>
    <s v="MMR001D003"/>
    <x v="6"/>
    <s v="MMR001013"/>
    <s v="In Ba Pa"/>
    <s v="MMR001013012"/>
    <s v="La Na"/>
    <n v="216948"/>
    <x v="62"/>
    <x v="62"/>
    <x v="58"/>
    <n v="24.056132999999999"/>
    <n v="866"/>
    <n v="547"/>
    <n v="2368"/>
    <n v="4.3290676416819016"/>
    <x v="1"/>
    <x v="0"/>
    <s v="Camp"/>
    <x v="1"/>
    <x v="3"/>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Bhamo"/>
    <s v="MMR001D003"/>
    <x v="4"/>
    <s v="MMR001012"/>
    <s v="Man Nawng"/>
    <s v="MMR001012014"/>
    <s v="Man Nawng"/>
    <n v="167063"/>
    <x v="63"/>
    <x v="63"/>
    <x v="59"/>
    <n v="24.410008999999999"/>
    <m/>
    <m/>
    <m/>
    <s v="NA"/>
    <x v="0"/>
    <x v="0"/>
    <s v="Host Families"/>
    <x v="1"/>
    <x v="15"/>
    <x v="4"/>
    <s v="RRD"/>
    <d v="2017-07-11T00:00:00"/>
    <s v="11/Jul/17: Change status to Close as no update available."/>
    <s v="Momauk Town"/>
    <n v="17.282528446236295"/>
    <n v="4"/>
  </r>
  <r>
    <x v="1"/>
    <x v="0"/>
    <s v="MMR001"/>
    <s v="Bhamo"/>
    <s v="MMR001D003"/>
    <x v="4"/>
    <s v="MMR001012"/>
    <s v="Maing Khat"/>
    <s v="MMR001012020"/>
    <s v="Maing Khat"/>
    <n v="167078"/>
    <x v="64"/>
    <x v="64"/>
    <x v="60"/>
    <n v="24.441697000000001"/>
    <m/>
    <m/>
    <m/>
    <s v="NA"/>
    <x v="0"/>
    <x v="0"/>
    <s v="Host Families"/>
    <x v="1"/>
    <x v="15"/>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5"/>
    <x v="65"/>
    <x v="61"/>
    <n v="24.630859999999998"/>
    <m/>
    <m/>
    <m/>
    <s v="NA"/>
    <x v="0"/>
    <x v="0"/>
    <s v="Host Families"/>
    <x v="1"/>
    <x v="15"/>
    <x v="4"/>
    <s v="RRD"/>
    <d v="2017-07-11T00:00:00"/>
    <s v="11/Jul/2017: Change status to Close as no update available since Jan/2017._x000a_Update from OCHA Data (2 Jan 2014)"/>
    <s v="Dawthponeyan  Town"/>
    <n v="3.6887624513681017"/>
    <n v="1"/>
  </r>
  <r>
    <x v="0"/>
    <x v="0"/>
    <s v="MMR001"/>
    <s v="Bhamo"/>
    <s v="MMR001D003"/>
    <x v="8"/>
    <s v="MMR001011"/>
    <s v="Shwegu Town"/>
    <s v="MMR001011701"/>
    <s v="Shwegu Town"/>
    <s v="MMR001011701504"/>
    <x v="66"/>
    <x v="66"/>
    <x v="62"/>
    <n v="24.200361000000001"/>
    <n v="0"/>
    <n v="88"/>
    <n v="330"/>
    <n v="3.75"/>
    <x v="0"/>
    <x v="0"/>
    <s v="Camp"/>
    <x v="0"/>
    <x v="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4"/>
    <s v="MMR001012"/>
    <s v="Lwegel Town"/>
    <s v="MMR001012702"/>
    <s v="Aung Zay Yar Ward"/>
    <s v="MMR001012702505"/>
    <x v="67"/>
    <x v="67"/>
    <x v="63"/>
    <n v="24.200433"/>
    <n v="0"/>
    <n v="203"/>
    <n v="1138"/>
    <n v="5.6059113300492607"/>
    <x v="0"/>
    <x v="0"/>
    <s v="Camp"/>
    <x v="0"/>
    <x v="9"/>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4"/>
    <n v="24.205417000000001"/>
    <m/>
    <n v="129"/>
    <n v="640"/>
    <n v="4.9612403100775193"/>
    <x v="0"/>
    <x v="0"/>
    <s v="Camp"/>
    <x v="0"/>
    <x v="10"/>
    <x v="5"/>
    <s v="IP"/>
    <d v="2018-04-30T00:00:00"/>
    <s v="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6"/>
    <s v="MMR001013"/>
    <s v="Maing Khaung"/>
    <s v="MMR001013007"/>
    <s v="Maing Khaung"/>
    <n v="167301"/>
    <x v="69"/>
    <x v="69"/>
    <x v="65"/>
    <n v="23.976571"/>
    <n v="478"/>
    <n v="172"/>
    <n v="783"/>
    <n v="4.5523255813953485"/>
    <x v="0"/>
    <x v="0"/>
    <s v="Camp"/>
    <x v="1"/>
    <x v="21"/>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Bhamo"/>
    <s v="MMR001D003"/>
    <x v="4"/>
    <s v="MMR001012"/>
    <s v="Lwegel Town"/>
    <s v="MMR001012702"/>
    <s v="Aung Chan Thar Ward"/>
    <s v="MMR001012702503"/>
    <x v="70"/>
    <x v="70"/>
    <x v="66"/>
    <n v="24.200972"/>
    <m/>
    <n v="40"/>
    <n v="240"/>
    <n v="6"/>
    <x v="0"/>
    <x v="0"/>
    <s v="Camp"/>
    <x v="0"/>
    <x v="11"/>
    <x v="0"/>
    <s v="IP"/>
    <d v="2018-04-30T00:00:00"/>
    <s v="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71"/>
    <x v="71"/>
    <x v="67"/>
    <n v="24.205417000000001"/>
    <n v="0"/>
    <n v="48"/>
    <n v="293"/>
    <n v="6.104166666666667"/>
    <x v="0"/>
    <x v="0"/>
    <s v="Camp"/>
    <x v="0"/>
    <x v="12"/>
    <x v="0"/>
    <s v="IP"/>
    <d v="2018-04-30T00:00:00"/>
    <s v="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2"/>
    <x v="72"/>
    <x v="68"/>
    <n v="24.207332999999998"/>
    <n v="0"/>
    <n v="43"/>
    <n v="269"/>
    <n v="6.2558139534883717"/>
    <x v="0"/>
    <x v="0"/>
    <s v="Camp"/>
    <x v="0"/>
    <x v="1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Mohnyin"/>
    <s v="MMR001D002"/>
    <x v="9"/>
    <s v="MMR001008"/>
    <s v="Nawng Kaing Htaw"/>
    <s v="MMR001008002"/>
    <s v="Ma Haung"/>
    <n v="166676"/>
    <x v="73"/>
    <x v="73"/>
    <x v="69"/>
    <n v="25.296579999999999"/>
    <n v="0"/>
    <n v="16"/>
    <n v="79"/>
    <n v="4.9375"/>
    <x v="0"/>
    <x v="0"/>
    <s v="Camp"/>
    <x v="0"/>
    <x v="1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1"/>
    <x v="0"/>
    <s v="MMR001"/>
    <s v="Puta-O"/>
    <s v="MMR001D004"/>
    <x v="10"/>
    <s v="MMR001018"/>
    <s v="La Ja Ga"/>
    <s v="MMR001018021"/>
    <s v="La Ja"/>
    <n v="168236"/>
    <x v="74"/>
    <x v="74"/>
    <x v="70"/>
    <n v="26.890058"/>
    <n v="1393"/>
    <m/>
    <m/>
    <s v="NA"/>
    <x v="0"/>
    <x v="0"/>
    <s v="Camp"/>
    <x v="1"/>
    <x v="15"/>
    <x v="4"/>
    <s v="RRD"/>
    <d v="2017-02-02T00:00:00"/>
    <s v="Closed Camp_x000a_Update data from OCHA IDPs List"/>
    <s v="Khaunglanhpu Town"/>
    <n v="28.422357500443528"/>
    <n v="6"/>
  </r>
  <r>
    <x v="0"/>
    <x v="0"/>
    <s v="MMR001"/>
    <s v="Puta-O"/>
    <s v="MMR001D004"/>
    <x v="11"/>
    <s v="MMR001014"/>
    <s v="Puta-O Town"/>
    <s v="MMR001014701"/>
    <s v="Doke Tan Ward"/>
    <s v="MMR001014701509"/>
    <x v="75"/>
    <x v="75"/>
    <x v="71"/>
    <n v="27.311699999999998"/>
    <n v="476.7"/>
    <n v="14"/>
    <n v="75"/>
    <n v="5.3571428571428568"/>
    <x v="0"/>
    <x v="0"/>
    <s v="Host Families"/>
    <x v="1"/>
    <x v="15"/>
    <x v="4"/>
    <s v="IP"/>
    <d v="2017-05-19T00:00:00"/>
    <s v="19/May/2017: Population update. Data source: Shelter Associate (UNHCR)_x000a_Changed Camp to Host Families. Source: Camp Profile Questionnaire."/>
    <s v="Puta-O Town"/>
    <n v="1.3759254000531889"/>
    <n v="1"/>
  </r>
  <r>
    <x v="0"/>
    <x v="0"/>
    <s v="MMR001"/>
    <s v="Mohnyin"/>
    <s v="MMR001D002"/>
    <x v="9"/>
    <s v="MMR001008"/>
    <s v="Mogaung Town"/>
    <s v="MMR001008701"/>
    <s v="Kyun Taw Ward"/>
    <s v="MMR001008701510"/>
    <x v="76"/>
    <x v="76"/>
    <x v="72"/>
    <n v="25.305669999999999"/>
    <n v="470"/>
    <n v="13"/>
    <n v="70"/>
    <n v="5.384615384615385"/>
    <x v="0"/>
    <x v="0"/>
    <s v="Camp"/>
    <x v="0"/>
    <x v="1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7"/>
    <x v="77"/>
    <x v="73"/>
    <n v="25.30442"/>
    <n v="100"/>
    <n v="10"/>
    <n v="41"/>
    <n v="4.0999999999999996"/>
    <x v="0"/>
    <x v="0"/>
    <s v="Camp"/>
    <x v="0"/>
    <x v="2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
    <s v="MMR001009"/>
    <s v="Nam Ma Hpyit"/>
    <s v="MMR001009002"/>
    <s v="Nam Ma Hpyit"/>
    <n v="166776"/>
    <x v="78"/>
    <x v="78"/>
    <x v="74"/>
    <n v="25.599250000000001"/>
    <n v="0"/>
    <n v="16"/>
    <n v="66"/>
    <n v="4.125"/>
    <x v="0"/>
    <x v="0"/>
    <s v="Camp"/>
    <x v="0"/>
    <x v="1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Bhamo"/>
    <s v="MMR001D003"/>
    <x v="4"/>
    <s v="MMR001012"/>
    <s v="In Baw Mai Kyin (Dawthponeyan Sub-township)"/>
    <s v="MMR001012042"/>
    <s v="Hpun Lum Yang"/>
    <n v="167223"/>
    <x v="79"/>
    <x v="79"/>
    <x v="75"/>
    <n v="24.661905999999998"/>
    <n v="415"/>
    <n v="719"/>
    <n v="3659"/>
    <n v="5.0890125173852576"/>
    <x v="1"/>
    <x v="0"/>
    <s v="Camp"/>
    <x v="1"/>
    <x v="0"/>
    <x v="2"/>
    <s v="IP"/>
    <d v="2018-04-30T00:00:00"/>
    <s v="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2"/>
    <s v="MMR001007"/>
    <s v="Nam Mun"/>
    <s v="MMR001007016"/>
    <s v="Nam Mun"/>
    <n v="166591"/>
    <x v="80"/>
    <x v="80"/>
    <x v="76"/>
    <n v="24.998349999999999"/>
    <n v="0"/>
    <n v="0"/>
    <n v="0"/>
    <s v="NA"/>
    <x v="0"/>
    <x v="0"/>
    <s v="Camp"/>
    <x v="1"/>
    <x v="22"/>
    <x v="0"/>
    <s v="RRD"/>
    <d v="2014-07-17T00:00:00"/>
    <s v="Closed. Duplicate with (Nawng Ing (Indawgyi) Baptist Church)"/>
    <s v=""/>
    <s v=""/>
    <s v=""/>
  </r>
  <r>
    <x v="1"/>
    <x v="0"/>
    <s v="MMR001"/>
    <s v="Mohnyin"/>
    <s v="MMR001D002"/>
    <x v="1"/>
    <s v="MMR001009"/>
    <s v="Hpakan Town"/>
    <s v="MMR001009701"/>
    <s v="Hnget Pyaw Taw Ward"/>
    <s v="MMR001009701502"/>
    <x v="81"/>
    <x v="81"/>
    <x v="77"/>
    <n v="25.611160000000002"/>
    <n v="0"/>
    <n v="0"/>
    <n v="0"/>
    <s v="NA"/>
    <x v="0"/>
    <x v="0"/>
    <s v="Camp"/>
    <x v="0"/>
    <x v="12"/>
    <x v="0"/>
    <s v="IP"/>
    <d v="2014-05-15T00:00:00"/>
    <s v="Closed.Moved to Na Ma Pyit KBC."/>
    <s v=""/>
    <s v=""/>
    <s v=""/>
  </r>
  <r>
    <x v="1"/>
    <x v="0"/>
    <s v="MMR001"/>
    <s v="Mohnyin"/>
    <s v="MMR001D002"/>
    <x v="1"/>
    <s v="MMR001009"/>
    <s v="Hpakan Town"/>
    <s v="MMR001009701"/>
    <s v="Hnget Pyaw Taw Ward"/>
    <s v="MMR001009701502"/>
    <x v="82"/>
    <x v="82"/>
    <x v="78"/>
    <n v="25.611899999999999"/>
    <m/>
    <n v="0"/>
    <n v="0"/>
    <s v="NA"/>
    <x v="0"/>
    <x v="0"/>
    <s v="Camp"/>
    <x v="3"/>
    <x v="15"/>
    <x v="4"/>
    <m/>
    <m/>
    <s v=" "/>
    <s v=""/>
    <s v=""/>
    <s v=""/>
  </r>
  <r>
    <x v="1"/>
    <x v="0"/>
    <s v="MMR001"/>
    <s v="Mohnyin"/>
    <s v="MMR001D002"/>
    <x v="1"/>
    <s v="MMR001009"/>
    <s v="Hpakan Town"/>
    <s v="MMR001009701"/>
    <s v="Maw Wam Ward"/>
    <s v="MMR001009701501"/>
    <x v="83"/>
    <x v="83"/>
    <x v="27"/>
    <m/>
    <m/>
    <n v="0"/>
    <n v="0"/>
    <s v="NA"/>
    <x v="0"/>
    <x v="0"/>
    <s v="Camp"/>
    <x v="3"/>
    <x v="15"/>
    <x v="4"/>
    <m/>
    <m/>
    <s v=" "/>
    <s v=""/>
    <s v=""/>
    <s v=""/>
  </r>
  <r>
    <x v="1"/>
    <x v="0"/>
    <s v="MMR001"/>
    <s v="Mohnyin"/>
    <s v="MMR001D002"/>
    <x v="1"/>
    <s v="MMR001009"/>
    <s v="Hpakan Town"/>
    <s v="MMR001009701"/>
    <s v="Maw Wam Ward"/>
    <s v="MMR001009701501"/>
    <x v="84"/>
    <x v="84"/>
    <x v="79"/>
    <n v="25.619221"/>
    <m/>
    <n v="0"/>
    <n v="0"/>
    <s v="NA"/>
    <x v="0"/>
    <x v="0"/>
    <s v="Camp"/>
    <x v="3"/>
    <x v="15"/>
    <x v="4"/>
    <m/>
    <m/>
    <s v=" "/>
    <s v=""/>
    <s v=""/>
    <s v=""/>
  </r>
  <r>
    <x v="1"/>
    <x v="0"/>
    <s v="MMR001"/>
    <s v="Mohnyin"/>
    <s v="MMR001D002"/>
    <x v="1"/>
    <s v="MMR001009"/>
    <m/>
    <m/>
    <m/>
    <m/>
    <x v="85"/>
    <x v="85"/>
    <x v="27"/>
    <m/>
    <m/>
    <m/>
    <m/>
    <s v="NA"/>
    <x v="0"/>
    <x v="0"/>
    <s v="Camp"/>
    <x v="3"/>
    <x v="15"/>
    <x v="4"/>
    <m/>
    <m/>
    <s v=" "/>
    <s v=""/>
    <s v=""/>
    <s v=""/>
  </r>
  <r>
    <x v="1"/>
    <x v="0"/>
    <s v="MMR001"/>
    <s v="Mohnyin"/>
    <s v="MMR001D002"/>
    <x v="1"/>
    <s v="MMR001009"/>
    <s v="Hpakan Town"/>
    <s v="MMR001009701"/>
    <s v="Maw Wam Ward"/>
    <s v="MMR001009701501"/>
    <x v="86"/>
    <x v="86"/>
    <x v="27"/>
    <m/>
    <m/>
    <n v="0"/>
    <n v="0"/>
    <s v="NA"/>
    <x v="0"/>
    <x v="0"/>
    <s v="Camp"/>
    <x v="3"/>
    <x v="15"/>
    <x v="4"/>
    <m/>
    <m/>
    <s v=" "/>
    <s v=""/>
    <s v=""/>
    <s v=""/>
  </r>
  <r>
    <x v="1"/>
    <x v="0"/>
    <s v="MMR001"/>
    <s v="Mohnyin"/>
    <s v="MMR001D002"/>
    <x v="1"/>
    <s v="MMR001009"/>
    <s v="Hpakan Town"/>
    <s v="MMR001009701"/>
    <s v="Maw Wam Ward"/>
    <s v="MMR001009701501"/>
    <x v="87"/>
    <x v="87"/>
    <x v="27"/>
    <m/>
    <m/>
    <n v="0"/>
    <n v="0"/>
    <s v="NA"/>
    <x v="0"/>
    <x v="0"/>
    <s v="Camp"/>
    <x v="3"/>
    <x v="15"/>
    <x v="4"/>
    <m/>
    <m/>
    <s v=" "/>
    <s v=""/>
    <s v=""/>
    <s v=""/>
  </r>
  <r>
    <x v="0"/>
    <x v="0"/>
    <s v="MMR001"/>
    <s v="Myitkyina"/>
    <s v="MMR001D001"/>
    <x v="3"/>
    <s v="MMR001002"/>
    <s v="Ma Hkan Tee"/>
    <s v="MMR001002009"/>
    <s v="Nawng Hee"/>
    <n v="165745"/>
    <x v="88"/>
    <x v="88"/>
    <x v="80"/>
    <n v="25.351965"/>
    <m/>
    <n v="20"/>
    <n v="86"/>
    <n v="4.3"/>
    <x v="0"/>
    <x v="0"/>
    <s v="Camp"/>
    <x v="1"/>
    <x v="11"/>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3"/>
    <s v="MMR001002"/>
    <s v="Saga Pa"/>
    <s v="MMR001002040"/>
    <s v="Hkau Shau"/>
    <m/>
    <x v="89"/>
    <x v="89"/>
    <x v="81"/>
    <n v="25.200333000000001"/>
    <n v="1023"/>
    <n v="154"/>
    <n v="919"/>
    <n v="5.9675324675324672"/>
    <x v="1"/>
    <x v="0"/>
    <s v="Camp"/>
    <x v="1"/>
    <x v="16"/>
    <x v="0"/>
    <s v="IP"/>
    <d v="2018-04-30T00:00:00"/>
    <s v="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1"/>
    <s v="MMR015"/>
    <s v="Muse"/>
    <s v="MMR015D002"/>
    <x v="13"/>
    <s v="MMR015009"/>
    <s v="Mung Baw "/>
    <s v="MMR015009013"/>
    <s v="Mung Baw "/>
    <m/>
    <x v="90"/>
    <x v="90"/>
    <x v="82"/>
    <n v="24.008452999999999"/>
    <n v="3396"/>
    <m/>
    <m/>
    <s v="NA"/>
    <x v="1"/>
    <x v="0"/>
    <s v="Host Families"/>
    <x v="1"/>
    <x v="15"/>
    <x v="4"/>
    <s v="IRRC"/>
    <d v="2017-04-06T00:00:00"/>
    <s v="6/April/2017: Changed the camp stutas as &quot;Closed&quot;. Data source CCCM and comfirmed by partner (KBC). And it was updated since 3/March/2017_x000a_Change to Host Families."/>
    <s v="Pang Hseng (Kyu Koke) Town"/>
    <n v="7.490291417449443"/>
    <n v="2"/>
  </r>
  <r>
    <x v="1"/>
    <x v="0"/>
    <s v="MMR001"/>
    <s v="Mohnyin"/>
    <s v="MMR001D002"/>
    <x v="1"/>
    <s v="MMR001009"/>
    <s v="Hpakan Town"/>
    <s v="MMR001009701"/>
    <s v="Aye Mya Thar Yar Ward"/>
    <s v="MMR001009701504"/>
    <x v="91"/>
    <x v="91"/>
    <x v="27"/>
    <m/>
    <m/>
    <m/>
    <m/>
    <s v="NA"/>
    <x v="0"/>
    <x v="0"/>
    <s v="Camp"/>
    <x v="3"/>
    <x v="15"/>
    <x v="4"/>
    <m/>
    <m/>
    <s v=" "/>
    <s v=""/>
    <s v=""/>
    <s v=""/>
  </r>
  <r>
    <x v="0"/>
    <x v="0"/>
    <s v="MMR001"/>
    <s v="Myitkyina"/>
    <s v="MMR001D001"/>
    <x v="3"/>
    <s v="MMR001002"/>
    <s v="Sa Ma"/>
    <s v="MMR001002031"/>
    <s v="Par Jaung"/>
    <n v="165792"/>
    <x v="92"/>
    <x v="92"/>
    <x v="83"/>
    <n v="24.831944"/>
    <n v="2330"/>
    <n v="163"/>
    <n v="909"/>
    <n v="5.5766871165644174"/>
    <x v="1"/>
    <x v="0"/>
    <s v="Camp"/>
    <x v="1"/>
    <x v="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
    <s v="MMR001009"/>
    <s v="Hpakan Town"/>
    <s v="MMR001009701"/>
    <s v="Ma Shi Ka Htaung Ward"/>
    <s v="MMR001009701505"/>
    <x v="93"/>
    <x v="93"/>
    <x v="27"/>
    <m/>
    <m/>
    <n v="0"/>
    <n v="0"/>
    <s v="NA"/>
    <x v="0"/>
    <x v="0"/>
    <s v="Camp"/>
    <x v="3"/>
    <x v="15"/>
    <x v="4"/>
    <m/>
    <m/>
    <s v=" "/>
    <s v=""/>
    <s v=""/>
    <s v=""/>
  </r>
  <r>
    <x v="0"/>
    <x v="0"/>
    <s v="MMR001"/>
    <s v="Bhamo"/>
    <s v="MMR001D003"/>
    <x v="6"/>
    <s v="MMR001013"/>
    <s v="Man Wein"/>
    <s v="MMR001013021"/>
    <s v="Man Wein"/>
    <n v="167405"/>
    <x v="94"/>
    <x v="94"/>
    <x v="84"/>
    <n v="23.83013"/>
    <n v="741"/>
    <n v="127"/>
    <n v="649"/>
    <n v="5.1102362204724407"/>
    <x v="0"/>
    <x v="0"/>
    <s v="Camp"/>
    <x v="1"/>
    <x v="14"/>
    <x v="0"/>
    <s v="IP"/>
    <d v="2018-04-30T00:00:00"/>
    <s v="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1"/>
    <x v="0"/>
    <s v="MMR001"/>
    <s v="Mohnyin"/>
    <s v="MMR001D002"/>
    <x v="1"/>
    <s v="MMR001009"/>
    <s v="Hpakan Town"/>
    <s v="MMR001009701"/>
    <s v="Ma Shi Ka Htaung Ward"/>
    <s v="MMR001009701505"/>
    <x v="95"/>
    <x v="95"/>
    <x v="85"/>
    <n v="25.609179999999999"/>
    <m/>
    <n v="0"/>
    <n v="0"/>
    <s v="NA"/>
    <x v="0"/>
    <x v="0"/>
    <s v="Camp"/>
    <x v="3"/>
    <x v="15"/>
    <x v="4"/>
    <m/>
    <m/>
    <s v=" "/>
    <s v=""/>
    <s v=""/>
    <s v=""/>
  </r>
  <r>
    <x v="0"/>
    <x v="0"/>
    <s v="MMR001"/>
    <s v="Mohnyin"/>
    <s v="MMR001D002"/>
    <x v="1"/>
    <s v="MMR001009"/>
    <s v="Nam Si In (Karmaing Sub-township)"/>
    <s v="MMR001009012"/>
    <s v="Htwe San Yang"/>
    <n v="220512"/>
    <x v="96"/>
    <x v="96"/>
    <x v="86"/>
    <n v="25.51352"/>
    <n v="0"/>
    <n v="13"/>
    <n v="46"/>
    <n v="3.5384615384615383"/>
    <x v="0"/>
    <x v="0"/>
    <s v="Camp"/>
    <x v="0"/>
    <x v="19"/>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1"/>
    <x v="1"/>
    <s v="MMR015"/>
    <s v="Muse"/>
    <s v="MMR015D003"/>
    <x v="13"/>
    <s v="MMR015019"/>
    <s v="Man Pying (Pang Hseng (Kyu Koke)) Sub-township"/>
    <s v="MMR015009038"/>
    <s v="Hawwa"/>
    <m/>
    <x v="97"/>
    <x v="97"/>
    <x v="87"/>
    <n v="23.917631"/>
    <m/>
    <m/>
    <m/>
    <s v="NA"/>
    <x v="0"/>
    <x v="0"/>
    <s v="Host Families"/>
    <x v="1"/>
    <x v="15"/>
    <x v="4"/>
    <s v="IP"/>
    <d v="2017-04-06T00:00:00"/>
    <s v="6/Apr/2017: Changed the camp status as &quot;Closed&quot;. Data source: CCCM and comfirmed by partner (KBC). And it was updated since 3/Mar/2014._x000a_Change to Host Families."/>
    <s v="Pang Hseng (Kyu Koke) Town"/>
    <n v="18.405283544772924"/>
    <n v="4"/>
  </r>
  <r>
    <x v="1"/>
    <x v="0"/>
    <s v="MMR001"/>
    <s v="Mohnyin"/>
    <s v="MMR001D002"/>
    <x v="1"/>
    <s v="MMR001009"/>
    <s v="Hpakan Town"/>
    <s v="MMR001009701"/>
    <s v="Ma Shi Ka Htaung Ward"/>
    <s v="MMR001009701505"/>
    <x v="98"/>
    <x v="98"/>
    <x v="27"/>
    <m/>
    <m/>
    <n v="0"/>
    <n v="0"/>
    <s v="NA"/>
    <x v="0"/>
    <x v="0"/>
    <s v="Camp"/>
    <x v="3"/>
    <x v="15"/>
    <x v="4"/>
    <m/>
    <m/>
    <s v=" "/>
    <s v=""/>
    <s v=""/>
    <s v=""/>
  </r>
  <r>
    <x v="1"/>
    <x v="1"/>
    <s v="MMR015"/>
    <s v="Muse"/>
    <s v="MMR015D003"/>
    <x v="13"/>
    <s v="MMR015019"/>
    <s v="Mone Paw Nam Chet (Zay) (Pang Hseng (Kyu Koke)) Sub-township"/>
    <s v="MMR015009033"/>
    <s v="Mone Paw Nam Chet"/>
    <n v="208167"/>
    <x v="99"/>
    <x v="99"/>
    <x v="88"/>
    <n v="23.978088"/>
    <m/>
    <m/>
    <m/>
    <s v="NA"/>
    <x v="0"/>
    <x v="0"/>
    <s v="Host Families"/>
    <x v="1"/>
    <x v="15"/>
    <x v="4"/>
    <s v="IP"/>
    <d v="2017-04-06T00:00:00"/>
    <s v="6/Apr/2017: Changed the camp status as &quot;Closed&quot;. Data source: CCCM and comfirmed by partner (KBC). And it was updated since 3/Mar/2014._x000a_Change to Host Families."/>
    <s v="Pang Hseng (Kyu Koke) Town"/>
    <n v="12.794700705104317"/>
    <n v="3"/>
  </r>
  <r>
    <x v="1"/>
    <x v="0"/>
    <s v="MMR001"/>
    <s v="Mohnyin"/>
    <s v="MMR001D002"/>
    <x v="1"/>
    <s v="MMR001009"/>
    <s v="Hpakan Town"/>
    <s v="MMR001009701"/>
    <s v="Ma Shi Ka Htaung Ward"/>
    <s v="MMR001009701505"/>
    <x v="100"/>
    <x v="100"/>
    <x v="27"/>
    <m/>
    <m/>
    <n v="0"/>
    <n v="0"/>
    <s v="NA"/>
    <x v="0"/>
    <x v="0"/>
    <s v="Camp"/>
    <x v="3"/>
    <x v="15"/>
    <x v="4"/>
    <m/>
    <m/>
    <s v=" "/>
    <s v=""/>
    <s v=""/>
    <s v=""/>
  </r>
  <r>
    <x v="1"/>
    <x v="1"/>
    <s v="MMR015"/>
    <s v="Muse"/>
    <s v="MMR015D002"/>
    <x v="13"/>
    <s v="MMR015009"/>
    <s v="Man Gyat (Monekoe Sub-township)"/>
    <s v="MMR015009048"/>
    <s v="Gwum Hsan"/>
    <m/>
    <x v="101"/>
    <x v="101"/>
    <x v="89"/>
    <n v="24.101320999999999"/>
    <n v="2979"/>
    <m/>
    <m/>
    <s v="NA"/>
    <x v="1"/>
    <x v="0"/>
    <s v="Camp"/>
    <x v="0"/>
    <x v="23"/>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1"/>
    <x v="0"/>
    <s v="MMR001"/>
    <s v="Mohnyin"/>
    <s v="MMR001D002"/>
    <x v="1"/>
    <s v="MMR001009"/>
    <s v="Hpakan Town"/>
    <s v="MMR001009701"/>
    <s v="Ma Shi Ka Htaung Ward"/>
    <s v="MMR001009701505"/>
    <x v="102"/>
    <x v="102"/>
    <x v="27"/>
    <m/>
    <m/>
    <n v="0"/>
    <n v="0"/>
    <s v="NA"/>
    <x v="0"/>
    <x v="0"/>
    <s v="Camp"/>
    <x v="3"/>
    <x v="15"/>
    <x v="4"/>
    <m/>
    <m/>
    <s v=" "/>
    <s v=""/>
    <s v=""/>
    <s v=""/>
  </r>
  <r>
    <x v="1"/>
    <x v="0"/>
    <s v="MMR001"/>
    <s v="Mohnyin"/>
    <s v="MMR001D002"/>
    <x v="1"/>
    <s v="MMR001009"/>
    <s v="Hpakan Town"/>
    <s v="MMR001009701"/>
    <s v="Ma Shi Ka Htaung Ward"/>
    <s v="MMR001009701505"/>
    <x v="103"/>
    <x v="103"/>
    <x v="27"/>
    <m/>
    <m/>
    <n v="0"/>
    <n v="0"/>
    <s v="NA"/>
    <x v="0"/>
    <x v="0"/>
    <s v="Camp"/>
    <x v="3"/>
    <x v="15"/>
    <x v="4"/>
    <m/>
    <m/>
    <s v=" "/>
    <s v=""/>
    <s v=""/>
    <s v=""/>
  </r>
  <r>
    <x v="1"/>
    <x v="0"/>
    <s v="MMR001"/>
    <s v="Mohnyin"/>
    <s v="MMR001D002"/>
    <x v="1"/>
    <s v="MMR001009"/>
    <s v="Hpakan Town"/>
    <s v="MMR001009701"/>
    <s v="Ma Shi Ka Htaung Ward"/>
    <s v="MMR001009701505"/>
    <x v="104"/>
    <x v="104"/>
    <x v="27"/>
    <m/>
    <m/>
    <n v="0"/>
    <n v="0"/>
    <s v="NA"/>
    <x v="0"/>
    <x v="0"/>
    <s v="Camp"/>
    <x v="3"/>
    <x v="15"/>
    <x v="4"/>
    <m/>
    <m/>
    <s v=" "/>
    <s v=""/>
    <s v=""/>
    <s v=""/>
  </r>
  <r>
    <x v="1"/>
    <x v="0"/>
    <s v="MMR001"/>
    <s v="Mohnyin"/>
    <s v="MMR001D002"/>
    <x v="1"/>
    <s v="MMR001009"/>
    <s v="Hpakan Town"/>
    <s v="MMR001009701"/>
    <s v="Ma Shi Ka Htaung Ward"/>
    <s v="MMR001009701505"/>
    <x v="105"/>
    <x v="105"/>
    <x v="27"/>
    <m/>
    <m/>
    <n v="0"/>
    <n v="0"/>
    <s v="NA"/>
    <x v="0"/>
    <x v="0"/>
    <s v="Camp"/>
    <x v="3"/>
    <x v="15"/>
    <x v="4"/>
    <m/>
    <m/>
    <s v=" "/>
    <s v=""/>
    <s v=""/>
    <s v=""/>
  </r>
  <r>
    <x v="1"/>
    <x v="0"/>
    <s v="MMR001"/>
    <s v="Mohnyin"/>
    <s v="MMR001D002"/>
    <x v="1"/>
    <s v="MMR001009"/>
    <s v="Hpakan Town"/>
    <s v="MMR001009701"/>
    <s v="Myo Ma Ward"/>
    <s v="MMR001009701503"/>
    <x v="106"/>
    <x v="106"/>
    <x v="27"/>
    <m/>
    <m/>
    <m/>
    <m/>
    <s v="NA"/>
    <x v="0"/>
    <x v="0"/>
    <s v="Camp"/>
    <x v="3"/>
    <x v="15"/>
    <x v="4"/>
    <m/>
    <m/>
    <s v=" "/>
    <s v=""/>
    <s v=""/>
    <s v=""/>
  </r>
  <r>
    <x v="1"/>
    <x v="0"/>
    <s v="MMR001"/>
    <s v="Mohnyin"/>
    <s v="MMR001D002"/>
    <x v="1"/>
    <s v="MMR001009"/>
    <s v="Hpakan Town"/>
    <s v="MMR001009701"/>
    <s v="Myo Ma Ward"/>
    <s v="MMR001009701503"/>
    <x v="107"/>
    <x v="107"/>
    <x v="27"/>
    <m/>
    <m/>
    <n v="0"/>
    <n v="0"/>
    <s v="NA"/>
    <x v="0"/>
    <x v="0"/>
    <s v="Camp"/>
    <x v="3"/>
    <x v="15"/>
    <x v="4"/>
    <m/>
    <m/>
    <s v=" "/>
    <s v=""/>
    <s v=""/>
    <s v=""/>
  </r>
  <r>
    <x v="0"/>
    <x v="0"/>
    <s v="MMR001"/>
    <s v="Myitkyina"/>
    <s v="MMR001D001"/>
    <x v="0"/>
    <s v="MMR001001"/>
    <s v="Myitkyina Town"/>
    <s v="MMR001001701"/>
    <s v="Jan Mai Kawng"/>
    <m/>
    <x v="108"/>
    <x v="108"/>
    <x v="90"/>
    <n v="25.401061110000001"/>
    <m/>
    <n v="115"/>
    <n v="562"/>
    <n v="4.8869565217391306"/>
    <x v="0"/>
    <x v="0"/>
    <s v="Camp"/>
    <x v="0"/>
    <x v="1"/>
    <x v="2"/>
    <s v="IP"/>
    <d v="2018-04-30T00:00:00"/>
    <s v="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1"/>
    <x v="0"/>
    <s v="MMR001"/>
    <s v="Mohnyin"/>
    <s v="MMR001D002"/>
    <x v="1"/>
    <s v="MMR001009"/>
    <m/>
    <m/>
    <m/>
    <m/>
    <x v="109"/>
    <x v="109"/>
    <x v="27"/>
    <m/>
    <m/>
    <n v="0"/>
    <n v="0"/>
    <s v="NA"/>
    <x v="0"/>
    <x v="0"/>
    <s v="Camp"/>
    <x v="3"/>
    <x v="15"/>
    <x v="4"/>
    <m/>
    <m/>
    <s v=" "/>
    <s v=""/>
    <s v=""/>
    <s v=""/>
  </r>
  <r>
    <x v="0"/>
    <x v="0"/>
    <s v="MMR001"/>
    <s v="Mohnyin"/>
    <s v="MMR001D002"/>
    <x v="12"/>
    <s v="MMR001007"/>
    <s v="Nam Mun"/>
    <s v="MMR001007016"/>
    <s v="Indawgyi"/>
    <m/>
    <x v="110"/>
    <x v="110"/>
    <x v="76"/>
    <n v="24.998349999999999"/>
    <m/>
    <n v="24"/>
    <n v="115"/>
    <n v="4.791666666666667"/>
    <x v="0"/>
    <x v="0"/>
    <s v="Camp"/>
    <x v="1"/>
    <x v="14"/>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Mohnyin"/>
    <s v="MMR001D002"/>
    <x v="1"/>
    <s v="MMR001009"/>
    <m/>
    <m/>
    <m/>
    <m/>
    <x v="111"/>
    <x v="111"/>
    <x v="91"/>
    <n v="25.6447"/>
    <m/>
    <n v="0"/>
    <n v="0"/>
    <s v="NA"/>
    <x v="0"/>
    <x v="0"/>
    <s v="Camp"/>
    <x v="3"/>
    <x v="15"/>
    <x v="4"/>
    <m/>
    <m/>
    <s v=" "/>
    <s v=""/>
    <s v=""/>
    <s v=""/>
  </r>
  <r>
    <x v="1"/>
    <x v="0"/>
    <s v="MMR001"/>
    <s v="Mohnyin"/>
    <s v="MMR001D002"/>
    <x v="1"/>
    <s v="MMR001009"/>
    <s v="Seik Mu"/>
    <s v="MMR001009003"/>
    <s v="Ma Mon"/>
    <n v="166790"/>
    <x v="112"/>
    <x v="112"/>
    <x v="27"/>
    <m/>
    <m/>
    <n v="0"/>
    <n v="0"/>
    <s v="NA"/>
    <x v="0"/>
    <x v="0"/>
    <s v="Camp"/>
    <x v="3"/>
    <x v="15"/>
    <x v="4"/>
    <m/>
    <m/>
    <s v=" "/>
    <s v=""/>
    <s v=""/>
    <s v=""/>
  </r>
  <r>
    <x v="1"/>
    <x v="0"/>
    <s v="MMR001"/>
    <s v="Mohnyin"/>
    <s v="MMR001D002"/>
    <x v="1"/>
    <s v="MMR001009"/>
    <m/>
    <m/>
    <m/>
    <m/>
    <x v="113"/>
    <x v="113"/>
    <x v="27"/>
    <m/>
    <m/>
    <n v="0"/>
    <n v="0"/>
    <s v="NA"/>
    <x v="0"/>
    <x v="0"/>
    <s v="Camp"/>
    <x v="3"/>
    <x v="15"/>
    <x v="4"/>
    <m/>
    <m/>
    <m/>
    <s v=""/>
    <s v=""/>
    <s v=""/>
  </r>
  <r>
    <x v="0"/>
    <x v="0"/>
    <s v="MMR001"/>
    <s v="Myitkyina"/>
    <s v="MMR001D001"/>
    <x v="3"/>
    <s v="MMR001002"/>
    <s v="Waingmaw Town"/>
    <s v="MMR001002701"/>
    <s v="No (2) Ward"/>
    <s v="MMR001002701502"/>
    <x v="114"/>
    <x v="114"/>
    <x v="92"/>
    <n v="25.3540362037037"/>
    <n v="0"/>
    <n v="117"/>
    <n v="459"/>
    <n v="3.9230769230769229"/>
    <x v="0"/>
    <x v="0"/>
    <s v="Camp"/>
    <x v="0"/>
    <x v="1"/>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1"/>
    <x v="0"/>
    <s v="MMR001"/>
    <s v="Mohnyin"/>
    <s v="MMR001D002"/>
    <x v="1"/>
    <s v="MMR001009"/>
    <s v="Haung Par"/>
    <s v="MMR001009004"/>
    <s v="Haung Par"/>
    <n v="166794"/>
    <x v="115"/>
    <x v="115"/>
    <x v="27"/>
    <m/>
    <m/>
    <n v="0"/>
    <n v="0"/>
    <s v="NA"/>
    <x v="0"/>
    <x v="0"/>
    <s v="Camp"/>
    <x v="3"/>
    <x v="15"/>
    <x v="4"/>
    <m/>
    <m/>
    <m/>
    <s v=""/>
    <s v=""/>
    <s v=""/>
  </r>
  <r>
    <x v="1"/>
    <x v="0"/>
    <s v="MMR001"/>
    <s v="Myitkyina"/>
    <s v="MMR001D001"/>
    <x v="3"/>
    <s v="MMR001002"/>
    <s v="Hpawt Dawt"/>
    <s v="MMR001002032"/>
    <s v="Mon Gar Zut"/>
    <n v="220360"/>
    <x v="116"/>
    <x v="116"/>
    <x v="93"/>
    <n v="25.106670000000001"/>
    <n v="756"/>
    <m/>
    <m/>
    <s v="NA"/>
    <x v="1"/>
    <x v="0"/>
    <s v="Camp"/>
    <x v="1"/>
    <x v="10"/>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In Baw Mai Kyin (Dawthponeyan Sub-township)"/>
    <s v="MMR001012042"/>
    <s v="Hpun Lum Yang"/>
    <n v="167223"/>
    <x v="117"/>
    <x v="117"/>
    <x v="94"/>
    <n v="24.688338999999999"/>
    <n v="314"/>
    <n v="1497"/>
    <n v="8461"/>
    <n v="5.6519706078824319"/>
    <x v="1"/>
    <x v="0"/>
    <s v="Camp"/>
    <x v="1"/>
    <x v="18"/>
    <x v="2"/>
    <s v="IP"/>
    <d v="2018-04-30T00:00:00"/>
    <s v="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yitkyina"/>
    <s v="MMR001D001"/>
    <x v="3"/>
    <s v="MMR001002"/>
    <s v="Saga Pa (Sadung Sub-township)"/>
    <m/>
    <m/>
    <m/>
    <x v="118"/>
    <x v="118"/>
    <x v="95"/>
    <n v="25.273333000000001"/>
    <m/>
    <n v="0"/>
    <n v="0"/>
    <s v="NA"/>
    <x v="1"/>
    <x v="0"/>
    <s v="Camp"/>
    <x v="3"/>
    <x v="15"/>
    <x v="4"/>
    <m/>
    <m/>
    <m/>
    <s v=""/>
    <s v=""/>
    <s v=""/>
  </r>
  <r>
    <x v="0"/>
    <x v="0"/>
    <s v="MMR001"/>
    <s v="Mohnyin"/>
    <s v="MMR001D002"/>
    <x v="1"/>
    <s v="MMR001009"/>
    <s v="Lone Khin"/>
    <s v="MMR001009001"/>
    <s v="Hmaw Si Zar"/>
    <n v="166775"/>
    <x v="119"/>
    <x v="119"/>
    <x v="96"/>
    <n v="25.647649999999999"/>
    <n v="0"/>
    <n v="36"/>
    <n v="228"/>
    <n v="6.333333333333333"/>
    <x v="0"/>
    <x v="0"/>
    <s v="Camp"/>
    <x v="1"/>
    <x v="2"/>
    <x v="0"/>
    <s v="IP"/>
    <d v="2018-04-30T00:00:00"/>
    <s v="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yitkyina"/>
    <s v="MMR001D001"/>
    <x v="3"/>
    <s v="MMR001002"/>
    <s v="Sa Ma"/>
    <s v="MMR001002031"/>
    <s v="Nar Gu"/>
    <n v="165790"/>
    <x v="120"/>
    <x v="120"/>
    <x v="97"/>
    <n v="24.980250000000002"/>
    <n v="984"/>
    <n v="418"/>
    <n v="1554"/>
    <n v="3.7177033492822966"/>
    <x v="1"/>
    <x v="0"/>
    <s v="Camp"/>
    <x v="1"/>
    <x v="0"/>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yitkyina"/>
    <s v="MMR001D001"/>
    <x v="3"/>
    <s v="MMR001002"/>
    <s v="Nam Sang Yang"/>
    <s v="MMR001002024"/>
    <s v="Nam Sang Yang"/>
    <n v="165772"/>
    <x v="121"/>
    <x v="121"/>
    <x v="98"/>
    <n v="24.747212999999999"/>
    <n v="221"/>
    <n v="0"/>
    <n v="0"/>
    <s v="NA"/>
    <x v="1"/>
    <x v="0"/>
    <s v="Camp"/>
    <x v="1"/>
    <x v="0"/>
    <x v="2"/>
    <s v="IP"/>
    <d v="2015-06-25T00:00:00"/>
    <s v="25-Jun-15 (Relocated to Hpum Lone Yan and Wai Choi)_x000a_Population Update. Source: UNHCR Cross-Line Mission Report. (July 2014)"/>
    <s v="Laiza town"/>
    <n v="1.857513522619473"/>
    <n v="1"/>
  </r>
  <r>
    <x v="1"/>
    <x v="0"/>
    <s v="MMR001"/>
    <s v="Myitkyina"/>
    <s v="MMR001D001"/>
    <x v="3"/>
    <s v="MMR001002"/>
    <s v="Nam Sang Yang"/>
    <s v="MMR001002024"/>
    <s v="Nam Sang Yang"/>
    <n v="165772"/>
    <x v="122"/>
    <x v="122"/>
    <x v="99"/>
    <n v="24.747966999999999"/>
    <m/>
    <n v="0"/>
    <n v="0"/>
    <s v="NA"/>
    <x v="0"/>
    <x v="0"/>
    <s v="Camp"/>
    <x v="3"/>
    <x v="15"/>
    <x v="4"/>
    <m/>
    <m/>
    <s v="Changed to closed"/>
    <s v=""/>
    <s v=""/>
    <s v=""/>
  </r>
  <r>
    <x v="0"/>
    <x v="0"/>
    <s v="MMR001"/>
    <s v="Myitkyina"/>
    <s v="MMR001D001"/>
    <x v="3"/>
    <s v="MMR001002"/>
    <s v="Mai Na"/>
    <s v="MMR001002006"/>
    <s v="Mai Na"/>
    <n v="165740"/>
    <x v="123"/>
    <x v="123"/>
    <x v="100"/>
    <n v="25.415667500000001"/>
    <m/>
    <n v="284"/>
    <n v="1499"/>
    <n v="5.278169014084507"/>
    <x v="0"/>
    <x v="0"/>
    <s v="Camp"/>
    <x v="0"/>
    <x v="24"/>
    <x v="2"/>
    <s v="IP"/>
    <d v="2018-04-30T00:00:00"/>
    <s v="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ohnyin"/>
    <s v="MMR001D002"/>
    <x v="1"/>
    <s v="MMR001009"/>
    <s v="Seik Mu"/>
    <s v="MMR001009003"/>
    <s v="Sai Taung (Ywar Haung)"/>
    <n v="166788"/>
    <x v="124"/>
    <x v="124"/>
    <x v="101"/>
    <n v="25.577559999999998"/>
    <n v="0"/>
    <n v="32"/>
    <n v="180"/>
    <n v="5.625"/>
    <x v="0"/>
    <x v="0"/>
    <s v="Camp"/>
    <x v="0"/>
    <x v="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
    <s v="MMR001009"/>
    <s v="Wa Ra Zut"/>
    <s v="MMR001009009"/>
    <s v="Shar Du Zut"/>
    <n v="166819"/>
    <x v="125"/>
    <x v="125"/>
    <x v="102"/>
    <n v="25.920006000000001"/>
    <m/>
    <n v="19"/>
    <n v="82"/>
    <n v="4.3157894736842106"/>
    <x v="0"/>
    <x v="0"/>
    <s v="Camp"/>
    <x v="1"/>
    <x v="25"/>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0"/>
    <s v="MMR001001"/>
    <s v="Nam Koi"/>
    <s v="MMR001001005"/>
    <s v="Nam Koi"/>
    <n v="165695"/>
    <x v="126"/>
    <x v="126"/>
    <x v="103"/>
    <n v="25.410569299999999"/>
    <m/>
    <n v="58"/>
    <n v="308"/>
    <n v="5.3103448275862073"/>
    <x v="0"/>
    <x v="0"/>
    <s v="Camp"/>
    <x v="0"/>
    <x v="5"/>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ohnyin"/>
    <s v="MMR001D002"/>
    <x v="1"/>
    <s v="MMR001009"/>
    <s v="Nam Ma Hpyit"/>
    <s v="MMR001009002"/>
    <s v="Nam Ma Hpyit"/>
    <n v="166776"/>
    <x v="127"/>
    <x v="127"/>
    <x v="104"/>
    <n v="25.613894999999999"/>
    <n v="251"/>
    <n v="48"/>
    <n v="225"/>
    <n v="4.6875"/>
    <x v="0"/>
    <x v="0"/>
    <s v="Camp"/>
    <x v="0"/>
    <x v="7"/>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Bhamo"/>
    <s v="MMR001D003"/>
    <x v="4"/>
    <s v="MMR001012"/>
    <s v="Man Pon"/>
    <s v="MMR001012001"/>
    <s v="Man Pon"/>
    <n v="167009"/>
    <x v="128"/>
    <x v="128"/>
    <x v="105"/>
    <n v="24.245100000000001"/>
    <m/>
    <n v="274"/>
    <n v="1210"/>
    <n v="4.4160583941605838"/>
    <x v="0"/>
    <x v="0"/>
    <s v="Camp"/>
    <x v="0"/>
    <x v="11"/>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6"/>
    <s v="MMR001013"/>
    <s v="Man Wein"/>
    <s v="MMR001013021"/>
    <s v="Man Wein"/>
    <n v="167405"/>
    <x v="129"/>
    <x v="129"/>
    <x v="106"/>
    <n v="23.835319999999999"/>
    <n v="795"/>
    <n v="447"/>
    <n v="2332"/>
    <n v="5.217002237136465"/>
    <x v="0"/>
    <x v="0"/>
    <s v="Camp"/>
    <x v="1"/>
    <x v="10"/>
    <x v="5"/>
    <s v="IP"/>
    <d v="2018-04-30T00:00:00"/>
    <s v="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6"/>
    <s v="MMR001013"/>
    <s v="Man Wein"/>
    <s v="MMR001013021"/>
    <s v="Man Wein"/>
    <n v="167405"/>
    <x v="130"/>
    <x v="130"/>
    <x v="107"/>
    <n v="23.833477999999999"/>
    <n v="925"/>
    <n v="156"/>
    <n v="711"/>
    <n v="4.5576923076923075"/>
    <x v="0"/>
    <x v="0"/>
    <s v="Camp"/>
    <x v="1"/>
    <x v="26"/>
    <x v="5"/>
    <s v="IP"/>
    <d v="2018-04-30T00:00:00"/>
    <s v="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Bhamo"/>
    <s v="MMR001D003"/>
    <x v="5"/>
    <s v="MMR001010"/>
    <s v="Nam Hlaing"/>
    <s v="MMR001010015"/>
    <s v="Nam Hlaing"/>
    <n v="166844"/>
    <x v="131"/>
    <x v="131"/>
    <x v="108"/>
    <n v="24.32638"/>
    <m/>
    <n v="21"/>
    <n v="112"/>
    <n v="5.333333333333333"/>
    <x v="0"/>
    <x v="0"/>
    <s v="Camp"/>
    <x v="0"/>
    <x v="10"/>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0"/>
    <x v="0"/>
    <s v="MMR001"/>
    <s v="Bhamo"/>
    <s v="MMR001D003"/>
    <x v="4"/>
    <s v="MMR001012"/>
    <s v="Ba Lawng Kawng (Lwegel Sub-township)"/>
    <s v="MMR001012030"/>
    <s v="Hpa Lum"/>
    <n v="167138"/>
    <x v="132"/>
    <x v="132"/>
    <x v="109"/>
    <n v="24.378167000000001"/>
    <n v="1149"/>
    <n v="356"/>
    <n v="1787"/>
    <n v="5.0196629213483144"/>
    <x v="1"/>
    <x v="0"/>
    <s v="Camp"/>
    <x v="1"/>
    <x v="9"/>
    <x v="5"/>
    <s v="IP"/>
    <d v="2018-04-30T00:00:00"/>
    <s v="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0"/>
    <s v="Han Te"/>
    <s v="MMR001010024"/>
    <s v="Hpan Hkar Kone"/>
    <n v="166854"/>
    <x v="133"/>
    <x v="133"/>
    <x v="110"/>
    <n v="24.222349999999999"/>
    <n v="0"/>
    <n v="147"/>
    <n v="771"/>
    <n v="5.2448979591836737"/>
    <x v="0"/>
    <x v="0"/>
    <s v="Camp"/>
    <x v="0"/>
    <x v="2"/>
    <x v="0"/>
    <s v="IP"/>
    <d v="2018-04-30T00:00:00"/>
    <s v="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6"/>
    <s v="MMR001013"/>
    <s v="Man Wein"/>
    <s v="MMR001013021"/>
    <s v="Man Wein"/>
    <n v="167405"/>
    <x v="134"/>
    <x v="134"/>
    <x v="111"/>
    <n v="23.827870999999998"/>
    <m/>
    <n v="175"/>
    <n v="834"/>
    <n v="4.765714285714286"/>
    <x v="0"/>
    <x v="0"/>
    <s v="Host Families"/>
    <x v="1"/>
    <x v="15"/>
    <x v="4"/>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6"/>
    <s v="MMR001013"/>
    <s v="La Gat Dawt"/>
    <s v="MMR001013027"/>
    <m/>
    <m/>
    <x v="135"/>
    <x v="135"/>
    <x v="112"/>
    <n v="23.9055"/>
    <n v="745"/>
    <n v="0"/>
    <n v="0"/>
    <s v="NA"/>
    <x v="1"/>
    <x v="0"/>
    <s v="Camp"/>
    <x v="2"/>
    <x v="12"/>
    <x v="5"/>
    <s v="IP"/>
    <d v="2015-08-19T00:00:00"/>
    <s v="19-Aug-15 Close. Source: CCCM Unit._x000a_Population source: KMSS-BMO"/>
    <s v="Namhkan Town"/>
    <n v="12.392289083396149"/>
    <n v="3"/>
  </r>
  <r>
    <x v="1"/>
    <x v="0"/>
    <s v="MMR001"/>
    <s v="Bhamo"/>
    <s v="MMR001D003"/>
    <x v="6"/>
    <s v="MMR001013"/>
    <s v="Man Wein"/>
    <s v="MMR001013021"/>
    <m/>
    <m/>
    <x v="136"/>
    <x v="136"/>
    <x v="27"/>
    <m/>
    <m/>
    <n v="0"/>
    <n v="0"/>
    <s v="NA"/>
    <x v="1"/>
    <x v="0"/>
    <s v="Camp"/>
    <x v="3"/>
    <x v="15"/>
    <x v="4"/>
    <s v="IP"/>
    <d v="2014-04-08T00:00:00"/>
    <s v="Closed. Move to Bum Tist Pa II and Man Wing. HH113/Pop837"/>
    <s v=""/>
    <s v=""/>
    <s v=""/>
  </r>
  <r>
    <x v="1"/>
    <x v="0"/>
    <s v="MMR001"/>
    <s v="Bhamo"/>
    <s v="MMR001D003"/>
    <x v="6"/>
    <s v="MMR001013"/>
    <s v="Nam Lin Pa"/>
    <s v="MMR001013037"/>
    <m/>
    <m/>
    <x v="137"/>
    <x v="137"/>
    <x v="113"/>
    <n v="23.75817"/>
    <m/>
    <n v="0"/>
    <n v="0"/>
    <s v="NA"/>
    <x v="1"/>
    <x v="0"/>
    <s v="Camp"/>
    <x v="3"/>
    <x v="15"/>
    <x v="4"/>
    <s v="IRRC"/>
    <m/>
    <s v="This IDP are registered in Nam Lim pa (Boarder) (MMR001CMP204). We should not calculate this number in total. "/>
    <s v=""/>
    <s v=""/>
    <s v=""/>
  </r>
  <r>
    <x v="1"/>
    <x v="0"/>
    <s v="MMR001"/>
    <s v="Myitkyina"/>
    <s v="MMR001D001"/>
    <x v="14"/>
    <s v="MMR001003"/>
    <m/>
    <m/>
    <m/>
    <m/>
    <x v="138"/>
    <x v="138"/>
    <x v="27"/>
    <m/>
    <m/>
    <n v="0"/>
    <n v="0"/>
    <s v="NA"/>
    <x v="0"/>
    <x v="0"/>
    <s v="Camp"/>
    <x v="3"/>
    <x v="15"/>
    <x v="4"/>
    <m/>
    <d v="2014-03-14T00:00:00"/>
    <s v="Close. According to RRC's info, this camp does not include in reported list."/>
    <s v=""/>
    <s v=""/>
    <s v=""/>
  </r>
  <r>
    <x v="0"/>
    <x v="0"/>
    <s v="MMR001"/>
    <s v="Bhamo"/>
    <s v="MMR001D003"/>
    <x v="8"/>
    <s v="MMR001011"/>
    <m/>
    <m/>
    <m/>
    <m/>
    <x v="139"/>
    <x v="139"/>
    <x v="27"/>
    <m/>
    <m/>
    <n v="375"/>
    <n v="1691"/>
    <n v="4.5093333333333332"/>
    <x v="0"/>
    <x v="0"/>
    <s v="Host Families"/>
    <x v="1"/>
    <x v="27"/>
    <x v="4"/>
    <s v="IRRC"/>
    <d v="2017-06-02T00:00:00"/>
    <s v="2/June/2017: Updated Accessibility NGCA to GCA. Data source: UNOCHA._x000a_Change to Host Families."/>
    <s v=""/>
    <s v=""/>
    <s v=""/>
  </r>
  <r>
    <x v="0"/>
    <x v="0"/>
    <s v="MMR001"/>
    <s v="Bhamo"/>
    <s v="MMR001D003"/>
    <x v="5"/>
    <s v="MMR001010"/>
    <s v="Aung Thar"/>
    <s v="MMR001010048"/>
    <s v="Aung Thar"/>
    <n v="166904"/>
    <x v="140"/>
    <x v="140"/>
    <x v="110"/>
    <n v="24.260466999999998"/>
    <n v="0"/>
    <n v="12"/>
    <n v="52"/>
    <n v="4.333333333333333"/>
    <x v="0"/>
    <x v="0"/>
    <s v="Camp"/>
    <x v="0"/>
    <x v="28"/>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Bhamo"/>
    <s v="MMR001D003"/>
    <x v="6"/>
    <s v="MMR001013"/>
    <s v="Maing Khaung"/>
    <s v="MMR001013007"/>
    <s v="Maing Khaung"/>
    <n v="167301"/>
    <x v="141"/>
    <x v="141"/>
    <x v="114"/>
    <n v="23.972453000000002"/>
    <n v="466"/>
    <n v="432"/>
    <n v="2149"/>
    <n v="4.9745370370370372"/>
    <x v="0"/>
    <x v="0"/>
    <s v="Camp"/>
    <x v="1"/>
    <x v="2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0"/>
    <m/>
    <m/>
    <m/>
    <m/>
    <x v="142"/>
    <x v="142"/>
    <x v="27"/>
    <m/>
    <m/>
    <n v="0"/>
    <n v="0"/>
    <s v="NA"/>
    <x v="0"/>
    <x v="0"/>
    <s v="Host Families"/>
    <x v="3"/>
    <x v="15"/>
    <x v="4"/>
    <m/>
    <d v="2014-01-27T00:00:00"/>
    <s v="Closed : Source, OCHA"/>
    <s v=""/>
    <s v=""/>
    <s v=""/>
  </r>
  <r>
    <x v="0"/>
    <x v="0"/>
    <s v="MMR001"/>
    <s v="Myitkyina"/>
    <s v="MMR001D001"/>
    <x v="0"/>
    <s v="MMR001001"/>
    <s v="Pa La Na Sa Khan Myar"/>
    <s v="MMR001001003"/>
    <s v="Pi Tauk Myaing"/>
    <n v="165685"/>
    <x v="143"/>
    <x v="143"/>
    <x v="115"/>
    <n v="25.493819999999999"/>
    <m/>
    <n v="64"/>
    <n v="362"/>
    <n v="5.65625"/>
    <x v="0"/>
    <x v="0"/>
    <s v="Camp"/>
    <x v="0"/>
    <x v="8"/>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Myitkyina"/>
    <s v="MMR001D001"/>
    <x v="2"/>
    <s v="MMR001005"/>
    <s v="Pang War Town"/>
    <s v="MMR001005702"/>
    <s v="No (2) Ward"/>
    <s v="MMR001005702502"/>
    <x v="144"/>
    <x v="144"/>
    <x v="116"/>
    <n v="25.60867"/>
    <n v="2345"/>
    <n v="57"/>
    <n v="270"/>
    <n v="4.7368421052631575"/>
    <x v="0"/>
    <x v="0"/>
    <s v="Camp"/>
    <x v="1"/>
    <x v="23"/>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0"/>
    <s v="Bhamo Town"/>
    <s v="MMR001010701"/>
    <m/>
    <m/>
    <x v="145"/>
    <x v="145"/>
    <x v="117"/>
    <n v="24.263786"/>
    <m/>
    <n v="190"/>
    <n v="928"/>
    <n v="4.8842105263157896"/>
    <x v="0"/>
    <x v="0"/>
    <s v="Host Families"/>
    <x v="0"/>
    <x v="15"/>
    <x v="4"/>
    <s v="IP"/>
    <d v="2017-12-21T00:00:00"/>
    <s v="7/April/2017: Population update. Data source: WFP_x000a_9/Nov/15. Population update. Data source: WFP_x000a_Update IDP increased in Oct and Nov 2013 (UNHCR - Bhamo)"/>
    <s v="Bhamo Town"/>
    <n v="1.1354007641426449"/>
    <n v="1"/>
  </r>
  <r>
    <x v="0"/>
    <x v="0"/>
    <s v="MMR001"/>
    <s v="Myitkyina"/>
    <s v="MMR001D001"/>
    <x v="3"/>
    <s v="MMR001002"/>
    <s v="Waingmaw Town"/>
    <s v="MMR001002701"/>
    <s v="No (3) Ward"/>
    <s v="MMR001002701503"/>
    <x v="146"/>
    <x v="146"/>
    <x v="118"/>
    <n v="25.345918166666699"/>
    <m/>
    <n v="29"/>
    <n v="160"/>
    <n v="5.5172413793103452"/>
    <x v="0"/>
    <x v="0"/>
    <s v="Camp"/>
    <x v="0"/>
    <x v="0"/>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3"/>
    <s v="MMR001002"/>
    <s v="Saga Pa"/>
    <s v="MMR001002040"/>
    <s v="Saga Pa"/>
    <n v="165895"/>
    <x v="147"/>
    <x v="147"/>
    <x v="119"/>
    <n v="25.265277999999999"/>
    <n v="2764"/>
    <n v="88"/>
    <n v="558"/>
    <n v="6.3409090909090908"/>
    <x v="1"/>
    <x v="0"/>
    <s v="Camp"/>
    <x v="2"/>
    <x v="10"/>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ohnyin"/>
    <s v="MMR001D002"/>
    <x v="1"/>
    <s v="MMR001009"/>
    <s v="Nam Ma Hpyit"/>
    <s v="MMR001009002"/>
    <s v="Nam Ma Hpyit"/>
    <n v="166776"/>
    <x v="148"/>
    <x v="148"/>
    <x v="77"/>
    <n v="25.611160000000002"/>
    <m/>
    <n v="104"/>
    <n v="510"/>
    <n v="4.9038461538461542"/>
    <x v="0"/>
    <x v="0"/>
    <s v="Camp"/>
    <x v="0"/>
    <x v="12"/>
    <x v="0"/>
    <s v="IP"/>
    <d v="2018-04-30T00:00:00"/>
    <s v="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
    <s v="MMR001009"/>
    <s v="Lone Khin"/>
    <s v="MMR001009001"/>
    <s v="Ku Day"/>
    <n v="216877"/>
    <x v="149"/>
    <x v="149"/>
    <x v="120"/>
    <n v="25.655989999999999"/>
    <m/>
    <m/>
    <m/>
    <s v="NA"/>
    <x v="0"/>
    <x v="0"/>
    <s v="Camp"/>
    <x v="3"/>
    <x v="15"/>
    <x v="4"/>
    <m/>
    <m/>
    <s v=" "/>
    <s v=""/>
    <s v=""/>
    <s v=""/>
  </r>
  <r>
    <x v="1"/>
    <x v="0"/>
    <s v="MMR001"/>
    <s v="Mohnyin"/>
    <s v="MMR001D002"/>
    <x v="1"/>
    <s v="MMR001009"/>
    <s v="Lone Khin"/>
    <s v="MMR001009001"/>
    <s v="Lone Khin"/>
    <n v="166773"/>
    <x v="150"/>
    <x v="150"/>
    <x v="121"/>
    <n v="25.658650000000002"/>
    <m/>
    <n v="0"/>
    <n v="0"/>
    <s v="NA"/>
    <x v="0"/>
    <x v="0"/>
    <s v="Camp"/>
    <x v="3"/>
    <x v="15"/>
    <x v="4"/>
    <m/>
    <m/>
    <s v=" "/>
    <s v=""/>
    <s v=""/>
    <s v=""/>
  </r>
  <r>
    <x v="1"/>
    <x v="0"/>
    <s v="MMR001"/>
    <s v="Mohnyin"/>
    <s v="MMR001D002"/>
    <x v="1"/>
    <s v="MMR001009"/>
    <s v="Lone Khin"/>
    <s v="MMR001009001"/>
    <s v="Ma Sut Yang"/>
    <n v="216880"/>
    <x v="151"/>
    <x v="151"/>
    <x v="122"/>
    <n v="25.668469999999999"/>
    <n v="256"/>
    <m/>
    <m/>
    <s v="NA"/>
    <x v="0"/>
    <x v="0"/>
    <s v="Camp"/>
    <x v="1"/>
    <x v="2"/>
    <x v="4"/>
    <s v="RRD"/>
    <d v="2014-05-15T00:00:00"/>
    <s v="Only one HH left, included in Lon Khin Baptist distribution list."/>
    <s v=""/>
    <s v=""/>
    <s v=""/>
  </r>
  <r>
    <x v="1"/>
    <x v="0"/>
    <s v="MMR001"/>
    <s v="Mohnyin"/>
    <s v="MMR001D002"/>
    <x v="1"/>
    <s v="MMR001009"/>
    <s v="Lone Khin"/>
    <s v="MMR001009001"/>
    <s v="Hmaw Si Zar"/>
    <n v="166775"/>
    <x v="152"/>
    <x v="152"/>
    <x v="27"/>
    <m/>
    <m/>
    <m/>
    <m/>
    <s v="NA"/>
    <x v="0"/>
    <x v="0"/>
    <s v="Camp"/>
    <x v="3"/>
    <x v="15"/>
    <x v="4"/>
    <m/>
    <m/>
    <s v=" "/>
    <s v=""/>
    <s v=""/>
    <s v=""/>
  </r>
  <r>
    <x v="0"/>
    <x v="0"/>
    <s v="MMR001"/>
    <s v="Myitkyina"/>
    <s v="MMR001D001"/>
    <x v="3"/>
    <s v="MMR001002"/>
    <s v="Waingmaw Town"/>
    <s v="MMR001002701"/>
    <s v="No (4) Ward"/>
    <s v="MMR001002701504"/>
    <x v="153"/>
    <x v="153"/>
    <x v="123"/>
    <n v="25.350809000000002"/>
    <n v="0"/>
    <n v="92"/>
    <n v="499"/>
    <n v="5.4239130434782608"/>
    <x v="0"/>
    <x v="0"/>
    <s v="Camp"/>
    <x v="0"/>
    <x v="14"/>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1"/>
    <x v="0"/>
    <s v="MMR001"/>
    <s v="Mohnyin"/>
    <s v="MMR001D002"/>
    <x v="1"/>
    <s v="MMR001009"/>
    <s v="Hpakan Town"/>
    <s v="MMR001009701"/>
    <s v="Ma Shi Ka Htaung Ward"/>
    <s v="MMR001009701505"/>
    <x v="154"/>
    <x v="154"/>
    <x v="27"/>
    <m/>
    <m/>
    <m/>
    <m/>
    <s v="NA"/>
    <x v="0"/>
    <x v="0"/>
    <s v="Camp"/>
    <x v="3"/>
    <x v="15"/>
    <x v="4"/>
    <m/>
    <m/>
    <s v=" "/>
    <s v=""/>
    <s v=""/>
    <s v=""/>
  </r>
  <r>
    <x v="0"/>
    <x v="0"/>
    <s v="MMR001"/>
    <s v="Mohnyin"/>
    <s v="MMR001D002"/>
    <x v="1"/>
    <s v="MMR001009"/>
    <s v="Seik Mu"/>
    <s v="MMR001009003"/>
    <s v="Maw Shan"/>
    <n v="166785"/>
    <x v="155"/>
    <x v="155"/>
    <x v="124"/>
    <n v="25.56551"/>
    <n v="259"/>
    <n v="10"/>
    <n v="39"/>
    <n v="3.9"/>
    <x v="0"/>
    <x v="0"/>
    <s v="Camp like setting"/>
    <x v="1"/>
    <x v="2"/>
    <x v="3"/>
    <s v="IP"/>
    <d v="2018-03-27T00:00:00"/>
    <s v="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
    <s v="MMR001009"/>
    <s v="Lone Khin"/>
    <s v="MMR001009001"/>
    <s v="Lone Khin"/>
    <n v="166773"/>
    <x v="156"/>
    <x v="156"/>
    <x v="125"/>
    <n v="25.658670000000001"/>
    <n v="0"/>
    <n v="0"/>
    <n v="0"/>
    <s v="NA"/>
    <x v="0"/>
    <x v="0"/>
    <s v="Camp"/>
    <x v="1"/>
    <x v="2"/>
    <x v="4"/>
    <s v="RRD"/>
    <d v="2014-05-15T00:00:00"/>
    <s v="Closed."/>
    <s v=""/>
    <s v=""/>
    <s v=""/>
  </r>
  <r>
    <x v="1"/>
    <x v="0"/>
    <s v="MMR001"/>
    <s v="Mohnyin"/>
    <s v="MMR001D002"/>
    <x v="1"/>
    <s v="MMR001009"/>
    <s v="Lone Khin"/>
    <s v="MMR001009001"/>
    <s v="Lone Khin"/>
    <n v="166773"/>
    <x v="157"/>
    <x v="157"/>
    <x v="126"/>
    <n v="25.651440000000001"/>
    <m/>
    <n v="0"/>
    <n v="0"/>
    <s v="NA"/>
    <x v="0"/>
    <x v="0"/>
    <s v="Camp"/>
    <x v="3"/>
    <x v="15"/>
    <x v="4"/>
    <m/>
    <m/>
    <s v=" "/>
    <s v=""/>
    <s v=""/>
    <s v=""/>
  </r>
  <r>
    <x v="1"/>
    <x v="0"/>
    <s v="MMR001"/>
    <s v="Mohnyin"/>
    <s v="MMR001D002"/>
    <x v="1"/>
    <s v="MMR001009"/>
    <s v="Lone Khin"/>
    <s v="MMR001009001"/>
    <s v="Lone Khin"/>
    <n v="166773"/>
    <x v="158"/>
    <x v="158"/>
    <x v="127"/>
    <n v="25.656130000000001"/>
    <n v="0"/>
    <m/>
    <m/>
    <s v="NA"/>
    <x v="0"/>
    <x v="0"/>
    <s v="Camp"/>
    <x v="1"/>
    <x v="2"/>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
    <s v="MMR001009"/>
    <s v="Seik Mu"/>
    <s v="MMR001009003"/>
    <s v="Seik Mu"/>
    <n v="166783"/>
    <x v="159"/>
    <x v="159"/>
    <x v="27"/>
    <m/>
    <m/>
    <m/>
    <m/>
    <s v="NA"/>
    <x v="0"/>
    <x v="0"/>
    <s v="Camp"/>
    <x v="1"/>
    <x v="15"/>
    <x v="4"/>
    <s v="IP"/>
    <d v="2014-05-15T00:00:00"/>
    <s v="Closed."/>
    <s v=""/>
    <s v=""/>
    <s v=""/>
  </r>
  <r>
    <x v="0"/>
    <x v="0"/>
    <s v="MMR001"/>
    <s v="Myitkyina"/>
    <s v="MMR001D001"/>
    <x v="0"/>
    <s v="MMR001001"/>
    <s v="Myitkyina Town"/>
    <s v="MMR001001701"/>
    <s v="Si Tar Pu Ward"/>
    <s v="MMR001001701521"/>
    <x v="160"/>
    <x v="160"/>
    <x v="128"/>
    <n v="25.423817"/>
    <n v="0"/>
    <n v="23"/>
    <n v="114"/>
    <n v="4.9565217391304346"/>
    <x v="0"/>
    <x v="0"/>
    <s v="Camp"/>
    <x v="0"/>
    <x v="5"/>
    <x v="1"/>
    <s v="IP"/>
    <d v="2018-04-30T00:00:00"/>
    <s v="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Bhamo"/>
    <s v="MMR001D003"/>
    <x v="5"/>
    <s v="MMR001010"/>
    <s v="Bhamo Town"/>
    <s v="MMR001010701"/>
    <s v="Shwe Kyee Nar Ward"/>
    <s v="MMR001010701513"/>
    <x v="161"/>
    <x v="161"/>
    <x v="129"/>
    <n v="24.29138"/>
    <n v="0"/>
    <n v="20"/>
    <n v="95"/>
    <n v="4.75"/>
    <x v="0"/>
    <x v="0"/>
    <s v="Camp"/>
    <x v="0"/>
    <x v="11"/>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1"/>
    <x v="0"/>
    <s v="MMR001"/>
    <s v="Mohnyin"/>
    <s v="MMR001D002"/>
    <x v="1"/>
    <s v="MMR001009"/>
    <s v="Seik Mu"/>
    <s v="MMR001009003"/>
    <s v="Maw Shan"/>
    <n v="166785"/>
    <x v="162"/>
    <x v="162"/>
    <x v="130"/>
    <n v="25.668399999999998"/>
    <n v="0"/>
    <n v="8"/>
    <n v="32"/>
    <n v="4"/>
    <x v="0"/>
    <x v="0"/>
    <s v="Camp"/>
    <x v="1"/>
    <x v="2"/>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6"/>
    <s v="MMR001013"/>
    <s v="Man Wein"/>
    <s v="MMR001013021"/>
    <s v="Man Wein"/>
    <n v="167405"/>
    <x v="163"/>
    <x v="163"/>
    <x v="131"/>
    <n v="23.829599000000002"/>
    <m/>
    <n v="154"/>
    <n v="670"/>
    <n v="4.3506493506493502"/>
    <x v="0"/>
    <x v="0"/>
    <s v="Camp"/>
    <x v="1"/>
    <x v="29"/>
    <x v="0"/>
    <s v="IP"/>
    <d v="2018-04-30T00:00:00"/>
    <s v="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
    <s v="MMR001009"/>
    <s v="Seik Mu"/>
    <s v="MMR001009003"/>
    <s v="Seik Mu"/>
    <n v="166783"/>
    <x v="164"/>
    <x v="164"/>
    <x v="132"/>
    <n v="25.57921"/>
    <n v="0"/>
    <m/>
    <m/>
    <s v="NA"/>
    <x v="0"/>
    <x v="0"/>
    <s v="Camp"/>
    <x v="1"/>
    <x v="2"/>
    <x v="2"/>
    <s v="RRD"/>
    <d v="2014-04-07T00:00:00"/>
    <s v="Move to Nant Ma Hpit Catholic Church."/>
    <s v=""/>
    <s v=""/>
    <s v=""/>
  </r>
  <r>
    <x v="1"/>
    <x v="0"/>
    <s v="MMR001"/>
    <s v="Mohnyin"/>
    <s v="MMR001D002"/>
    <x v="1"/>
    <s v="MMR001009"/>
    <s v="Seik Mu"/>
    <s v="MMR001009003"/>
    <s v="Seik Mu"/>
    <n v="166783"/>
    <x v="165"/>
    <x v="165"/>
    <x v="27"/>
    <m/>
    <m/>
    <m/>
    <m/>
    <s v="NA"/>
    <x v="0"/>
    <x v="0"/>
    <s v="Camp"/>
    <x v="3"/>
    <x v="15"/>
    <x v="4"/>
    <s v="RRD"/>
    <d v="2014-01-24T00:00:00"/>
    <s v="UNOCHA"/>
    <s v=""/>
    <s v=""/>
    <s v=""/>
  </r>
  <r>
    <x v="1"/>
    <x v="0"/>
    <s v="MMR001"/>
    <s v="Mohnyin"/>
    <s v="MMR001D002"/>
    <x v="1"/>
    <s v="MMR001009"/>
    <s v="Nawng Mi"/>
    <s v="MMR001009008"/>
    <s v="Nawng Myi"/>
    <n v="166817"/>
    <x v="166"/>
    <x v="166"/>
    <x v="133"/>
    <n v="25.728653000000001"/>
    <m/>
    <m/>
    <m/>
    <s v="NA"/>
    <x v="0"/>
    <x v="0"/>
    <s v="Camp"/>
    <x v="1"/>
    <x v="15"/>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
    <s v="MMR001009"/>
    <s v="Hpakan Town"/>
    <s v="MMR001009701"/>
    <s v="Maw Wam Ward"/>
    <s v="MMR001009701501"/>
    <x v="167"/>
    <x v="167"/>
    <x v="27"/>
    <m/>
    <m/>
    <n v="0"/>
    <n v="0"/>
    <s v="NA"/>
    <x v="0"/>
    <x v="0"/>
    <s v="Camp"/>
    <x v="3"/>
    <x v="15"/>
    <x v="4"/>
    <m/>
    <m/>
    <m/>
    <s v=""/>
    <s v=""/>
    <s v=""/>
  </r>
  <r>
    <x v="0"/>
    <x v="0"/>
    <s v="MMR001"/>
    <s v="Myitkyina"/>
    <s v="MMR001D001"/>
    <x v="0"/>
    <s v="MMR001001"/>
    <s v="Myitkyina Town"/>
    <s v="MMR001001701"/>
    <s v="Tat Kone Ward"/>
    <s v="MMR001001701520"/>
    <x v="168"/>
    <x v="168"/>
    <x v="134"/>
    <n v="25.423209"/>
    <n v="0"/>
    <n v="54"/>
    <n v="267"/>
    <n v="4.9444444444444446"/>
    <x v="0"/>
    <x v="0"/>
    <s v="Camp"/>
    <x v="0"/>
    <x v="9"/>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Myitkyina Town"/>
    <s v="MMR001001701"/>
    <s v="Tat Kone Ward"/>
    <s v="MMR001001701520"/>
    <x v="169"/>
    <x v="169"/>
    <x v="135"/>
    <n v="25.417733999999999"/>
    <n v="0"/>
    <n v="7"/>
    <n v="31"/>
    <n v="4.4285714285714288"/>
    <x v="0"/>
    <x v="0"/>
    <s v="Camp like setting"/>
    <x v="0"/>
    <x v="4"/>
    <x v="3"/>
    <s v="IP"/>
    <d v="2018-04-30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3"/>
    <s v="MMR001002"/>
    <s v="Waingmaw Town"/>
    <s v="MMR001002701"/>
    <s v="No (4) Ward"/>
    <s v="MMR001002701504"/>
    <x v="170"/>
    <x v="170"/>
    <x v="136"/>
    <n v="25.333683333333301"/>
    <m/>
    <n v="46"/>
    <n v="192"/>
    <n v="4.1739130434782608"/>
    <x v="0"/>
    <x v="0"/>
    <s v="Camp"/>
    <x v="0"/>
    <x v="10"/>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Puta-O"/>
    <s v="MMR001D004"/>
    <x v="11"/>
    <s v="MMR001014"/>
    <s v="Puta-O Town"/>
    <s v="MMR001014701"/>
    <s v="Lone Sut Ward"/>
    <s v="MMR001014701510"/>
    <x v="171"/>
    <x v="171"/>
    <x v="137"/>
    <n v="27.337499999999999"/>
    <m/>
    <n v="61"/>
    <n v="281"/>
    <n v="4.6065573770491799"/>
    <x v="0"/>
    <x v="0"/>
    <s v="Camp"/>
    <x v="0"/>
    <x v="3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0"/>
    <x v="0"/>
    <s v="MMR001"/>
    <s v="Mohnyin"/>
    <s v="MMR001D002"/>
    <x v="9"/>
    <s v="MMR001008"/>
    <s v="Sar Hmaw"/>
    <s v="MMR001008018"/>
    <s v="Sar Hmaw"/>
    <n v="166724"/>
    <x v="172"/>
    <x v="172"/>
    <x v="138"/>
    <n v="25.225000000000001"/>
    <m/>
    <n v="27"/>
    <n v="135"/>
    <n v="5"/>
    <x v="0"/>
    <x v="0"/>
    <s v="Camp"/>
    <x v="1"/>
    <x v="31"/>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0"/>
    <x v="0"/>
    <s v="MMR001"/>
    <s v="Puta-O"/>
    <s v="MMR001D004"/>
    <x v="15"/>
    <s v="MMR001015"/>
    <m/>
    <m/>
    <m/>
    <m/>
    <x v="173"/>
    <x v="173"/>
    <x v="139"/>
    <n v="26.569633"/>
    <m/>
    <n v="126"/>
    <n v="779"/>
    <n v="6.1825396825396828"/>
    <x v="1"/>
    <x v="0"/>
    <s v="Camp"/>
    <x v="1"/>
    <x v="3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1"/>
    <s v="MMR015"/>
    <s v="Muse"/>
    <s v="MMR015D002"/>
    <x v="16"/>
    <s v="MMR015011"/>
    <s v="Kar Lai Kone Hsar"/>
    <s v="MMR015011005"/>
    <s v="Kar Lai"/>
    <n v="208557"/>
    <x v="174"/>
    <x v="174"/>
    <x v="140"/>
    <n v="23.4008"/>
    <n v="0"/>
    <m/>
    <m/>
    <s v="NA"/>
    <x v="0"/>
    <x v="0"/>
    <s v="Camp"/>
    <x v="1"/>
    <x v="2"/>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0"/>
    <s v="MMR001"/>
    <s v="Myitkyina"/>
    <s v="MMR001D001"/>
    <x v="3"/>
    <s v="MMR001002"/>
    <s v="Waingmaw Town"/>
    <s v="MMR001002701"/>
    <s v="No (3) Ward"/>
    <s v="MMR001002701503"/>
    <x v="175"/>
    <x v="175"/>
    <x v="141"/>
    <n v="25.351250396825399"/>
    <n v="476"/>
    <n v="69"/>
    <n v="290"/>
    <n v="4.2028985507246377"/>
    <x v="0"/>
    <x v="0"/>
    <s v="Camp"/>
    <x v="0"/>
    <x v="10"/>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Bhamo"/>
    <s v="MMR001D003"/>
    <x v="6"/>
    <s v="MMR001013"/>
    <s v="Mansi Town"/>
    <s v="MMR001013701"/>
    <m/>
    <m/>
    <x v="145"/>
    <x v="176"/>
    <x v="142"/>
    <n v="24.118618999999999"/>
    <m/>
    <n v="80"/>
    <n v="290"/>
    <n v="3.625"/>
    <x v="0"/>
    <x v="0"/>
    <s v="Host Families"/>
    <x v="0"/>
    <x v="15"/>
    <x v="4"/>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0"/>
    <x v="0"/>
    <s v="MMR001"/>
    <s v="Puta-O"/>
    <s v="MMR001D004"/>
    <x v="15"/>
    <s v="MMR001015"/>
    <m/>
    <m/>
    <m/>
    <m/>
    <x v="176"/>
    <x v="177"/>
    <x v="143"/>
    <n v="26.548506"/>
    <m/>
    <n v="67"/>
    <n v="332"/>
    <n v="4.955223880597015"/>
    <x v="1"/>
    <x v="0"/>
    <s v="Camp"/>
    <x v="1"/>
    <x v="3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Bhamo"/>
    <s v="MMR001D003"/>
    <x v="4"/>
    <s v="MMR001012"/>
    <s v="Momauk Town"/>
    <s v="MMR001012701"/>
    <m/>
    <m/>
    <x v="145"/>
    <x v="178"/>
    <x v="144"/>
    <n v="24.251232000000002"/>
    <m/>
    <n v="223"/>
    <n v="1067"/>
    <n v="4.7847533632286998"/>
    <x v="0"/>
    <x v="0"/>
    <s v="Host Families"/>
    <x v="0"/>
    <x v="15"/>
    <x v="4"/>
    <s v="RRD"/>
    <d v="2017-12-21T00:00:00"/>
    <s v="21/Dec/2017: Population update. Data source: WFP_x000a_7/April/2017: Population update. Data source: WFP_x000a_9/Nov/15. Population update. Data source: WFP"/>
    <s v="Momauk Town"/>
    <n v="0.60629049139006752"/>
    <n v="1"/>
  </r>
  <r>
    <x v="0"/>
    <x v="1"/>
    <s v="MMR015"/>
    <s v="Muse"/>
    <s v="MMR015D002"/>
    <x v="16"/>
    <s v="MMR015011"/>
    <s v="Kutkai Town"/>
    <s v="MMR015011701"/>
    <s v="No (3) Ward"/>
    <s v="MMR015011701503"/>
    <x v="177"/>
    <x v="179"/>
    <x v="145"/>
    <n v="23.460349999999998"/>
    <n v="4430"/>
    <n v="29"/>
    <n v="138"/>
    <n v="4.7586206896551726"/>
    <x v="0"/>
    <x v="0"/>
    <s v="Camp"/>
    <x v="0"/>
    <x v="8"/>
    <x v="6"/>
    <s v="IP"/>
    <d v="2018-04-30T00:00:00"/>
    <s v="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1"/>
    <x v="0"/>
    <s v="MMR001"/>
    <s v="Bhamo"/>
    <s v="MMR001D003"/>
    <x v="4"/>
    <s v="MMR001012"/>
    <s v="Man Ping (Ping) (Dawthponeyan Sub-township)"/>
    <s v="MMR001012052"/>
    <s v="Man Ping"/>
    <n v="167270"/>
    <x v="178"/>
    <x v="180"/>
    <x v="146"/>
    <n v="24.759551999999999"/>
    <m/>
    <m/>
    <m/>
    <s v="NA"/>
    <x v="0"/>
    <x v="0"/>
    <s v="Host Families"/>
    <x v="1"/>
    <x v="15"/>
    <x v="4"/>
    <s v="RRD"/>
    <d v="2017-07-11T00:00:00"/>
    <s v="11/Jul/2017: Change status to Close as no update available_x000a_Geo-Info, HH/Pop data was updated from Google Earth."/>
    <s v="Dawthponeyan  Town"/>
    <n v="24.701686141136339"/>
    <n v="5"/>
  </r>
  <r>
    <x v="1"/>
    <x v="0"/>
    <s v="MMR001"/>
    <s v="Bhamo"/>
    <s v="MMR001D003"/>
    <x v="8"/>
    <s v="MMR001011"/>
    <s v="Shwegu Town"/>
    <s v="MMR001011701"/>
    <m/>
    <m/>
    <x v="145"/>
    <x v="181"/>
    <x v="147"/>
    <n v="24.224830999999998"/>
    <m/>
    <m/>
    <m/>
    <s v="NA"/>
    <x v="0"/>
    <x v="0"/>
    <s v="Host Families"/>
    <x v="0"/>
    <x v="15"/>
    <x v="4"/>
    <s v="RRD"/>
    <d v="2017-07-11T00:00:00"/>
    <s v="11/Jul/2017: Change status to Close as no update available."/>
    <s v="Shwegu Town"/>
    <n v="2.3794331620169178"/>
    <n v="1"/>
  </r>
  <r>
    <x v="0"/>
    <x v="0"/>
    <s v="MMR001"/>
    <s v="Mohnyin"/>
    <s v="MMR001D002"/>
    <x v="1"/>
    <s v="MMR001009"/>
    <s v="Wa Ra Zut"/>
    <s v="MMR001009009"/>
    <s v="Shar Du Zut"/>
    <n v="166819"/>
    <x v="179"/>
    <x v="182"/>
    <x v="102"/>
    <n v="25.920006000000001"/>
    <m/>
    <n v="29"/>
    <n v="118"/>
    <n v="4.068965517241379"/>
    <x v="0"/>
    <x v="0"/>
    <s v="Camp"/>
    <x v="1"/>
    <x v="25"/>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Bhamo"/>
    <s v="MMR001D003"/>
    <x v="4"/>
    <s v="MMR001012"/>
    <s v="Myo Thit"/>
    <s v="MMR001012013"/>
    <s v="Khon Sint"/>
    <n v="167060"/>
    <x v="180"/>
    <x v="183"/>
    <x v="148"/>
    <n v="24.377054000000001"/>
    <m/>
    <n v="3"/>
    <n v="18"/>
    <n v="6"/>
    <x v="0"/>
    <x v="0"/>
    <s v="Host Families"/>
    <x v="1"/>
    <x v="15"/>
    <x v="4"/>
    <s v="RRD"/>
    <d v="2017-08-03T00:00:00"/>
    <s v="WFP"/>
    <s v="Momauk Town"/>
    <n v="13.446032768350749"/>
    <n v="3"/>
  </r>
  <r>
    <x v="1"/>
    <x v="0"/>
    <s v="MMR001"/>
    <s v="Mohnyin"/>
    <s v="MMR001D002"/>
    <x v="1"/>
    <s v="MMR001009"/>
    <s v="Hpakan Town"/>
    <s v="MMR001009701"/>
    <s v="Maw Wam Ward"/>
    <s v="MMR001009701501"/>
    <x v="181"/>
    <x v="184"/>
    <x v="149"/>
    <n v="25.615006000000001"/>
    <m/>
    <n v="0"/>
    <n v="0"/>
    <s v="NA"/>
    <x v="0"/>
    <x v="0"/>
    <s v="Camp"/>
    <x v="3"/>
    <x v="15"/>
    <x v="4"/>
    <m/>
    <m/>
    <s v=" "/>
    <s v=""/>
    <s v=""/>
    <s v=""/>
  </r>
  <r>
    <x v="1"/>
    <x v="0"/>
    <s v="MMR001"/>
    <s v="Bhamo"/>
    <s v="MMR001D003"/>
    <x v="6"/>
    <s v="MMR001013"/>
    <s v="Man Mawn"/>
    <s v="MMR001013022"/>
    <m/>
    <m/>
    <x v="182"/>
    <x v="185"/>
    <x v="150"/>
    <n v="23.867713999999999"/>
    <n v="755"/>
    <n v="0"/>
    <n v="0"/>
    <s v="NA"/>
    <x v="1"/>
    <x v="0"/>
    <s v="Camp"/>
    <x v="1"/>
    <x v="33"/>
    <x v="5"/>
    <s v="IP"/>
    <d v="2014-06-21T00:00:00"/>
    <s v="Closed. Source: Save The Children"/>
    <s v=""/>
    <s v=""/>
    <s v=""/>
  </r>
  <r>
    <x v="1"/>
    <x v="0"/>
    <s v="MMR001"/>
    <s v="Bhamo"/>
    <s v="MMR001D003"/>
    <x v="6"/>
    <s v="MMR001013"/>
    <s v="Mung Ding Pa"/>
    <s v="MMR001013038"/>
    <m/>
    <m/>
    <x v="183"/>
    <x v="186"/>
    <x v="151"/>
    <n v="24.20645"/>
    <n v="781.8"/>
    <n v="0"/>
    <n v="0"/>
    <s v="NA"/>
    <x v="1"/>
    <x v="0"/>
    <s v="Camp"/>
    <x v="1"/>
    <x v="23"/>
    <x v="4"/>
    <s v="IP"/>
    <d v="2014-01-22T00:00:00"/>
    <s v="Closed: Source UNHCR-Bhamo"/>
    <s v=""/>
    <s v=""/>
    <s v=""/>
  </r>
  <r>
    <x v="1"/>
    <x v="1"/>
    <s v="MMR015"/>
    <s v="Muse"/>
    <s v="MMR015D002"/>
    <x v="16"/>
    <s v="MMR015011"/>
    <s v="Long Waun Nam Rein (Tarmoenye Sub-township)"/>
    <s v="MMR015011050"/>
    <s v="Mai Pong (Shu See)"/>
    <m/>
    <x v="184"/>
    <x v="187"/>
    <x v="152"/>
    <n v="23.391741"/>
    <n v="0"/>
    <n v="0"/>
    <n v="0"/>
    <s v="NA"/>
    <x v="0"/>
    <x v="0"/>
    <s v="Camp"/>
    <x v="1"/>
    <x v="28"/>
    <x v="4"/>
    <s v="IP"/>
    <d v="2014-03-03T00:00:00"/>
    <s v="Close. Same with Kutkai Down Town RC. Source UNHCR Bhamo"/>
    <s v=""/>
    <s v=""/>
    <s v=""/>
  </r>
  <r>
    <x v="0"/>
    <x v="0"/>
    <s v="MMR001"/>
    <s v="Myitkyina"/>
    <s v="MMR001D001"/>
    <x v="3"/>
    <s v="MMR001002"/>
    <s v="Sa Ma"/>
    <s v="MMR001002031"/>
    <s v="Par Jaung"/>
    <n v="165792"/>
    <x v="185"/>
    <x v="188"/>
    <x v="27"/>
    <m/>
    <m/>
    <n v="413"/>
    <n v="1913"/>
    <n v="4.6319612590799029"/>
    <x v="1"/>
    <x v="0"/>
    <s v="Camp"/>
    <x v="1"/>
    <x v="34"/>
    <x v="0"/>
    <s v="IP"/>
    <d v="2018-04-30T00:00:00"/>
    <s v="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
    <s v=""/>
    <s v=""/>
  </r>
  <r>
    <x v="0"/>
    <x v="1"/>
    <s v="MMR015"/>
    <s v="Muse"/>
    <s v="MMR015D002"/>
    <x v="13"/>
    <s v="MMR015009"/>
    <s v="Hpai Kawng"/>
    <s v="MMR015009031"/>
    <s v="Hpai Kawng"/>
    <n v="208156"/>
    <x v="186"/>
    <x v="189"/>
    <x v="153"/>
    <n v="24.08738"/>
    <m/>
    <n v="32"/>
    <n v="187"/>
    <n v="5.84375"/>
    <x v="0"/>
    <x v="0"/>
    <s v="Host Families"/>
    <x v="1"/>
    <x v="15"/>
    <x v="4"/>
    <s v="IRRC"/>
    <d v="2017-06-02T00:00:00"/>
    <s v="2/June/2017: Population updated. Data source: WASH Cluster (dated 7/April_outlook mail)_x000a_Change to Host Families."/>
    <s v="Pang Hseng (Kyu Koke) Town"/>
    <n v="5.5919136174199959"/>
    <n v="2"/>
  </r>
  <r>
    <x v="1"/>
    <x v="0"/>
    <s v="MMR001"/>
    <s v="Bhamo"/>
    <s v="MMR001D003"/>
    <x v="6"/>
    <s v="MMR001013"/>
    <s v="Nam Lin Pa"/>
    <s v="MMR001013037"/>
    <m/>
    <m/>
    <x v="187"/>
    <x v="190"/>
    <x v="113"/>
    <n v="23.75817"/>
    <n v="781.8"/>
    <n v="0"/>
    <n v="0"/>
    <s v="NA"/>
    <x v="1"/>
    <x v="0"/>
    <s v="Camp"/>
    <x v="1"/>
    <x v="23"/>
    <x v="4"/>
    <s v="IP"/>
    <m/>
    <s v="Closed: Source UNHCR-Bhamo"/>
    <s v=""/>
    <s v=""/>
    <s v=""/>
  </r>
  <r>
    <x v="0"/>
    <x v="0"/>
    <s v="MMR001"/>
    <s v="Puta-O"/>
    <s v="MMR001D004"/>
    <x v="15"/>
    <s v="MMR001015"/>
    <s v="Sumprabum Town"/>
    <s v="MMR001015701"/>
    <m/>
    <m/>
    <x v="188"/>
    <x v="191"/>
    <x v="154"/>
    <n v="26.541930000000001"/>
    <n v="1025"/>
    <n v="5"/>
    <n v="32"/>
    <n v="6.4"/>
    <x v="0"/>
    <x v="0"/>
    <s v="Camp like setting"/>
    <x v="1"/>
    <x v="15"/>
    <x v="4"/>
    <s v="RRD"/>
    <d v="2017-07-11T00:00:00"/>
    <m/>
    <s v="Sumprabum Town"/>
    <n v="0.23004407510846425"/>
    <n v="1"/>
  </r>
  <r>
    <x v="0"/>
    <x v="0"/>
    <s v="MMR001"/>
    <s v="Myitkyina"/>
    <s v="MMR001D001"/>
    <x v="3"/>
    <s v="MMR001002"/>
    <s v="Nam Sang Yang"/>
    <s v="MMR001002024"/>
    <m/>
    <m/>
    <x v="189"/>
    <x v="192"/>
    <x v="155"/>
    <n v="24.752471"/>
    <m/>
    <m/>
    <n v="872"/>
    <s v="NA"/>
    <x v="1"/>
    <x v="0"/>
    <s v="Boarding School"/>
    <x v="0"/>
    <x v="15"/>
    <x v="4"/>
    <s v="IRRC"/>
    <d v="2017-01-01T00:00:00"/>
    <s v="In 2014, this school is no longer accepting the lower grade students."/>
    <s v="Laiza town"/>
    <n v="2.3307568207764655"/>
    <n v="1"/>
  </r>
  <r>
    <x v="1"/>
    <x v="0"/>
    <s v="MMR001"/>
    <s v="Bhamo"/>
    <s v="MMR001D003"/>
    <x v="6"/>
    <s v="MMR001013"/>
    <s v="Nam Lin Pa"/>
    <s v="MMR001013037"/>
    <m/>
    <m/>
    <x v="190"/>
    <x v="193"/>
    <x v="27"/>
    <m/>
    <m/>
    <n v="0"/>
    <n v="0"/>
    <s v="NA"/>
    <x v="1"/>
    <x v="0"/>
    <s v="Camp"/>
    <x v="3"/>
    <x v="15"/>
    <x v="4"/>
    <s v="IP"/>
    <m/>
    <s v="Closed: Source UNHCR-Bhamo"/>
    <s v=""/>
    <s v=""/>
    <s v=""/>
  </r>
  <r>
    <x v="0"/>
    <x v="0"/>
    <s v="MMR001"/>
    <s v="Myitkyina"/>
    <s v="MMR001D001"/>
    <x v="2"/>
    <s v="MMR001005"/>
    <s v="Lang Jaw"/>
    <s v="MMR001005022"/>
    <s v="Saw Zam"/>
    <m/>
    <x v="191"/>
    <x v="194"/>
    <x v="156"/>
    <n v="25.645959999999999"/>
    <n v="1945"/>
    <n v="30"/>
    <n v="172"/>
    <n v="5.7333333333333334"/>
    <x v="0"/>
    <x v="0"/>
    <s v="Camp"/>
    <x v="0"/>
    <x v="23"/>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0"/>
    <m/>
    <m/>
    <m/>
    <m/>
    <x v="192"/>
    <x v="195"/>
    <x v="27"/>
    <m/>
    <m/>
    <n v="0"/>
    <n v="0"/>
    <s v="NA"/>
    <x v="0"/>
    <x v="0"/>
    <s v="Camp"/>
    <x v="0"/>
    <x v="15"/>
    <x v="4"/>
    <s v="IP"/>
    <d v="2014-03-03T00:00:00"/>
    <s v="Closed. Rellocated to Tharthana Ahlin Yaung."/>
    <s v=""/>
    <s v=""/>
    <s v=""/>
  </r>
  <r>
    <x v="1"/>
    <x v="0"/>
    <s v="MMR001"/>
    <s v="Bhamo"/>
    <s v="MMR001D003"/>
    <x v="6"/>
    <s v="MMR001013"/>
    <s v="Mai Bat"/>
    <s v="MMR001013018"/>
    <s v="Man Kawng"/>
    <n v="167391"/>
    <x v="193"/>
    <x v="196"/>
    <x v="157"/>
    <n v="24.181640000000002"/>
    <m/>
    <n v="0"/>
    <n v="0"/>
    <s v="NA"/>
    <x v="0"/>
    <x v="0"/>
    <s v="Camp"/>
    <x v="3"/>
    <x v="15"/>
    <x v="4"/>
    <s v="IP"/>
    <d v="2014-03-03T00:00:00"/>
    <s v="Closed. Duplicate with Maing Khaung."/>
    <s v=""/>
    <s v=""/>
    <s v=""/>
  </r>
  <r>
    <x v="1"/>
    <x v="0"/>
    <s v="MMR001"/>
    <s v="Bhamo"/>
    <s v="MMR001D003"/>
    <x v="6"/>
    <s v="MMR001013"/>
    <s v="Mai Bat"/>
    <s v="MMR001013018"/>
    <s v="Man Kawng"/>
    <n v="167391"/>
    <x v="194"/>
    <x v="197"/>
    <x v="157"/>
    <n v="24.181640000000002"/>
    <m/>
    <n v="0"/>
    <n v="0"/>
    <s v="NA"/>
    <x v="0"/>
    <x v="0"/>
    <s v="Camp"/>
    <x v="3"/>
    <x v="15"/>
    <x v="4"/>
    <s v="IP"/>
    <d v="2014-03-03T00:00:00"/>
    <s v="Closed. Duplicate with Maing Khaung."/>
    <s v=""/>
    <s v=""/>
    <s v=""/>
  </r>
  <r>
    <x v="1"/>
    <x v="0"/>
    <s v="MMR001"/>
    <s v="Bhamo"/>
    <s v="MMR001D003"/>
    <x v="6"/>
    <s v="MMR001013"/>
    <m/>
    <m/>
    <m/>
    <m/>
    <x v="195"/>
    <x v="198"/>
    <x v="27"/>
    <m/>
    <m/>
    <n v="0"/>
    <n v="0"/>
    <s v="NA"/>
    <x v="0"/>
    <x v="0"/>
    <s v="Camp"/>
    <x v="3"/>
    <x v="15"/>
    <x v="4"/>
    <s v="IP"/>
    <d v="2014-03-03T00:00:00"/>
    <s v="Closed. Rellocated to Man Win and La Ga Yaung"/>
    <s v=""/>
    <s v=""/>
    <s v=""/>
  </r>
  <r>
    <x v="1"/>
    <x v="0"/>
    <s v="MMR001"/>
    <s v="Bhamo"/>
    <s v="MMR001D003"/>
    <x v="6"/>
    <s v="MMR001013"/>
    <m/>
    <m/>
    <m/>
    <m/>
    <x v="196"/>
    <x v="199"/>
    <x v="27"/>
    <m/>
    <m/>
    <n v="0"/>
    <n v="0"/>
    <s v="NA"/>
    <x v="0"/>
    <x v="0"/>
    <s v="Camp"/>
    <x v="3"/>
    <x v="15"/>
    <x v="4"/>
    <s v="IP"/>
    <d v="2014-03-03T00:00:00"/>
    <s v="Closed. Rellocated to Man Win and La Ga Yaung"/>
    <s v=""/>
    <s v=""/>
    <s v=""/>
  </r>
  <r>
    <x v="1"/>
    <x v="0"/>
    <s v="MMR001"/>
    <s v="Bhamo"/>
    <s v="MMR001D003"/>
    <x v="6"/>
    <s v="MMR001013"/>
    <m/>
    <m/>
    <m/>
    <m/>
    <x v="197"/>
    <x v="200"/>
    <x v="27"/>
    <m/>
    <m/>
    <n v="0"/>
    <n v="0"/>
    <s v="NA"/>
    <x v="0"/>
    <x v="0"/>
    <s v="Host Families"/>
    <x v="1"/>
    <x v="15"/>
    <x v="4"/>
    <s v="IP"/>
    <d v="2015-03-27T00:00:00"/>
    <s v="27-Mar-15 (Closed. Source: UNHCR-Bhamo)_x000a_New Camp"/>
    <s v=""/>
    <s v=""/>
    <s v=""/>
  </r>
  <r>
    <x v="1"/>
    <x v="0"/>
    <s v="MMR001"/>
    <s v="Bhamo"/>
    <s v="MMR001D003"/>
    <x v="6"/>
    <s v="MMR001013"/>
    <m/>
    <m/>
    <m/>
    <m/>
    <x v="198"/>
    <x v="201"/>
    <x v="27"/>
    <m/>
    <m/>
    <n v="0"/>
    <n v="0"/>
    <s v="NA"/>
    <x v="0"/>
    <x v="0"/>
    <s v="Rural"/>
    <x v="3"/>
    <x v="15"/>
    <x v="4"/>
    <s v="IP"/>
    <d v="2014-02-07T00:00:00"/>
    <s v="Source OCHA"/>
    <s v=""/>
    <s v=""/>
    <s v=""/>
  </r>
  <r>
    <x v="0"/>
    <x v="0"/>
    <s v="MMR001"/>
    <s v="Mohnyin"/>
    <s v="MMR001D002"/>
    <x v="1"/>
    <s v="MMR001009"/>
    <s v="Lone Khin"/>
    <s v="MMR001009001"/>
    <s v="Lel Pyin"/>
    <n v="220486"/>
    <x v="199"/>
    <x v="202"/>
    <x v="27"/>
    <m/>
    <m/>
    <n v="123"/>
    <n v="656"/>
    <n v="5.333333333333333"/>
    <x v="0"/>
    <x v="0"/>
    <s v="Camp"/>
    <x v="1"/>
    <x v="35"/>
    <x v="0"/>
    <s v="IP"/>
    <d v="2018-04-30T00:00:00"/>
    <s v="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
    <s v=""/>
    <s v=""/>
  </r>
  <r>
    <x v="1"/>
    <x v="0"/>
    <s v="MMR001"/>
    <s v="Bhamo"/>
    <s v="MMR001D003"/>
    <x v="6"/>
    <s v="MMR001013"/>
    <m/>
    <m/>
    <m/>
    <m/>
    <x v="200"/>
    <x v="203"/>
    <x v="27"/>
    <m/>
    <m/>
    <n v="0"/>
    <n v="0"/>
    <s v="NA"/>
    <x v="0"/>
    <x v="0"/>
    <s v="Camp"/>
    <x v="1"/>
    <x v="15"/>
    <x v="4"/>
    <s v="IP"/>
    <d v="2014-01-13T00:00:00"/>
    <s v="Close (Source: OCHA)"/>
    <s v=""/>
    <s v=""/>
    <s v=""/>
  </r>
  <r>
    <x v="1"/>
    <x v="0"/>
    <s v="MMR001"/>
    <s v="Puta-O"/>
    <s v="MMR001D004"/>
    <x v="11"/>
    <s v="MMR001014"/>
    <s v="Lang Taung"/>
    <s v="MMR001014009"/>
    <s v="Nawng Hkaing"/>
    <n v="167567"/>
    <x v="201"/>
    <x v="204"/>
    <x v="158"/>
    <n v="27.270199999999999"/>
    <n v="372.9"/>
    <n v="0"/>
    <n v="0"/>
    <s v="NA"/>
    <x v="0"/>
    <x v="0"/>
    <s v="Camp"/>
    <x v="1"/>
    <x v="7"/>
    <x v="4"/>
    <s v="IP"/>
    <d v="2014-03-27T00:00:00"/>
    <s v="25-Jun-15 (Relocated to Lone Sut)_x000a_Geo-Info, HH/Pop data received from MIRA Form"/>
    <s v="Machanbaw Town"/>
    <n v="1.7005689699647599"/>
    <n v="1"/>
  </r>
  <r>
    <x v="1"/>
    <x v="0"/>
    <s v="MMR001"/>
    <s v="Puta-O"/>
    <s v="MMR001D004"/>
    <x v="17"/>
    <s v="MMR001016"/>
    <m/>
    <m/>
    <m/>
    <m/>
    <x v="202"/>
    <x v="205"/>
    <x v="159"/>
    <n v="27.274059999999999"/>
    <n v="403"/>
    <m/>
    <m/>
    <s v="NA"/>
    <x v="0"/>
    <x v="0"/>
    <s v="Camp"/>
    <x v="1"/>
    <x v="36"/>
    <x v="4"/>
    <s v="IP"/>
    <d v="2015-06-25T00:00:00"/>
    <s v="25-Jun-15 (Relocate to Long Sut)_x000a_Geo-Info, HH/Pop data received from MIRA Form"/>
    <s v="Machanbaw Town"/>
    <n v="1.136583238544624"/>
    <n v="1"/>
  </r>
  <r>
    <x v="1"/>
    <x v="0"/>
    <s v="MMR001"/>
    <s v="Bhamo"/>
    <s v="MMR001D003"/>
    <x v="5"/>
    <s v="MMR001010"/>
    <m/>
    <m/>
    <m/>
    <m/>
    <x v="203"/>
    <x v="206"/>
    <x v="27"/>
    <m/>
    <m/>
    <m/>
    <m/>
    <s v="NA"/>
    <x v="0"/>
    <x v="0"/>
    <s v="Camp"/>
    <x v="0"/>
    <x v="15"/>
    <x v="4"/>
    <s v="IP"/>
    <d v="2014-03-04T00:00:00"/>
    <s v="Closed. Rellocated next to AD 2000 Tharthana Compound and CCCM is under AD 2000"/>
    <s v=""/>
    <s v=""/>
    <s v=""/>
  </r>
  <r>
    <x v="0"/>
    <x v="0"/>
    <s v="MMR001"/>
    <s v="Bhamo"/>
    <s v="MMR001D003"/>
    <x v="4"/>
    <s v="MMR001012"/>
    <s v="Kawng Hsa (Lwegel Sub-township)"/>
    <s v="MMR001012033"/>
    <s v="Mai Gyar Yang"/>
    <n v="216913"/>
    <x v="204"/>
    <x v="207"/>
    <x v="160"/>
    <n v="24.2744"/>
    <n v="978"/>
    <n v="651"/>
    <n v="3631"/>
    <n v="5.5775729646697387"/>
    <x v="1"/>
    <x v="0"/>
    <s v="Camp"/>
    <x v="1"/>
    <x v="9"/>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1"/>
    <x v="0"/>
    <s v="MMR001"/>
    <s v="Bhamo"/>
    <s v="MMR001D003"/>
    <x v="5"/>
    <s v="MMR001010"/>
    <s v="Han Te"/>
    <s v="MMR001010024"/>
    <m/>
    <m/>
    <x v="205"/>
    <x v="208"/>
    <x v="161"/>
    <n v="24.229189999999999"/>
    <n v="126"/>
    <m/>
    <m/>
    <s v="NA"/>
    <x v="0"/>
    <x v="0"/>
    <s v="Camp"/>
    <x v="0"/>
    <x v="15"/>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1"/>
    <x v="1"/>
    <s v="MMR015"/>
    <s v="Muse"/>
    <s v="MMR015D002"/>
    <x v="7"/>
    <s v="MMR015010"/>
    <s v="Nawng Hkam"/>
    <s v="MMR015010010"/>
    <s v="Nawng Hkam"/>
    <n v="208353"/>
    <x v="206"/>
    <x v="209"/>
    <x v="162"/>
    <n v="23.82152"/>
    <n v="813.4"/>
    <n v="0"/>
    <n v="0"/>
    <s v="NA"/>
    <x v="1"/>
    <x v="0"/>
    <s v="Camp"/>
    <x v="3"/>
    <x v="15"/>
    <x v="5"/>
    <s v="IP"/>
    <d v="2014-03-14T00:00:00"/>
    <s v="Closed. Source Cluster Coordinator"/>
    <s v=""/>
    <s v=""/>
    <s v=""/>
  </r>
  <r>
    <x v="0"/>
    <x v="0"/>
    <s v="MMR001"/>
    <s v="Mohnyin"/>
    <s v="MMR001D002"/>
    <x v="1"/>
    <s v="MMR001009"/>
    <s v="Wa Ra Zut"/>
    <s v="MMR001009009"/>
    <s v="Shar Du Zut"/>
    <n v="166819"/>
    <x v="207"/>
    <x v="210"/>
    <x v="102"/>
    <n v="25.920006000000001"/>
    <m/>
    <n v="5"/>
    <n v="13"/>
    <n v="2.6"/>
    <x v="0"/>
    <x v="0"/>
    <s v="Camp like setting"/>
    <x v="1"/>
    <x v="25"/>
    <x v="3"/>
    <s v="IP"/>
    <d v="2018-03-27T00:00:00"/>
    <s v="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Bhamo"/>
    <s v="MMR001D003"/>
    <x v="6"/>
    <s v="MMR001013"/>
    <s v="Dum Buk"/>
    <s v="MMR001013014"/>
    <s v="Dum Buk"/>
    <n v="167343"/>
    <x v="208"/>
    <x v="211"/>
    <x v="163"/>
    <n v="24.000250000000001"/>
    <m/>
    <m/>
    <m/>
    <s v="NA"/>
    <x v="1"/>
    <x v="0"/>
    <s v="Camp"/>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1"/>
    <s v="MMR001014"/>
    <s v="Lang Taung"/>
    <s v="MMR001014009"/>
    <s v="Inn Lel Yan"/>
    <n v="217032"/>
    <x v="209"/>
    <x v="212"/>
    <x v="164"/>
    <n v="27.248964999999998"/>
    <n v="398"/>
    <n v="10"/>
    <n v="56"/>
    <n v="5.6"/>
    <x v="0"/>
    <x v="0"/>
    <s v="Host Families"/>
    <x v="1"/>
    <x v="7"/>
    <x v="4"/>
    <s v="IP"/>
    <d v="2014-04-07T00:00:00"/>
    <s v="Not updated due to lack of access._x000a_New host families."/>
    <s v="Machanbaw Town"/>
    <n v="4.789460146835963"/>
    <n v="1"/>
  </r>
  <r>
    <x v="0"/>
    <x v="0"/>
    <s v="MMR001"/>
    <s v="Bhamo"/>
    <s v="MMR001D003"/>
    <x v="8"/>
    <s v="MMR001011"/>
    <s v="Shwegu Town"/>
    <s v="MMR001011701"/>
    <s v="Shwegu Town"/>
    <s v="MMR001011701504"/>
    <x v="210"/>
    <x v="213"/>
    <x v="62"/>
    <n v="24.200367"/>
    <m/>
    <n v="46"/>
    <n v="199"/>
    <n v="4.3260869565217392"/>
    <x v="0"/>
    <x v="0"/>
    <s v="Camp"/>
    <x v="0"/>
    <x v="1"/>
    <x v="5"/>
    <s v="IP"/>
    <d v="2018-04-30T00:00:00"/>
    <s v="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1"/>
    <s v="MMR015"/>
    <s v="Muse"/>
    <s v="MMR015D002"/>
    <x v="7"/>
    <s v="MMR015010"/>
    <s v="Nawng Hkam"/>
    <s v="MMR015010010"/>
    <s v="Nawng Hkam"/>
    <n v="208353"/>
    <x v="211"/>
    <x v="214"/>
    <x v="165"/>
    <n v="23.828520000000001"/>
    <n v="740"/>
    <n v="66"/>
    <n v="336"/>
    <n v="5.0909090909090908"/>
    <x v="0"/>
    <x v="0"/>
    <s v="Camp"/>
    <x v="0"/>
    <x v="16"/>
    <x v="0"/>
    <s v="IP"/>
    <d v="2018-04-30T00:00:00"/>
    <s v="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1"/>
    <s v="MMR015"/>
    <s v="Muse"/>
    <s v="MMR015D002"/>
    <x v="7"/>
    <s v="MMR015010"/>
    <s v="Nawng Hkam"/>
    <s v="MMR015010010"/>
    <s v="Nawng Hkam"/>
    <n v="208353"/>
    <x v="212"/>
    <x v="215"/>
    <x v="166"/>
    <n v="23.821380000000001"/>
    <n v="811.6"/>
    <n v="75"/>
    <n v="367"/>
    <n v="4.8933333333333335"/>
    <x v="0"/>
    <x v="0"/>
    <s v="Camp"/>
    <x v="0"/>
    <x v="37"/>
    <x v="0"/>
    <s v="IP"/>
    <d v="2018-04-30T00:00:00"/>
    <s v="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0"/>
    <s v="MMR001"/>
    <s v="Mohnyin"/>
    <s v="MMR001D002"/>
    <x v="1"/>
    <s v="MMR001009"/>
    <s v="Lone Khin"/>
    <s v="MMR001009001"/>
    <s v="Ku Day"/>
    <n v="216877"/>
    <x v="213"/>
    <x v="216"/>
    <x v="167"/>
    <n v="25.806999999999999"/>
    <m/>
    <m/>
    <m/>
    <s v="NA"/>
    <x v="0"/>
    <x v="0"/>
    <s v="Camp"/>
    <x v="1"/>
    <x v="38"/>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2"/>
    <s v="MMR001007"/>
    <s v="Hopin Town"/>
    <s v="MMR001007702"/>
    <s v="Myo Ma (South) Ward"/>
    <s v="MMR001007702503"/>
    <x v="214"/>
    <x v="217"/>
    <x v="168"/>
    <n v="24.996279999999999"/>
    <m/>
    <n v="27"/>
    <n v="121"/>
    <n v="4.4814814814814818"/>
    <x v="0"/>
    <x v="0"/>
    <s v="Host Families"/>
    <x v="0"/>
    <x v="2"/>
    <x v="4"/>
    <s v="IP"/>
    <d v="2017-04-24T00:00:00"/>
    <s v="24/Apr/2017: Population update. Data source: CCCM unit_x000a_19-Mar-2015 (WFP has been providing this host families since 2013.)"/>
    <s v="Hopin Town"/>
    <n v="0"/>
    <n v="1"/>
  </r>
  <r>
    <x v="0"/>
    <x v="0"/>
    <s v="MMR001"/>
    <s v="Mohnyin"/>
    <s v="MMR001D002"/>
    <x v="12"/>
    <s v="MMR001007"/>
    <s v="Mohnyin Town"/>
    <s v="MMR001007701"/>
    <m/>
    <m/>
    <x v="215"/>
    <x v="218"/>
    <x v="169"/>
    <n v="24.764959999999999"/>
    <m/>
    <n v="14"/>
    <n v="63"/>
    <n v="4.5"/>
    <x v="0"/>
    <x v="0"/>
    <s v="Host Families"/>
    <x v="0"/>
    <x v="2"/>
    <x v="4"/>
    <s v="IP"/>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1"/>
    <s v="MMR015"/>
    <s v="Muse"/>
    <s v="MMR015D002"/>
    <x v="16"/>
    <s v="MMR015011"/>
    <s v="Long Waun Nam Rein (Tarmoenye Sub-township)"/>
    <s v="MMR015011050"/>
    <s v="Mai Pong (Shu See)"/>
    <n v="219842"/>
    <x v="216"/>
    <x v="219"/>
    <x v="170"/>
    <n v="23.400155999999999"/>
    <n v="3109"/>
    <n v="42"/>
    <n v="234"/>
    <n v="5.5714285714285712"/>
    <x v="0"/>
    <x v="0"/>
    <s v="Camp"/>
    <x v="1"/>
    <x v="28"/>
    <x v="0"/>
    <s v="IP"/>
    <d v="2018-04-30T00:00:00"/>
    <s v="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Mohnyin"/>
    <s v="MMR001D002"/>
    <x v="9"/>
    <s v="MMR001008"/>
    <s v="Sar Hmaw"/>
    <s v="MMR001008018"/>
    <s v="Sar Hmaw"/>
    <n v="166724"/>
    <x v="217"/>
    <x v="220"/>
    <x v="138"/>
    <n v="25.225000000000001"/>
    <m/>
    <m/>
    <m/>
    <s v="NA"/>
    <x v="0"/>
    <x v="0"/>
    <s v="Host Families"/>
    <x v="1"/>
    <x v="31"/>
    <x v="4"/>
    <s v="RRD"/>
    <d v="2017-07-11T00:00:00"/>
    <s v="11/Jul/2017: Closed camp. No update information._x000a_25-Jun-2015 (New host families. Source: RRD)"/>
    <s v="Mogaung Town"/>
    <n v="5"/>
    <n v="2"/>
  </r>
  <r>
    <x v="0"/>
    <x v="1"/>
    <s v="MMR015"/>
    <s v="Muse"/>
    <s v="MMR015D002"/>
    <x v="16"/>
    <s v="MMR015011"/>
    <s v="Nam Hpat Kar"/>
    <s v="MMR015011020"/>
    <s v="Nam Hpat Kar (Ho Pon + Pang Sa Lorp)"/>
    <n v="208696"/>
    <x v="218"/>
    <x v="221"/>
    <x v="171"/>
    <n v="23.694130000000001"/>
    <n v="1135.7"/>
    <n v="58"/>
    <n v="273"/>
    <n v="4.7068965517241379"/>
    <x v="0"/>
    <x v="0"/>
    <s v="Camp"/>
    <x v="1"/>
    <x v="16"/>
    <x v="0"/>
    <s v="IP"/>
    <d v="2018-04-30T00:00:00"/>
    <s v="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1"/>
    <x v="0"/>
    <s v="MMR001"/>
    <s v="Mohnyin"/>
    <s v="MMR001D002"/>
    <x v="9"/>
    <s v="MMR001008"/>
    <s v="Nawng Kaing Htaw"/>
    <s v="MMR001008002"/>
    <s v="Ma Haung"/>
    <n v="166676"/>
    <x v="219"/>
    <x v="222"/>
    <x v="69"/>
    <n v="25.299679999999999"/>
    <m/>
    <n v="6"/>
    <n v="31"/>
    <n v="5.166666666666667"/>
    <x v="0"/>
    <x v="0"/>
    <s v="Camp like setting"/>
    <x v="0"/>
    <x v="31"/>
    <x v="4"/>
    <s v="IP"/>
    <d v="2017-06-29T00:00:00"/>
    <s v="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1"/>
    <s v="MMR015"/>
    <s v="Kyaukme"/>
    <s v="MMR015D003"/>
    <x v="18"/>
    <s v="MMR015019"/>
    <s v="Urban"/>
    <s v="MMR015019701"/>
    <s v="No (2) Ward"/>
    <s v="MMR015019701503"/>
    <x v="220"/>
    <x v="223"/>
    <x v="172"/>
    <n v="23.250678000000001"/>
    <n v="1250"/>
    <n v="33"/>
    <n v="182"/>
    <n v="5.5151515151515156"/>
    <x v="0"/>
    <x v="0"/>
    <s v="Camp"/>
    <x v="0"/>
    <x v="9"/>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2"/>
    <x v="13"/>
    <s v="MMR015009"/>
    <s v="Man Nway (Pang Hseng (Kyu Koke)) Sub-township"/>
    <s v="MMR015009036"/>
    <s v="Nam Hkawng Khu"/>
    <n v="208182"/>
    <x v="221"/>
    <x v="224"/>
    <x v="173"/>
    <n v="23.933098999999999"/>
    <n v="0"/>
    <n v="9"/>
    <n v="44"/>
    <n v="4.8888888888888893"/>
    <x v="1"/>
    <x v="0"/>
    <s v="Camp like setting"/>
    <x v="1"/>
    <x v="28"/>
    <x v="4"/>
    <s v="IP"/>
    <d v="2017-06-02T00:00:00"/>
    <s v="Closed as of 1st of September 2017"/>
    <s v=""/>
    <s v=""/>
    <s v=""/>
  </r>
  <r>
    <x v="0"/>
    <x v="1"/>
    <s v="MMR015"/>
    <s v="Kyaukme"/>
    <s v="MMR015D003"/>
    <x v="19"/>
    <s v="MMR015015"/>
    <s v="Namtu Town"/>
    <s v="MMR015015701"/>
    <s v="Namtu Ward"/>
    <s v="MMR015015701501"/>
    <x v="222"/>
    <x v="225"/>
    <x v="174"/>
    <n v="23.094290000000001"/>
    <n v="534.29999999999995"/>
    <n v="41"/>
    <n v="179"/>
    <n v="4.3658536585365857"/>
    <x v="0"/>
    <x v="0"/>
    <s v="Camp"/>
    <x v="0"/>
    <x v="9"/>
    <x v="0"/>
    <s v="IP"/>
    <d v="2018-04-30T00:00:00"/>
    <s v="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Lashio"/>
    <s v="MMR015D001"/>
    <x v="20"/>
    <s v="MMR015002"/>
    <s v="Nar Tee"/>
    <s v="MMR015002029"/>
    <s v="Nar Tee"/>
    <n v="206422"/>
    <x v="223"/>
    <x v="226"/>
    <x v="175"/>
    <n v="23.372409999999999"/>
    <n v="617.6"/>
    <n v="67"/>
    <n v="392"/>
    <n v="5.8507462686567164"/>
    <x v="1"/>
    <x v="0"/>
    <s v="Host Families"/>
    <x v="1"/>
    <x v="33"/>
    <x v="4"/>
    <s v="IP"/>
    <d v="2014-03-01T00:00:00"/>
    <s v="Lack of access. Not updated since Mar/2014._x000a_Change to Host Families."/>
    <s v="Kunlong Town"/>
    <n v="30.037709702375544"/>
    <n v="7"/>
  </r>
  <r>
    <x v="1"/>
    <x v="0"/>
    <s v="MMR001"/>
    <s v="Bhamo"/>
    <s v="MMR001D003"/>
    <x v="4"/>
    <s v="MMR001012"/>
    <s v="Dawthponeyan  Town"/>
    <s v="MMR001012703"/>
    <s v="No (2) Ward"/>
    <s v="MMR001012703502"/>
    <x v="224"/>
    <x v="227"/>
    <x v="176"/>
    <n v="24.613976000000001"/>
    <m/>
    <m/>
    <m/>
    <s v="NA"/>
    <x v="0"/>
    <x v="0"/>
    <s v="Boarding School"/>
    <x v="1"/>
    <x v="15"/>
    <x v="4"/>
    <s v="WFP"/>
    <d v="2017-07-11T00:00:00"/>
    <s v="11/Jul/2017: Closed camp. No update information since Nov 2015._x000a_9/Nov/2015. Population update. Data source: mail from WFP._x000a_New added Boarding School"/>
    <s v="Dawthponeyan  Town"/>
    <n v="0"/>
    <n v="1"/>
  </r>
  <r>
    <x v="0"/>
    <x v="1"/>
    <s v="MMR015"/>
    <s v="Kyaukme"/>
    <s v="MMR015D003"/>
    <x v="18"/>
    <s v="MMR015019"/>
    <s v="Urban"/>
    <s v="MMR015019701"/>
    <s v="No (2) Ward"/>
    <s v="MMR015019701503"/>
    <x v="225"/>
    <x v="228"/>
    <x v="177"/>
    <n v="23.24661"/>
    <n v="87.3"/>
    <n v="29"/>
    <n v="171"/>
    <n v="5.8965517241379306"/>
    <x v="0"/>
    <x v="0"/>
    <s v="Camp"/>
    <x v="0"/>
    <x v="11"/>
    <x v="6"/>
    <s v="IP"/>
    <d v="2018-04-30T00:00:00"/>
    <s v="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9"/>
    <s v="MMR015015"/>
    <s v="Namtu Town"/>
    <s v="MMR015015701"/>
    <s v="Namtu Ward"/>
    <s v="MMR015015701501"/>
    <x v="226"/>
    <x v="229"/>
    <x v="178"/>
    <n v="23.088058"/>
    <n v="1948"/>
    <n v="118"/>
    <n v="520"/>
    <n v="4.406779661016949"/>
    <x v="0"/>
    <x v="0"/>
    <s v="Host Families"/>
    <x v="0"/>
    <x v="15"/>
    <x v="4"/>
    <s v="IP"/>
    <d v="2014-09-01T00:00:00"/>
    <s v="18th - 19th May joint assessment of OCHA and UNHCR, population returned to place of origin. Location is closed. Change to Host Families. Source: Programme Unit."/>
    <s v="Namtu Town"/>
    <n v="0.63626694856259092"/>
    <n v="1"/>
  </r>
  <r>
    <x v="1"/>
    <x v="1"/>
    <s v="MMR015"/>
    <s v="Muse"/>
    <s v="MMR015D002"/>
    <x v="16"/>
    <s v="MMR015011"/>
    <s v="Galeng"/>
    <m/>
    <s v="Galeng"/>
    <m/>
    <x v="227"/>
    <x v="230"/>
    <x v="27"/>
    <m/>
    <m/>
    <n v="0"/>
    <n v="0"/>
    <s v="NA"/>
    <x v="1"/>
    <x v="0"/>
    <s v="Camp"/>
    <x v="1"/>
    <x v="15"/>
    <x v="4"/>
    <s v="IP"/>
    <d v="2013-01-15T00:00:00"/>
    <s v="Close: Duplicate Camp (MMR015CMP020 - Zup Aung Camp) 21-Jan-14"/>
    <s v=""/>
    <s v=""/>
    <s v=""/>
  </r>
  <r>
    <x v="1"/>
    <x v="0"/>
    <s v="MMR001"/>
    <s v="Bhamo"/>
    <s v="MMR001D003"/>
    <x v="6"/>
    <s v="MMR001013"/>
    <s v="Mung Ding Pa"/>
    <s v="MMR001013038"/>
    <s v="Mung Ding Pa"/>
    <n v="167495"/>
    <x v="228"/>
    <x v="231"/>
    <x v="179"/>
    <n v="23.867000000000001"/>
    <m/>
    <m/>
    <m/>
    <s v="NA"/>
    <x v="1"/>
    <x v="0"/>
    <s v="Camp"/>
    <x v="3"/>
    <x v="15"/>
    <x v="4"/>
    <m/>
    <d v="2014-03-03T00:00:00"/>
    <s v="Closed. Same with (Namhkan St. Thomas 1)"/>
    <s v=""/>
    <s v=""/>
    <s v=""/>
  </r>
  <r>
    <x v="1"/>
    <x v="0"/>
    <s v="MMR001"/>
    <s v="Myitkyina"/>
    <s v="MMR001D001"/>
    <x v="1"/>
    <s v="MMR001004"/>
    <s v="Wa Ra Zut"/>
    <s v="MMR001009009"/>
    <s v="Wa Ra Zut"/>
    <n v="166818"/>
    <x v="229"/>
    <x v="232"/>
    <x v="167"/>
    <n v="25.806999999999999"/>
    <m/>
    <m/>
    <m/>
    <s v="NA"/>
    <x v="0"/>
    <x v="0"/>
    <s v="Camp"/>
    <x v="1"/>
    <x v="39"/>
    <x v="4"/>
    <s v="IP"/>
    <d v="2017-07-11T00:00:00"/>
    <s v="11/Jul/2017: Change status into closed: Data source: KBC_x000a_25/Jul/2016: Added as new camp according to KBC data. Data was given by Jade"/>
    <s v="Hpakant Town"/>
    <n v="0"/>
    <n v="1"/>
  </r>
  <r>
    <x v="1"/>
    <x v="0"/>
    <s v="MMR001"/>
    <s v="Mohnyin"/>
    <s v="MMR001D002"/>
    <x v="1"/>
    <s v="MMR001009"/>
    <s v="Wa Ra Zut"/>
    <s v="MMR001009009"/>
    <s v="Shar Du Zut"/>
    <n v="166819"/>
    <x v="230"/>
    <x v="233"/>
    <x v="102"/>
    <n v="25.920006000000001"/>
    <m/>
    <m/>
    <m/>
    <s v="NA"/>
    <x v="0"/>
    <x v="0"/>
    <s v="Camp"/>
    <x v="1"/>
    <x v="25"/>
    <x v="4"/>
    <s v="IP"/>
    <d v="2017-04-24T00:00:00"/>
    <s v="24/Apr/2017: Changed camp status as &quot;closed&quot;. Data source: KMSS_Myitkyina and CCCM unit._x000a_16/Sep/2016: New added camp. There no responsible organization."/>
    <s v="Hpakant Town"/>
    <n v="0"/>
    <n v="1"/>
  </r>
  <r>
    <x v="1"/>
    <x v="1"/>
    <s v="MMR015"/>
    <s v="Muse"/>
    <s v="MMR015D002"/>
    <x v="16"/>
    <s v="MMR015011"/>
    <s v="Galeng"/>
    <m/>
    <s v="Galeng"/>
    <m/>
    <x v="231"/>
    <x v="234"/>
    <x v="27"/>
    <m/>
    <m/>
    <n v="0"/>
    <n v="0"/>
    <s v="NA"/>
    <x v="1"/>
    <x v="0"/>
    <s v="Camp"/>
    <x v="1"/>
    <x v="15"/>
    <x v="4"/>
    <s v="IP"/>
    <d v="2013-01-15T00:00:00"/>
    <s v="Close: Duplicate Camp (MMR015CMP015 - Kone Khem Camp) 21-Jan-14"/>
    <s v=""/>
    <s v=""/>
    <s v=""/>
  </r>
  <r>
    <x v="0"/>
    <x v="1"/>
    <s v="MMR015"/>
    <s v="Muse"/>
    <s v="MMR015D002"/>
    <x v="16"/>
    <s v="MMR015011"/>
    <s v="Kutkai Town"/>
    <s v="MMR015011701"/>
    <s v="No (5) Ward"/>
    <s v="MMR015011701505"/>
    <x v="232"/>
    <x v="235"/>
    <x v="180"/>
    <n v="23.450914000000001"/>
    <n v="4336"/>
    <n v="56"/>
    <n v="264"/>
    <n v="4.7142857142857144"/>
    <x v="0"/>
    <x v="0"/>
    <s v="Camp"/>
    <x v="0"/>
    <x v="8"/>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6"/>
    <s v="MMR015011"/>
    <s v="Mong Yu"/>
    <s v="MMR015011030"/>
    <s v="Mong Yu"/>
    <n v="208747"/>
    <x v="233"/>
    <x v="236"/>
    <x v="181"/>
    <n v="23.588920000000002"/>
    <n v="1012.5"/>
    <n v="76"/>
    <n v="338"/>
    <n v="4.4473684210526319"/>
    <x v="0"/>
    <x v="0"/>
    <s v="Camp"/>
    <x v="1"/>
    <x v="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6"/>
    <s v="MMR015011"/>
    <s v="Kar Lai Kone Hsar"/>
    <s v="MMR015011005"/>
    <s v="Kar Lai"/>
    <n v="208557"/>
    <x v="234"/>
    <x v="237"/>
    <x v="182"/>
    <n v="23.38503"/>
    <n v="0"/>
    <n v="196"/>
    <n v="1008"/>
    <n v="5.1428571428571432"/>
    <x v="0"/>
    <x v="0"/>
    <s v="Camp"/>
    <x v="1"/>
    <x v="8"/>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3"/>
    <s v="MMR015009"/>
    <s v="Muse Town"/>
    <s v="MMR015009701"/>
    <s v="Ho Mun Ward"/>
    <s v="MMR015009701504"/>
    <x v="235"/>
    <x v="238"/>
    <x v="183"/>
    <n v="24.006319999999999"/>
    <n v="812.7"/>
    <n v="42"/>
    <n v="192"/>
    <n v="4.5714285714285712"/>
    <x v="0"/>
    <x v="0"/>
    <s v="Camp"/>
    <x v="0"/>
    <x v="40"/>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1"/>
    <x v="0"/>
    <s v="MMR001"/>
    <s v="Mohnyin"/>
    <s v="MMR001D002"/>
    <x v="1"/>
    <s v="MMR001009"/>
    <s v="Wa Ra Zut"/>
    <s v="MMR001009009"/>
    <s v="Shar Du Zut"/>
    <n v="166819"/>
    <x v="236"/>
    <x v="239"/>
    <x v="102"/>
    <n v="25.920006000000001"/>
    <m/>
    <m/>
    <m/>
    <s v="NA"/>
    <x v="0"/>
    <x v="0"/>
    <s v="Camp"/>
    <x v="1"/>
    <x v="25"/>
    <x v="4"/>
    <s v="IP"/>
    <d v="2017-04-24T00:00:00"/>
    <s v="24/Apr/2017: Changed camp status as &quot;closed&quot;. Data source: KMSS_Myitkyina and CCCM unit._x000a_16/Sep/2016: New added camp. There no responsible organization."/>
    <s v="Hpakant Town"/>
    <n v="0"/>
    <n v="1"/>
  </r>
  <r>
    <x v="0"/>
    <x v="1"/>
    <s v="MMR015"/>
    <s v="Muse"/>
    <s v="MMR015D002"/>
    <x v="13"/>
    <s v="MMR015009"/>
    <s v="Muse Town"/>
    <s v="MMR015009701"/>
    <s v="Ho Mun Ward"/>
    <s v="MMR015009701504"/>
    <x v="237"/>
    <x v="240"/>
    <x v="184"/>
    <n v="24.006789000000001"/>
    <n v="814"/>
    <n v="22"/>
    <n v="107"/>
    <n v="4.8636363636363633"/>
    <x v="0"/>
    <x v="0"/>
    <s v="Camp"/>
    <x v="0"/>
    <x v="41"/>
    <x v="6"/>
    <s v="IP"/>
    <d v="2018-04-30T00:00:00"/>
    <s v="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6"/>
    <s v="MMR015011"/>
    <s v="Long Waun Nam Rein (Tarmoenye Sub-township)"/>
    <s v="MMR015011050"/>
    <s v="Mai Pong (Shu See)"/>
    <n v="219842"/>
    <x v="238"/>
    <x v="241"/>
    <x v="185"/>
    <n v="23.463000000000001"/>
    <m/>
    <n v="22"/>
    <n v="105"/>
    <n v="4.7727272727272725"/>
    <x v="0"/>
    <x v="0"/>
    <s v="Camp"/>
    <x v="1"/>
    <x v="28"/>
    <x v="6"/>
    <s v="IP"/>
    <d v="2018-04-30T00:00:00"/>
    <s v="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Muse"/>
    <s v="MMR015D002"/>
    <x v="7"/>
    <s v="MMR015010"/>
    <s v="Nawng Hkam"/>
    <s v="MMR015010010"/>
    <s v="Nawng Hkam"/>
    <n v="208353"/>
    <x v="239"/>
    <x v="242"/>
    <x v="186"/>
    <n v="23.841646999999998"/>
    <n v="798"/>
    <n v="38"/>
    <n v="200"/>
    <n v="5.2631578947368425"/>
    <x v="0"/>
    <x v="0"/>
    <s v="Camp"/>
    <x v="0"/>
    <x v="4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1"/>
    <s v="Kar Lai Kone Hsar"/>
    <s v="MMR015011005"/>
    <m/>
    <m/>
    <x v="240"/>
    <x v="243"/>
    <x v="187"/>
    <n v="23.447111"/>
    <m/>
    <n v="105"/>
    <n v="568"/>
    <n v="5.4095238095238098"/>
    <x v="0"/>
    <x v="0"/>
    <s v="Camp like setting"/>
    <x v="1"/>
    <x v="32"/>
    <x v="4"/>
    <s v="IP"/>
    <d v="2017-07-11T00:00:00"/>
    <s v="11/Jul/2017: Updated from UNOCHA, visited on March 2017 _x000a_9/Nov/15. New added camp. Data source: UNHCR CCCM officer NSS mission 8-12 July 2015."/>
    <m/>
    <s v=""/>
    <s v=""/>
  </r>
  <r>
    <x v="0"/>
    <x v="1"/>
    <s v="MMR015"/>
    <s v="Muse"/>
    <s v="MMR015D002"/>
    <x v="7"/>
    <s v="MMR015010"/>
    <s v="Ho Nar"/>
    <s v="MMR015010002"/>
    <s v="Pang Long"/>
    <n v="208338"/>
    <x v="241"/>
    <x v="244"/>
    <x v="188"/>
    <n v="23.838190000000001"/>
    <n v="829.8"/>
    <n v="126"/>
    <n v="575"/>
    <n v="4.5634920634920633"/>
    <x v="0"/>
    <x v="0"/>
    <s v="Camp"/>
    <x v="0"/>
    <x v="43"/>
    <x v="0"/>
    <s v="IP"/>
    <d v="2018-04-30T00:00:00"/>
    <s v="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Kyaukme"/>
    <s v="MMR015D003"/>
    <x v="19"/>
    <s v="MMR015015"/>
    <s v="Pang Long"/>
    <s v="MMR015015011"/>
    <s v="Pang Tha Pyay"/>
    <n v="210455"/>
    <x v="242"/>
    <x v="245"/>
    <x v="189"/>
    <n v="22.765999999999998"/>
    <m/>
    <n v="19"/>
    <n v="82"/>
    <n v="4.3157894736842106"/>
    <x v="0"/>
    <x v="0"/>
    <s v="Camp like setting"/>
    <x v="1"/>
    <x v="39"/>
    <x v="4"/>
    <s v="IP"/>
    <d v="2016-07-25T00:00:00"/>
    <s v="25/Jul/2016: Added as new camp according to KBC data."/>
    <s v=""/>
    <s v=""/>
    <s v=""/>
  </r>
  <r>
    <x v="0"/>
    <x v="1"/>
    <s v="MMR015"/>
    <s v="Kyaukme"/>
    <s v="MMR015D003"/>
    <x v="18"/>
    <s v="MMR015019"/>
    <m/>
    <m/>
    <m/>
    <m/>
    <x v="243"/>
    <x v="246"/>
    <x v="27"/>
    <m/>
    <m/>
    <n v="36"/>
    <n v="188"/>
    <n v="5.2222222222222223"/>
    <x v="0"/>
    <x v="0"/>
    <s v="Camp like setting"/>
    <x v="0"/>
    <x v="39"/>
    <x v="4"/>
    <s v="IP"/>
    <d v="2016-07-11T00:00:00"/>
    <s v="No agency has visited since Jul/2016, KBC to follow up._x000a_25/Jul/2016: Added as new camp according to KBC data. "/>
    <s v=""/>
    <s v=""/>
    <s v=""/>
  </r>
  <r>
    <x v="0"/>
    <x v="0"/>
    <s v="MMR001"/>
    <s v="Mohnyin"/>
    <s v="MMR001D002"/>
    <x v="12"/>
    <s v="MMR001007"/>
    <s v="Mohnyin Town"/>
    <s v="MMR001007701"/>
    <s v="Aung Tha Pyay Ward"/>
    <s v="MMR001007701505"/>
    <x v="244"/>
    <x v="247"/>
    <x v="190"/>
    <n v="24.764800000000001"/>
    <m/>
    <n v="11"/>
    <n v="50"/>
    <n v="4.5454545454545459"/>
    <x v="0"/>
    <x v="0"/>
    <s v="Camp"/>
    <x v="0"/>
    <x v="18"/>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yitkyina"/>
    <s v="MMR001D001"/>
    <x v="3"/>
    <s v="MMR001002"/>
    <s v="Nam Sang Yang"/>
    <s v="MMR001002024"/>
    <s v="Nam Sang Yang"/>
    <n v="165772"/>
    <x v="245"/>
    <x v="248"/>
    <x v="191"/>
    <n v="24.755253"/>
    <n v="316"/>
    <n v="1425"/>
    <n v="7038"/>
    <n v="4.9389473684210525"/>
    <x v="1"/>
    <x v="0"/>
    <s v="Camp"/>
    <x v="0"/>
    <x v="0"/>
    <x v="2"/>
    <s v="IP"/>
    <d v="2018-04-30T00:00:00"/>
    <s v="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Muse"/>
    <s v="MMR015D002"/>
    <x v="7"/>
    <s v="MMR015010"/>
    <s v="Mong Wee"/>
    <s v="MMR015010036"/>
    <s v="Mong Wee"/>
    <n v="208469"/>
    <x v="246"/>
    <x v="249"/>
    <x v="192"/>
    <n v="23.611999999999998"/>
    <m/>
    <m/>
    <m/>
    <s v="NA"/>
    <x v="0"/>
    <x v="0"/>
    <s v="Camp"/>
    <x v="1"/>
    <x v="44"/>
    <x v="4"/>
    <s v="IP"/>
    <d v="2017-06-02T00:00:00"/>
    <s v="2/June/2017: Changed camp status as &quot;Closed&quot;. Data source: UNOCHA and confirmed by CCCM unit._x000a_25/Jul/2016: Added as new camp according to KBC data. Data was given by Jade"/>
    <s v=""/>
    <s v=""/>
    <s v=""/>
  </r>
  <r>
    <x v="0"/>
    <x v="1"/>
    <s v="MMR015"/>
    <s v="Muse"/>
    <s v="MMR015D002"/>
    <x v="7"/>
    <s v="MMR015010"/>
    <s v="Mong Wee"/>
    <s v="MMR015010036"/>
    <s v="Mong Wee"/>
    <n v="208469"/>
    <x v="247"/>
    <x v="250"/>
    <x v="193"/>
    <n v="23.611999999999998"/>
    <m/>
    <n v="61"/>
    <n v="276"/>
    <n v="4.5245901639344259"/>
    <x v="0"/>
    <x v="0"/>
    <s v="Camp like setting"/>
    <x v="1"/>
    <x v="45"/>
    <x v="4"/>
    <s v="IP"/>
    <d v="2017-06-02T00:00:00"/>
    <s v="2/Jun/2017: Population update. Data source: WASH cluster._x000a_25/Jul/2016: Added as new camp according to KBC data. Data was given by Jade"/>
    <s v=""/>
    <s v=""/>
    <s v=""/>
  </r>
  <r>
    <x v="0"/>
    <x v="1"/>
    <s v="MMR015"/>
    <s v="Muse"/>
    <s v="MMR015D002"/>
    <x v="16"/>
    <s v="MMR015011"/>
    <s v="Nam Hpat Kar"/>
    <s v="MMR015011020"/>
    <s v="Aung Tha Pyay Ward"/>
    <m/>
    <x v="248"/>
    <x v="251"/>
    <x v="194"/>
    <n v="23.682887999999998"/>
    <m/>
    <n v="39"/>
    <n v="159"/>
    <n v="4.0769230769230766"/>
    <x v="0"/>
    <x v="0"/>
    <s v="Camp"/>
    <x v="0"/>
    <x v="44"/>
    <x v="6"/>
    <s v="IP"/>
    <d v="2018-04-30T00:00:00"/>
    <s v="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0"/>
    <s v="MMR015002"/>
    <s v="Kawng Wein"/>
    <s v="MMR015002026"/>
    <s v="Kawng Wein"/>
    <n v="206395"/>
    <x v="249"/>
    <x v="252"/>
    <x v="195"/>
    <n v="23.353999999999999"/>
    <m/>
    <m/>
    <m/>
    <s v="NA"/>
    <x v="0"/>
    <x v="0"/>
    <s v="Camp"/>
    <x v="0"/>
    <x v="45"/>
    <x v="4"/>
    <s v="IP"/>
    <d v="2017-07-11T00:00:00"/>
    <s v="11/Jul/2017: Camp status change into closed. KBC said Camp will be combine with Nam Sa Larp. DATA Source: KBC_x000a_25/Jul/2016: Added as new camp according to KBC data. Data was given by Jade"/>
    <s v=""/>
    <s v=""/>
    <s v=""/>
  </r>
  <r>
    <x v="0"/>
    <x v="1"/>
    <s v="MMR015"/>
    <s v="Muse"/>
    <s v="MMR015D002"/>
    <x v="16"/>
    <s v="MMR015011"/>
    <s v="Mung Hawm"/>
    <m/>
    <s v="Htoi San Yang "/>
    <m/>
    <x v="250"/>
    <x v="253"/>
    <x v="196"/>
    <n v="23.850999999999999"/>
    <m/>
    <n v="30"/>
    <n v="170"/>
    <n v="5.666666666666667"/>
    <x v="0"/>
    <x v="0"/>
    <s v="Camp like setting"/>
    <x v="1"/>
    <x v="44"/>
    <x v="4"/>
    <s v="IP"/>
    <d v="2016-07-11T00:00:00"/>
    <s v="No update information since Jul/2016, KBC to follow up_x000a_25/Jul/2016: Added as new camp according to KBC data."/>
    <s v=""/>
    <s v=""/>
    <s v=""/>
  </r>
  <r>
    <x v="1"/>
    <x v="1"/>
    <s v="MMR015"/>
    <s v="Kyaukme"/>
    <s v="MMR015D003"/>
    <x v="19"/>
    <s v="MMR015015"/>
    <s v="Namtu Town"/>
    <s v="MMR015015701"/>
    <s v="Namtu Ward"/>
    <s v="MMR015015701501"/>
    <x v="251"/>
    <x v="254"/>
    <x v="197"/>
    <n v="23.099304"/>
    <m/>
    <m/>
    <m/>
    <s v="NA"/>
    <x v="0"/>
    <x v="0"/>
    <s v="Camp"/>
    <x v="0"/>
    <x v="15"/>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52"/>
    <x v="255"/>
    <x v="27"/>
    <m/>
    <m/>
    <n v="13"/>
    <n v="45"/>
    <n v="3.4615384615384617"/>
    <x v="0"/>
    <x v="0"/>
    <s v="Camp like setting"/>
    <x v="0"/>
    <x v="15"/>
    <x v="4"/>
    <s v="IP"/>
    <d v="2017-01-17T00:00:00"/>
    <s v="Closed as of 1st of September 2017"/>
    <s v=""/>
    <s v=""/>
    <s v=""/>
  </r>
  <r>
    <x v="1"/>
    <x v="1"/>
    <s v="MMR015"/>
    <s v="Kyaukme"/>
    <s v="MMR015D003"/>
    <x v="19"/>
    <s v="MMR015015"/>
    <s v="Namtu Town"/>
    <s v="MMR015015701"/>
    <s v="Namtu Ward"/>
    <s v="MMR015015701501"/>
    <x v="253"/>
    <x v="256"/>
    <x v="27"/>
    <m/>
    <m/>
    <m/>
    <m/>
    <s v="NA"/>
    <x v="0"/>
    <x v="0"/>
    <s v="Camp"/>
    <x v="0"/>
    <x v="15"/>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54"/>
    <x v="257"/>
    <x v="27"/>
    <m/>
    <m/>
    <m/>
    <m/>
    <s v="NA"/>
    <x v="0"/>
    <x v="0"/>
    <s v="Camp"/>
    <x v="0"/>
    <x v="15"/>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9"/>
    <s v="MMR015015"/>
    <s v="Namtu Town"/>
    <s v="MMR015015701"/>
    <s v="Namtu Ward"/>
    <s v="MMR015015701501"/>
    <x v="255"/>
    <x v="258"/>
    <x v="27"/>
    <m/>
    <m/>
    <n v="43"/>
    <n v="223"/>
    <n v="5.1860465116279073"/>
    <x v="0"/>
    <x v="0"/>
    <s v="Camp"/>
    <x v="0"/>
    <x v="15"/>
    <x v="6"/>
    <s v="IP"/>
    <d v="2018-04-30T00:00:00"/>
    <s v="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1"/>
    <x v="1"/>
    <s v="MMR015"/>
    <s v="Muse"/>
    <s v="MMR015D002"/>
    <x v="13"/>
    <s v="MMR015009"/>
    <s v="Muse Town"/>
    <s v="MMR015009701"/>
    <s v="Ho Mun Ward"/>
    <s v="MMR015009701504"/>
    <x v="256"/>
    <x v="259"/>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Myauk Ward"/>
    <s v="MMR015009701505"/>
    <x v="257"/>
    <x v="260"/>
    <x v="27"/>
    <m/>
    <m/>
    <m/>
    <m/>
    <s v="NA"/>
    <x v="0"/>
    <x v="0"/>
    <s v="Camp"/>
    <x v="0"/>
    <x v="15"/>
    <x v="4"/>
    <m/>
    <d v="2017-01-17T00:00:00"/>
    <s v="17-01-2017: New added camp. Missing data will be collected from partners and present in next Report."/>
    <s v=""/>
    <s v=""/>
    <s v=""/>
  </r>
  <r>
    <x v="1"/>
    <x v="1"/>
    <s v="MMR015"/>
    <s v="Muse"/>
    <s v="MMR015D002"/>
    <x v="13"/>
    <s v="MMR015009"/>
    <s v="Muse Town"/>
    <s v="MMR015009701"/>
    <s v="Taung Ward"/>
    <s v="MMR015009701503"/>
    <x v="258"/>
    <x v="261"/>
    <x v="27"/>
    <m/>
    <m/>
    <m/>
    <m/>
    <s v="NA"/>
    <x v="0"/>
    <x v="0"/>
    <s v="Camp"/>
    <x v="0"/>
    <x v="15"/>
    <x v="4"/>
    <m/>
    <d v="2017-01-17T00:00:00"/>
    <s v="17-01-2017: New added camp. Missing data will be collected from partners and present in next Report."/>
    <s v=""/>
    <s v=""/>
    <s v=""/>
  </r>
  <r>
    <x v="1"/>
    <x v="1"/>
    <s v="MMR015"/>
    <s v="Muse"/>
    <s v="MMR015D002"/>
    <x v="13"/>
    <s v="MMR015009"/>
    <m/>
    <m/>
    <m/>
    <m/>
    <x v="259"/>
    <x v="262"/>
    <x v="27"/>
    <m/>
    <m/>
    <m/>
    <m/>
    <s v="NA"/>
    <x v="0"/>
    <x v="0"/>
    <s v="Camp"/>
    <x v="3"/>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Swei Taw Ward"/>
    <s v="MMR015009701507"/>
    <x v="260"/>
    <x v="263"/>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3"/>
    <s v="MMR001002"/>
    <s v="Moke Lwe"/>
    <s v="MMR001002002"/>
    <s v="Khar Shi"/>
    <n v="216822"/>
    <x v="261"/>
    <x v="264"/>
    <x v="198"/>
    <n v="25.305008999999998"/>
    <m/>
    <n v="62"/>
    <n v="410"/>
    <n v="6.612903225806452"/>
    <x v="0"/>
    <x v="0"/>
    <s v="Camp like setting"/>
    <x v="1"/>
    <x v="15"/>
    <x v="4"/>
    <s v="WV"/>
    <d v="2017-06-02T00:00:00"/>
    <s v="2/June/2017: New added camp. Data source: WASH cluster, WV (World Vision)."/>
    <s v=""/>
    <s v=""/>
    <s v=""/>
  </r>
  <r>
    <x v="1"/>
    <x v="1"/>
    <s v="MMR015"/>
    <s v="Muse"/>
    <s v="MMR015D002"/>
    <x v="13"/>
    <s v="MMR015009"/>
    <s v="Nam Pang"/>
    <s v="MMR015009001"/>
    <s v="Nam Hkon"/>
    <n v="208003"/>
    <x v="262"/>
    <x v="265"/>
    <x v="27"/>
    <m/>
    <m/>
    <m/>
    <m/>
    <s v="NA"/>
    <x v="0"/>
    <x v="0"/>
    <s v="Camp"/>
    <x v="1"/>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Ho Mun Ward"/>
    <s v="MMR015009701504"/>
    <x v="263"/>
    <x v="266"/>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m/>
    <m/>
    <x v="264"/>
    <x v="267"/>
    <x v="27"/>
    <m/>
    <m/>
    <m/>
    <m/>
    <s v="NA"/>
    <x v="0"/>
    <x v="0"/>
    <s v="Camp"/>
    <x v="3"/>
    <x v="15"/>
    <x v="4"/>
    <m/>
    <d v="2017-01-17T00:00:00"/>
    <s v="17-01-2017: New added camp. Missing data will be collected from partners and present in next Report."/>
    <s v=""/>
    <s v=""/>
    <s v=""/>
  </r>
  <r>
    <x v="1"/>
    <x v="1"/>
    <s v="MMR015"/>
    <s v="Muse"/>
    <s v="MMR015D002"/>
    <x v="13"/>
    <s v="MMR015009"/>
    <s v="Muse Town"/>
    <s v="MMR015009701"/>
    <s v="Ho Mun Ward"/>
    <s v="MMR015009701504"/>
    <x v="265"/>
    <x v="268"/>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0"/>
    <x v="1"/>
    <s v="MMR015"/>
    <s v="Lashio"/>
    <s v="MMR015D001"/>
    <x v="20"/>
    <s v="MMR015002"/>
    <s v="Nam Sa Larp"/>
    <s v="MMR015002021"/>
    <s v="Nam Sa Larp"/>
    <n v="206352"/>
    <x v="266"/>
    <x v="269"/>
    <x v="199"/>
    <n v="23.354268999999999"/>
    <m/>
    <n v="32"/>
    <n v="167"/>
    <n v="5.21875"/>
    <x v="0"/>
    <x v="0"/>
    <s v="Camp"/>
    <x v="1"/>
    <x v="32"/>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6"/>
    <s v="MMR015011"/>
    <s v="Mong Yu"/>
    <s v="MMR015011030"/>
    <s v="Mong Yu"/>
    <n v="208747"/>
    <x v="267"/>
    <x v="270"/>
    <x v="200"/>
    <n v="23.591999999999999"/>
    <m/>
    <n v="108"/>
    <n v="527"/>
    <n v="4.8796296296296298"/>
    <x v="0"/>
    <x v="0"/>
    <s v="Camp"/>
    <x v="1"/>
    <x v="46"/>
    <x v="0"/>
    <s v="IP"/>
    <d v="2018-04-30T00:00:00"/>
    <s v="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0"/>
    <m/>
    <s v="Myitkyina"/>
    <m/>
    <x v="21"/>
    <m/>
    <s v="Tanai"/>
    <m/>
    <m/>
    <m/>
    <x v="268"/>
    <x v="271"/>
    <x v="27"/>
    <m/>
    <m/>
    <n v="30"/>
    <n v="130"/>
    <n v="4.333333333333333"/>
    <x v="0"/>
    <x v="0"/>
    <s v="Camp like setting"/>
    <x v="0"/>
    <x v="47"/>
    <x v="4"/>
    <s v="IP"/>
    <s v="20-12-17"/>
    <m/>
    <s v=""/>
    <s v=""/>
    <s v=""/>
  </r>
  <r>
    <x v="0"/>
    <x v="0"/>
    <m/>
    <s v="Myitkyina"/>
    <m/>
    <x v="21"/>
    <m/>
    <s v="Tanai"/>
    <m/>
    <m/>
    <m/>
    <x v="269"/>
    <x v="272"/>
    <x v="27"/>
    <m/>
    <m/>
    <n v="42"/>
    <n v="190"/>
    <n v="4.5238095238095237"/>
    <x v="0"/>
    <x v="0"/>
    <s v="Camp like setting"/>
    <x v="0"/>
    <x v="47"/>
    <x v="4"/>
    <s v="IP"/>
    <s v="20-12-17"/>
    <m/>
    <s v=""/>
    <s v=""/>
    <s v=""/>
  </r>
  <r>
    <x v="0"/>
    <x v="0"/>
    <m/>
    <s v="Myitkyina"/>
    <m/>
    <x v="21"/>
    <m/>
    <s v="Tanai"/>
    <m/>
    <m/>
    <m/>
    <x v="270"/>
    <x v="273"/>
    <x v="27"/>
    <m/>
    <m/>
    <n v="127"/>
    <n v="450"/>
    <n v="3.5433070866141732"/>
    <x v="0"/>
    <x v="0"/>
    <s v="Camp like setting"/>
    <x v="0"/>
    <x v="47"/>
    <x v="4"/>
    <s v="IP"/>
    <s v="20-12-17"/>
    <m/>
    <s v=""/>
    <s v=""/>
    <s v=""/>
  </r>
  <r>
    <x v="0"/>
    <x v="0"/>
    <m/>
    <s v="Myitkyina"/>
    <m/>
    <x v="21"/>
    <m/>
    <s v="Tanai"/>
    <m/>
    <m/>
    <m/>
    <x v="271"/>
    <x v="274"/>
    <x v="27"/>
    <m/>
    <m/>
    <n v="36"/>
    <n v="145"/>
    <n v="4.0277777777777777"/>
    <x v="0"/>
    <x v="0"/>
    <s v="Camp like setting"/>
    <x v="0"/>
    <x v="47"/>
    <x v="4"/>
    <s v="IP"/>
    <s v="20-12-17"/>
    <m/>
    <s v=""/>
    <s v=""/>
    <s v=""/>
  </r>
  <r>
    <x v="1"/>
    <x v="1"/>
    <s v="MMR015"/>
    <s v="Muse"/>
    <s v="MMR015D002"/>
    <x v="13"/>
    <s v="MMR015009"/>
    <s v="Muse Town"/>
    <s v="MMR015009701"/>
    <s v="Ho Mun Ward"/>
    <s v="MMR015009701504"/>
    <x v="272"/>
    <x v="275"/>
    <x v="27"/>
    <m/>
    <m/>
    <m/>
    <m/>
    <s v="NA"/>
    <x v="0"/>
    <x v="0"/>
    <s v="Camp"/>
    <x v="0"/>
    <x v="15"/>
    <x v="4"/>
    <s v="IP"/>
    <d v="2017-04-06T00:00:00"/>
    <s v="6/Apr/2017: Changed camp status as &quot;closed&quot;. Data source: CCCM_UNHCR, comfirmed by partners (KBC)_x000a_17-01-2017: New added camp. Missing data will be collected from partners and present in next Report."/>
    <s v=""/>
    <s v=""/>
    <s v=""/>
  </r>
  <r>
    <x v="1"/>
    <x v="0"/>
    <m/>
    <s v="Mohnyin"/>
    <m/>
    <x v="9"/>
    <m/>
    <s v="Mogaung Town"/>
    <m/>
    <s v="Namti"/>
    <m/>
    <x v="273"/>
    <x v="276"/>
    <x v="27"/>
    <m/>
    <m/>
    <n v="245"/>
    <n v="1084"/>
    <n v="4.4244897959183671"/>
    <x v="0"/>
    <x v="0"/>
    <s v="Camp like setting"/>
    <x v="0"/>
    <x v="48"/>
    <x v="4"/>
    <s v="IP"/>
    <s v="31-08-17"/>
    <s v="IDPs returned"/>
    <s v="Mogaung Town"/>
    <s v=""/>
    <s v=""/>
  </r>
  <r>
    <x v="0"/>
    <x v="0"/>
    <s v="MMR001"/>
    <s v="Bhamo"/>
    <s v="MMR001D003"/>
    <x v="5"/>
    <s v="MMR001010"/>
    <s v="Han Te"/>
    <s v="MMR001010024"/>
    <s v="Han Te"/>
    <n v="166851"/>
    <x v="274"/>
    <x v="277"/>
    <x v="201"/>
    <n v="24.24953"/>
    <n v="0"/>
    <n v="14"/>
    <n v="77"/>
    <n v="5.5"/>
    <x v="0"/>
    <x v="0"/>
    <s v="Camp"/>
    <x v="0"/>
    <x v="12"/>
    <x v="1"/>
    <s v="IP"/>
    <d v="2018-04-30T00:00:00"/>
    <s v="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m/>
    <s v="Myitkyina"/>
    <m/>
    <x v="0"/>
    <m/>
    <s v="Myitkyina Town"/>
    <m/>
    <s v="Pa Ma Tee"/>
    <m/>
    <x v="275"/>
    <x v="278"/>
    <x v="27"/>
    <m/>
    <m/>
    <n v="25"/>
    <n v="69"/>
    <n v="2.76"/>
    <x v="0"/>
    <x v="0"/>
    <s v="Camp like setting"/>
    <x v="0"/>
    <x v="49"/>
    <x v="3"/>
    <s v="IP"/>
    <s v="31-08-17"/>
    <s v="New displacement from Ka Sung"/>
    <s v="Myitkyina Town"/>
    <s v=""/>
    <s v=""/>
  </r>
  <r>
    <x v="0"/>
    <x v="0"/>
    <m/>
    <s v="Waignmaw"/>
    <m/>
    <x v="3"/>
    <m/>
    <s v="Sadung"/>
    <m/>
    <s v="Sadung"/>
    <m/>
    <x v="276"/>
    <x v="279"/>
    <x v="27"/>
    <m/>
    <m/>
    <n v="80"/>
    <n v="449"/>
    <n v="5.6124999999999998"/>
    <x v="0"/>
    <x v="0"/>
    <s v="Camp like setting"/>
    <x v="1"/>
    <x v="50"/>
    <x v="4"/>
    <s v="IP"/>
    <d v="2017-10-31T00:00:00"/>
    <s v="UNHCR/DRC joint mission"/>
    <s v="Waingmaw Town"/>
    <n v="45"/>
    <n v="10"/>
  </r>
  <r>
    <x v="1"/>
    <x v="1"/>
    <s v="MMR015"/>
    <s v="Muse"/>
    <s v="MMR015D002"/>
    <x v="13"/>
    <s v="MMR015009"/>
    <m/>
    <m/>
    <m/>
    <m/>
    <x v="277"/>
    <x v="280"/>
    <x v="27"/>
    <m/>
    <m/>
    <m/>
    <m/>
    <s v="NA"/>
    <x v="0"/>
    <x v="0"/>
    <s v="Camp"/>
    <x v="3"/>
    <x v="15"/>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78"/>
    <x v="281"/>
    <x v="202"/>
    <n v="22.677008000000001"/>
    <m/>
    <n v="37"/>
    <n v="120"/>
    <n v="3.2432432432432434"/>
    <x v="0"/>
    <x v="0"/>
    <s v="Camp like setting"/>
    <x v="1"/>
    <x v="15"/>
    <x v="4"/>
    <s v="IP"/>
    <d v="2017-01-17T00:00:00"/>
    <s v="17-01-2017: New added camp. Missing data will be collected from partners and present in next Report."/>
    <s v=""/>
    <s v=""/>
    <s v=""/>
  </r>
  <r>
    <x v="0"/>
    <x v="1"/>
    <s v="MMR015"/>
    <s v="Muse"/>
    <s v="MMR015D002"/>
    <x v="16"/>
    <s v="MMR015011"/>
    <s v="Kutkai Town"/>
    <s v="MMR015011701"/>
    <s v="No (6) Ward"/>
    <s v="MMR015011701506"/>
    <x v="279"/>
    <x v="282"/>
    <x v="145"/>
    <n v="23.460349999999998"/>
    <m/>
    <n v="39"/>
    <n v="145"/>
    <n v="3.7179487179487181"/>
    <x v="0"/>
    <x v="0"/>
    <s v="Camp"/>
    <x v="0"/>
    <x v="51"/>
    <x v="0"/>
    <s v="IP"/>
    <d v="2018-04-30T00:00:00"/>
    <s v="30/Apr/2018: Population update. Data source: KBC_x000a_27/Mar/2018: Population update. Data source: KBC_x000a_5/Mar/2018: Population update. Data source: KBC_x000a_CCCM activities start in july 2017"/>
    <s v=""/>
    <s v=""/>
    <s v=""/>
  </r>
  <r>
    <x v="0"/>
    <x v="1"/>
    <s v="MMR015"/>
    <s v="Muse"/>
    <s v="MMR015D002"/>
    <x v="16"/>
    <s v="MMR015011"/>
    <s v="Kawng Hkar Man Pying"/>
    <s v="MMR015011002"/>
    <s v="Man Loi"/>
    <n v="208530"/>
    <x v="280"/>
    <x v="283"/>
    <x v="27"/>
    <m/>
    <m/>
    <n v="24"/>
    <n v="84"/>
    <n v="3.5"/>
    <x v="0"/>
    <x v="0"/>
    <s v="Camp like setting"/>
    <x v="1"/>
    <x v="15"/>
    <x v="4"/>
    <s v="IP"/>
    <d v="2017-05-06T00:00:00"/>
    <s v="6/May/2017: New added camp. Data source: KBC. Camp was confirmed by CCCM unit. The missing informaiton will be updated as soon as possible."/>
    <s v=""/>
    <s v=""/>
    <s v=""/>
  </r>
  <r>
    <x v="0"/>
    <x v="1"/>
    <s v="MMR015"/>
    <s v="Muse"/>
    <s v="MMR015D002"/>
    <x v="13"/>
    <s v="MMR015009"/>
    <s v="Hpai Kawng (Pang Hseng-Kyu Koke Sub-township"/>
    <s v="MMR015009031"/>
    <s v="Hpai Kawng"/>
    <n v="208156"/>
    <x v="281"/>
    <x v="284"/>
    <x v="153"/>
    <n v="24.08738"/>
    <m/>
    <n v="152"/>
    <n v="779"/>
    <n v="5.125"/>
    <x v="0"/>
    <x v="0"/>
    <s v="Camp"/>
    <x v="1"/>
    <x v="15"/>
    <x v="0"/>
    <s v="IP"/>
    <d v="2018-04-30T00:00:00"/>
    <s v="30/Apr/2018: Population update. Data source: KBC_x000a_27/Mar/2018: Population update. Data source: KBC_x000a_5/Mar/2018: Population update. Data source: KBC_x000a_CCCM activities start in july 2017"/>
    <s v=""/>
    <s v=""/>
    <s v=""/>
  </r>
  <r>
    <x v="0"/>
    <x v="1"/>
    <m/>
    <s v="Muse"/>
    <m/>
    <x v="16"/>
    <m/>
    <s v="Pan Law"/>
    <m/>
    <s v="Pan Law"/>
    <m/>
    <x v="282"/>
    <x v="285"/>
    <x v="27"/>
    <m/>
    <m/>
    <n v="39"/>
    <n v="202"/>
    <n v="5.1794871794871797"/>
    <x v="0"/>
    <x v="0"/>
    <s v="Camp like setting"/>
    <x v="1"/>
    <x v="39"/>
    <x v="4"/>
    <s v="IP"/>
    <d v="2017-09-30T00:00:00"/>
    <m/>
    <s v=""/>
    <s v=""/>
    <s v=""/>
  </r>
  <r>
    <x v="0"/>
    <x v="1"/>
    <s v="MMR015"/>
    <s v="Kyaukme"/>
    <s v="MMR015D003"/>
    <x v="19"/>
    <s v="MMR015015"/>
    <s v="Namtu Town"/>
    <s v="MMR015015701"/>
    <s v="Namtu Ward"/>
    <s v="MMR015015701501"/>
    <x v="283"/>
    <x v="286"/>
    <x v="197"/>
    <n v="23.099304"/>
    <m/>
    <n v="59"/>
    <n v="275"/>
    <n v="4.6610169491525424"/>
    <x v="0"/>
    <x v="0"/>
    <s v="Camp"/>
    <x v="0"/>
    <x v="52"/>
    <x v="6"/>
    <s v="IP"/>
    <d v="2018-04-30T00:00:00"/>
    <s v="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 cacheId="47"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1">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5"/>
        <item x="2"/>
        <item x="1"/>
        <item x="20"/>
        <item x="22"/>
        <item x="14"/>
        <item x="10"/>
        <item x="16"/>
        <item x="17"/>
        <item x="6"/>
        <item x="18"/>
        <item x="9"/>
        <item x="12"/>
        <item x="4"/>
        <item x="13"/>
        <item x="0"/>
        <item x="7"/>
        <item x="19"/>
        <item x="11"/>
        <item x="8"/>
        <item x="15"/>
        <item x="2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67">
      <pivotArea type="all" dataOnly="0" outline="0" fieldPosition="0"/>
    </format>
    <format dxfId="1166">
      <pivotArea field="1" type="button" dataOnly="0" labelOnly="1" outline="0" axis="axisPage" fieldPosition="0"/>
    </format>
    <format dxfId="1165">
      <pivotArea dataOnly="0" labelOnly="1" outline="0" fieldPosition="0">
        <references count="1">
          <reference field="4294967294" count="1">
            <x v="0"/>
          </reference>
        </references>
      </pivotArea>
    </format>
    <format dxfId="1164">
      <pivotArea grandRow="1" outline="0" collapsedLevelsAreSubtotals="1" fieldPosition="0"/>
    </format>
    <format dxfId="1163">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47"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291" firstHeaderRow="1" firstDataRow="1" firstDataCol="1"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69"/>
        <item x="208"/>
        <item x="194"/>
        <item x="211"/>
        <item x="212"/>
        <item x="130"/>
        <item x="148"/>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2" cacheId="47"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290" firstHeaderRow="0" firstDataRow="1" firstDataCol="3"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2"/>
        <item x="1"/>
        <item x="20"/>
        <item x="14"/>
        <item x="10"/>
        <item x="16"/>
        <item x="17"/>
        <item x="6"/>
        <item x="18"/>
        <item x="9"/>
        <item x="12"/>
        <item x="4"/>
        <item x="13"/>
        <item x="0"/>
        <item x="7"/>
        <item x="19"/>
        <item x="11"/>
        <item x="8"/>
        <item x="15"/>
        <item x="3"/>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6"/>
        <item x="48"/>
        <item x="3"/>
        <item x="6"/>
        <item x="152"/>
        <item x="140"/>
        <item x="149"/>
        <item x="91"/>
        <item x="196"/>
        <item x="197"/>
        <item x="195"/>
        <item x="119"/>
        <item x="166"/>
        <item x="151"/>
        <item x="118"/>
        <item x="21"/>
        <item x="52"/>
        <item x="17"/>
        <item x="85"/>
        <item x="18"/>
        <item x="142"/>
        <item x="20"/>
        <item x="26"/>
        <item x="159"/>
        <item x="165"/>
        <item x="227"/>
        <item x="231"/>
        <item x="44"/>
        <item x="23"/>
        <item x="89"/>
        <item x="96"/>
        <item x="25"/>
        <item x="167"/>
        <item x="145"/>
        <item x="97"/>
        <item x="186"/>
        <item x="39"/>
        <item x="79"/>
        <item x="45"/>
        <item x="189"/>
        <item x="198"/>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13"/>
        <item x="128"/>
        <item x="7"/>
        <item x="193"/>
        <item x="194"/>
        <item x="63"/>
        <item x="178"/>
        <item x="94"/>
        <item x="129"/>
        <item x="134"/>
        <item x="122"/>
        <item x="58"/>
        <item x="220"/>
        <item x="225"/>
        <item x="55"/>
        <item x="95"/>
        <item x="93"/>
        <item x="100"/>
        <item x="103"/>
        <item x="104"/>
        <item x="98"/>
        <item x="105"/>
        <item x="102"/>
        <item x="40"/>
        <item x="47"/>
        <item x="111"/>
        <item x="87"/>
        <item x="84"/>
        <item x="83"/>
        <item x="49"/>
        <item x="86"/>
        <item x="157"/>
        <item x="50"/>
        <item x="57"/>
        <item x="101"/>
        <item x="90"/>
        <item x="228"/>
        <item x="183"/>
        <item x="216"/>
        <item x="184"/>
        <item x="156"/>
        <item x="51"/>
        <item x="14"/>
        <item x="61"/>
        <item x="136"/>
        <item x="212"/>
        <item x="211"/>
        <item x="56"/>
        <item x="206"/>
        <item x="54"/>
        <item x="221"/>
        <item x="99"/>
        <item x="218"/>
        <item x="187"/>
        <item x="190"/>
        <item x="137"/>
        <item x="53"/>
        <item x="222"/>
        <item x="226"/>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72"/>
        <item x="5"/>
        <item x="160"/>
        <item x="38"/>
        <item x="66"/>
        <item x="210"/>
        <item x="8"/>
        <item x="200"/>
        <item x="244"/>
        <item x="203"/>
        <item x="188"/>
        <item x="161"/>
        <item x="115"/>
        <item x="60"/>
        <item x="0"/>
        <item x="169"/>
        <item x="2"/>
        <item x="4"/>
        <item x="170"/>
        <item x="106"/>
        <item x="192"/>
        <item x="75"/>
        <item x="175"/>
        <item x="33"/>
        <item x="164"/>
        <item x="124"/>
        <item x="245"/>
        <item x="42"/>
        <item x="154"/>
        <item x="19"/>
        <item x="274"/>
        <item x="78"/>
        <item x="181"/>
        <item x="234"/>
        <item x="69"/>
        <item x="191"/>
        <item x="205"/>
        <item x="208"/>
        <item x="209"/>
        <item x="235"/>
        <item x="239"/>
        <item x="130"/>
        <item x="237"/>
        <item x="148"/>
        <item x="241"/>
        <item x="163"/>
        <item x="238"/>
        <item x="213"/>
        <item x="214"/>
        <item x="215"/>
        <item x="32"/>
        <item x="31"/>
        <item x="121"/>
        <item x="92"/>
        <item x="168"/>
        <item x="116"/>
        <item x="171"/>
        <item x="266"/>
        <item x="217"/>
        <item x="172"/>
        <item x="219"/>
        <item x="173"/>
        <item x="176"/>
        <item x="224"/>
        <item x="240"/>
        <item x="229"/>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 x="233"/>
        <item x="267"/>
      </items>
      <extLst>
        <ext xmlns:x14="http://schemas.microsoft.com/office/spreadsheetml/2009/9/main" uri="{2946ED86-A175-432a-8AC1-64E0C546D7DE}">
          <x14:pivotField fillDownLabels="1"/>
        </ext>
      </extLst>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214"/>
        <item x="54"/>
        <item x="56"/>
        <item x="215"/>
        <item x="90"/>
        <item x="219"/>
        <item x="221"/>
        <item x="223"/>
        <item x="97"/>
        <item x="99"/>
        <item x="101"/>
        <item x="225"/>
        <item x="174"/>
        <item x="235"/>
        <item x="179"/>
        <item x="236"/>
        <item x="187"/>
        <item x="237"/>
        <item x="189"/>
        <item x="209"/>
        <item x="224"/>
        <item x="226"/>
        <item x="228"/>
        <item x="229"/>
        <item x="230"/>
        <item x="234"/>
        <item x="69"/>
        <item x="208"/>
        <item x="194"/>
        <item x="211"/>
        <item x="212"/>
        <item x="238"/>
        <item x="242"/>
        <item x="244"/>
        <item x="130"/>
        <item x="240"/>
        <item x="148"/>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87">
    <i>
      <x/>
      <x v="183"/>
      <x v="14"/>
    </i>
    <i>
      <x v="1"/>
      <x v="151"/>
      <x v="14"/>
    </i>
    <i>
      <x v="2"/>
      <x v="185"/>
      <x v="14"/>
    </i>
    <i>
      <x v="3"/>
      <x v="184"/>
      <x v="14"/>
    </i>
    <i>
      <x v="4"/>
      <x v="186"/>
      <x v="14"/>
    </i>
    <i>
      <x v="5"/>
      <x v="170"/>
      <x v="14"/>
    </i>
    <i>
      <x v="6"/>
      <x v="171"/>
      <x v="14"/>
    </i>
    <i>
      <x v="7"/>
      <x v="81"/>
      <x v="14"/>
    </i>
    <i>
      <x v="8"/>
      <x v="175"/>
      <x v="14"/>
    </i>
    <i>
      <x v="9"/>
      <x v="274"/>
      <x v="14"/>
    </i>
    <i>
      <x v="10"/>
      <x v="51"/>
      <x v="14"/>
    </i>
    <i>
      <x v="11"/>
      <x v="60"/>
      <x v="14"/>
    </i>
    <i>
      <x v="12"/>
      <x v="59"/>
      <x v="14"/>
    </i>
    <i>
      <x v="13"/>
      <x v="79"/>
      <x v="14"/>
    </i>
    <i>
      <x v="14"/>
      <x v="121"/>
      <x v="14"/>
    </i>
    <i>
      <x v="15"/>
      <x v="43"/>
      <x v="14"/>
    </i>
    <i>
      <x v="16"/>
      <x v="44"/>
      <x v="14"/>
    </i>
    <i>
      <x v="17"/>
      <x v="102"/>
      <x v="14"/>
    </i>
    <i>
      <x v="18"/>
      <x v="103"/>
      <x v="14"/>
    </i>
    <i>
      <x v="19"/>
      <x v="198"/>
      <x v="14"/>
    </i>
    <i>
      <x v="20"/>
      <x v="223"/>
      <x v="14"/>
    </i>
    <i>
      <x v="21"/>
      <x v="138"/>
      <x v="14"/>
    </i>
    <i>
      <x v="22"/>
      <x v="161"/>
      <x v="20"/>
    </i>
    <i>
      <x v="23"/>
      <x v="163"/>
      <x v="20"/>
    </i>
    <i>
      <x v="24"/>
      <x v="71"/>
      <x v="20"/>
    </i>
    <i>
      <x v="25"/>
      <x v="30"/>
      <x v="20"/>
    </i>
    <i>
      <x v="26"/>
      <x v="75"/>
      <x v="20"/>
    </i>
    <i>
      <x v="27"/>
      <x v="162"/>
      <x v="20"/>
    </i>
    <i>
      <x v="28"/>
      <x v="74"/>
      <x v="20"/>
    </i>
    <i>
      <x v="29"/>
      <x v="160"/>
      <x v="20"/>
    </i>
    <i>
      <x v="30"/>
      <x v="145"/>
      <x v="20"/>
    </i>
    <i>
      <x v="31"/>
      <x v="220"/>
      <x v="20"/>
    </i>
    <i>
      <x v="32"/>
      <x v="219"/>
      <x v="20"/>
    </i>
    <i>
      <x v="33"/>
      <x v="192"/>
      <x v="20"/>
    </i>
    <i>
      <x v="34"/>
      <x v="187"/>
      <x v="20"/>
    </i>
    <i>
      <x v="35"/>
      <x v="191"/>
      <x v="20"/>
    </i>
    <i>
      <x v="36"/>
      <x v="77"/>
      <x v="20"/>
    </i>
    <i>
      <x v="37"/>
      <x v="76"/>
      <x v="20"/>
    </i>
    <i>
      <x v="38"/>
      <x v="172"/>
      <x v="20"/>
    </i>
    <i>
      <x v="39"/>
      <x v="21"/>
      <x v="1"/>
    </i>
    <i>
      <x v="40"/>
      <x v="38"/>
      <x v="1"/>
    </i>
    <i>
      <x v="41"/>
      <x v="196"/>
      <x v="1"/>
    </i>
    <i>
      <x v="42"/>
      <x v="55"/>
      <x v="1"/>
    </i>
    <i>
      <x v="43"/>
      <x v="29"/>
      <x v="1"/>
    </i>
    <i>
      <x v="44"/>
      <x v="165"/>
      <x/>
    </i>
    <i>
      <x v="45"/>
      <x v="46"/>
      <x/>
    </i>
    <i>
      <x v="46"/>
      <x v="64"/>
      <x/>
    </i>
    <i>
      <x v="47"/>
      <x v="3"/>
      <x/>
    </i>
    <i>
      <x v="48"/>
      <x v="120"/>
      <x/>
    </i>
    <i>
      <x v="49"/>
      <x v="40"/>
      <x/>
    </i>
    <i>
      <x v="50"/>
      <x v="199"/>
      <x/>
    </i>
    <i>
      <x v="51"/>
      <x v="139"/>
      <x/>
    </i>
    <i>
      <x v="52"/>
      <x v="180"/>
      <x/>
    </i>
    <i>
      <x v="53"/>
      <x v="111"/>
      <x v="12"/>
    </i>
    <i>
      <x v="54"/>
      <x v="112"/>
      <x v="12"/>
    </i>
    <i>
      <x v="55"/>
      <x v="90"/>
      <x v="12"/>
    </i>
    <i>
      <x v="56"/>
      <x v="150"/>
      <x v="12"/>
    </i>
    <i>
      <x v="57"/>
      <x v="182"/>
      <x v="12"/>
    </i>
    <i>
      <x v="58"/>
      <x v="122"/>
      <x v="12"/>
    </i>
    <i>
      <x v="59"/>
      <x v="80"/>
      <x v="12"/>
    </i>
    <i>
      <x v="60"/>
      <x v="84"/>
      <x v="12"/>
    </i>
    <i>
      <x v="61"/>
      <x v="73"/>
      <x v="12"/>
    </i>
    <i>
      <x v="62"/>
      <x v="158"/>
      <x v="12"/>
    </i>
    <i>
      <x v="63"/>
      <x v="93"/>
      <x v="8"/>
    </i>
    <i>
      <x v="64"/>
      <x v="173"/>
      <x v="18"/>
    </i>
    <i>
      <x v="65"/>
      <x v="174"/>
      <x v="18"/>
    </i>
    <i>
      <x v="66"/>
      <x v="66"/>
      <x v="12"/>
    </i>
    <i>
      <x v="67"/>
      <x v="67"/>
      <x v="12"/>
    </i>
    <i>
      <x v="68"/>
      <x v="65"/>
      <x v="12"/>
    </i>
    <i>
      <x v="69"/>
      <x v="152"/>
      <x v="12"/>
    </i>
    <i>
      <x v="70"/>
      <x v="169"/>
      <x v="12"/>
    </i>
    <i>
      <x v="71"/>
      <x v="53"/>
      <x v="5"/>
    </i>
    <i>
      <x v="72"/>
      <x v="190"/>
      <x v="17"/>
    </i>
    <i>
      <x v="73"/>
      <x v="276"/>
      <x v="10"/>
    </i>
    <i>
      <x v="74"/>
      <x v="52"/>
      <x v="10"/>
    </i>
    <i>
      <x v="75"/>
      <x v="143"/>
      <x v="10"/>
    </i>
    <i>
      <x v="76"/>
      <x v="177"/>
      <x v="11"/>
    </i>
    <i>
      <x v="77"/>
      <x v="141"/>
      <x v="11"/>
    </i>
    <i>
      <x v="78"/>
      <x v="147"/>
      <x v="2"/>
    </i>
    <i>
      <x v="79"/>
      <x v="148"/>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8"/>
      <x v="2"/>
    </i>
    <i>
      <x v="96"/>
      <x v="156"/>
      <x v="2"/>
    </i>
    <i>
      <x v="97"/>
      <x v="140"/>
      <x v="2"/>
    </i>
    <i>
      <x v="98"/>
      <x v="168"/>
      <x v="2"/>
    </i>
    <i>
      <x v="99"/>
      <x v="200"/>
      <x v="2"/>
    </i>
    <i>
      <x v="100"/>
      <x v="104"/>
      <x v="2"/>
    </i>
    <i>
      <x v="101"/>
      <x v="69"/>
      <x v="2"/>
    </i>
    <i>
      <x v="102"/>
      <x v="166"/>
      <x v="2"/>
    </i>
    <i>
      <x v="103"/>
      <x v="19"/>
      <x v="2"/>
    </i>
    <i>
      <x v="104"/>
      <x v="181"/>
      <x v="2"/>
    </i>
    <i>
      <x v="105"/>
      <x v="224"/>
      <x v="20"/>
    </i>
    <i>
      <x v="106"/>
      <x v="17"/>
      <x v="20"/>
    </i>
    <i>
      <x v="107"/>
      <x v="16"/>
      <x v="20"/>
    </i>
    <i>
      <x v="108"/>
      <x v="31"/>
      <x v="20"/>
    </i>
    <i>
      <x v="109"/>
      <x v="195"/>
      <x v="20"/>
    </i>
    <i>
      <x v="110"/>
      <x v="221"/>
      <x v="20"/>
    </i>
    <i>
      <x v="111"/>
      <x v="89"/>
      <x v="20"/>
    </i>
    <i>
      <x v="112"/>
      <x v="72"/>
      <x v="20"/>
    </i>
    <i>
      <x v="113"/>
      <x v="222"/>
      <x v="20"/>
    </i>
    <i>
      <x v="114"/>
      <x v="45"/>
      <x v="12"/>
    </i>
    <i>
      <x v="115"/>
      <x v="39"/>
      <x v="12"/>
    </i>
    <i>
      <x v="116"/>
      <x v="24"/>
      <x v="12"/>
    </i>
    <i>
      <x v="117"/>
      <x v="154"/>
      <x v="12"/>
    </i>
    <i>
      <x v="118"/>
      <x v="56"/>
      <x v="8"/>
    </i>
    <i>
      <x v="119"/>
      <x v="18"/>
      <x v="8"/>
    </i>
    <i>
      <x v="120"/>
      <x v="149"/>
      <x v="12"/>
    </i>
    <i>
      <x v="121"/>
      <x v="87"/>
      <x v="8"/>
    </i>
    <i>
      <x v="122"/>
      <x v="86"/>
      <x v="8"/>
    </i>
    <i>
      <x v="123"/>
      <x v="88"/>
      <x v="8"/>
    </i>
    <i>
      <x v="124"/>
      <x v="68"/>
      <x v="8"/>
    </i>
    <i>
      <x v="125"/>
      <x v="123"/>
      <x v="8"/>
    </i>
    <i>
      <x v="126"/>
      <x v="134"/>
      <x v="8"/>
    </i>
    <i>
      <x v="127"/>
      <x v="58"/>
      <x v="4"/>
    </i>
    <i>
      <x v="128"/>
      <x v="57"/>
      <x v="18"/>
    </i>
    <i>
      <x v="129"/>
      <x v="32"/>
      <x v="2"/>
    </i>
    <i>
      <x v="130"/>
      <x v="146"/>
      <x v="11"/>
    </i>
    <i>
      <x v="131"/>
      <x v="22"/>
      <x/>
    </i>
    <i>
      <x v="132"/>
      <x v="159"/>
      <x v="20"/>
    </i>
    <i>
      <x v="133"/>
      <x v="153"/>
      <x v="14"/>
    </i>
    <i>
      <x v="134"/>
      <x v="35"/>
      <x/>
    </i>
    <i>
      <x v="135"/>
      <x v="63"/>
      <x v="2"/>
    </i>
    <i>
      <x v="136"/>
      <x v="2"/>
      <x v="2"/>
    </i>
    <i>
      <x v="137"/>
      <x v="13"/>
      <x v="2"/>
    </i>
    <i>
      <x v="138"/>
      <x v="8"/>
      <x v="2"/>
    </i>
    <i>
      <x v="139"/>
      <x/>
      <x v="2"/>
    </i>
    <i>
      <x v="140"/>
      <x v="15"/>
      <x v="2"/>
    </i>
    <i>
      <x v="141"/>
      <x v="6"/>
      <x v="2"/>
    </i>
    <i>
      <x v="142"/>
      <x v="23"/>
      <x v="2"/>
    </i>
    <i>
      <x v="143"/>
      <x v="197"/>
      <x v="2"/>
    </i>
    <i>
      <x v="144"/>
      <x v="4"/>
      <x v="2"/>
    </i>
    <i>
      <x v="145"/>
      <x v="119"/>
      <x v="2"/>
    </i>
    <i>
      <x v="146"/>
      <x v="110"/>
      <x v="2"/>
    </i>
    <i>
      <x v="147"/>
      <x v="1"/>
      <x v="2"/>
    </i>
    <i>
      <x v="148"/>
      <x v="25"/>
      <x v="2"/>
    </i>
    <i>
      <x v="149"/>
      <x v="62"/>
      <x v="2"/>
    </i>
    <i>
      <x v="150"/>
      <x v="164"/>
      <x v="2"/>
    </i>
    <i>
      <x v="151"/>
      <x v="167"/>
      <x v="2"/>
    </i>
    <i>
      <x v="152"/>
      <x v="194"/>
      <x v="2"/>
    </i>
    <i>
      <x v="153"/>
      <x v="193"/>
      <x v="2"/>
    </i>
    <i>
      <x v="154"/>
      <x v="26"/>
      <x v="2"/>
    </i>
    <i>
      <x v="155"/>
      <x v="14"/>
      <x v="2"/>
    </i>
    <i>
      <x v="156"/>
      <x v="34"/>
      <x v="2"/>
    </i>
    <i>
      <x v="157"/>
      <x v="5"/>
      <x v="2"/>
    </i>
    <i>
      <x v="158"/>
      <x v="33"/>
      <x v="2"/>
    </i>
    <i>
      <x v="159"/>
      <x v="135"/>
      <x v="2"/>
    </i>
    <i>
      <x v="160"/>
      <x v="157"/>
      <x/>
    </i>
    <i>
      <x v="161"/>
      <x v="7"/>
      <x/>
    </i>
    <i>
      <x v="162"/>
      <x v="61"/>
      <x v="1"/>
    </i>
    <i>
      <x v="163"/>
      <x v="35"/>
      <x v="8"/>
    </i>
    <i>
      <x v="164"/>
      <x v="35"/>
      <x v="12"/>
    </i>
    <i>
      <x v="165"/>
      <x v="85"/>
      <x v="12"/>
    </i>
    <i>
      <x v="166"/>
      <x v="35"/>
      <x v="18"/>
    </i>
    <i>
      <x v="167"/>
      <x v="47"/>
      <x v="12"/>
    </i>
    <i>
      <x v="168"/>
      <x v="201"/>
      <x v="2"/>
    </i>
    <i>
      <x v="169"/>
      <x v="54"/>
      <x v="8"/>
    </i>
    <i>
      <x v="170"/>
      <x v="116"/>
      <x v="8"/>
    </i>
    <i>
      <x v="171"/>
      <x v="132"/>
      <x v="8"/>
    </i>
    <i>
      <x v="172"/>
      <x v="179"/>
      <x v="19"/>
    </i>
    <i>
      <x v="173"/>
      <x v="41"/>
      <x v="20"/>
    </i>
    <i>
      <x v="174"/>
      <x v="133"/>
      <x v="8"/>
    </i>
    <i>
      <x v="175"/>
      <x v="155"/>
      <x v="1"/>
    </i>
    <i>
      <x v="176"/>
      <x v="189"/>
      <x/>
    </i>
    <i>
      <x v="177"/>
      <x v="82"/>
      <x v="8"/>
    </i>
    <i>
      <x v="178"/>
      <x v="83"/>
      <x v="8"/>
    </i>
    <i>
      <x v="179"/>
      <x v="12"/>
      <x v="8"/>
    </i>
    <i>
      <x v="180"/>
      <x v="10"/>
      <x v="8"/>
    </i>
    <i>
      <x v="181"/>
      <x v="11"/>
      <x v="8"/>
    </i>
    <i>
      <x v="182"/>
      <x v="42"/>
      <x v="8"/>
    </i>
    <i>
      <x v="183"/>
      <x v="78"/>
      <x v="8"/>
    </i>
    <i>
      <x v="184"/>
      <x v="176"/>
      <x v="8"/>
    </i>
    <i>
      <x v="185"/>
      <x v="144"/>
      <x v="17"/>
    </i>
    <i>
      <x v="186"/>
      <x v="70"/>
      <x v="7"/>
    </i>
    <i>
      <x v="187"/>
      <x v="178"/>
      <x/>
    </i>
    <i>
      <x v="188"/>
      <x v="125"/>
      <x v="15"/>
    </i>
    <i>
      <x v="189"/>
      <x v="128"/>
      <x v="15"/>
    </i>
    <i>
      <x v="190"/>
      <x v="126"/>
      <x v="15"/>
    </i>
    <i>
      <x v="191"/>
      <x v="124"/>
      <x v="15"/>
    </i>
    <i>
      <x v="192"/>
      <x v="114"/>
      <x v="13"/>
    </i>
    <i>
      <x v="193"/>
      <x v="117"/>
      <x v="6"/>
    </i>
    <i>
      <x v="194"/>
      <x v="131"/>
      <x v="6"/>
    </i>
    <i>
      <x v="195"/>
      <x v="91"/>
      <x v="9"/>
    </i>
    <i>
      <x v="196"/>
      <x v="36"/>
      <x v="13"/>
    </i>
    <i>
      <x v="197"/>
      <x v="130"/>
      <x v="13"/>
    </i>
    <i>
      <x v="198"/>
      <x v="113"/>
      <x v="13"/>
    </i>
    <i>
      <x v="199"/>
      <x v="136"/>
      <x v="16"/>
    </i>
    <i>
      <x v="200"/>
      <x v="48"/>
      <x v="6"/>
    </i>
    <i>
      <x v="201"/>
      <x v="49"/>
      <x v="6"/>
    </i>
    <i>
      <x v="202"/>
      <x v="50"/>
      <x v="6"/>
    </i>
    <i>
      <x v="203"/>
      <x v="282"/>
      <x v="6"/>
    </i>
    <i>
      <x v="204"/>
      <x v="118"/>
      <x v="6"/>
    </i>
    <i>
      <x v="205"/>
      <x v="202"/>
      <x v="6"/>
    </i>
    <i>
      <x v="206"/>
      <x v="37"/>
      <x v="13"/>
    </i>
    <i>
      <x v="207"/>
      <x v="127"/>
      <x v="15"/>
    </i>
    <i>
      <x v="208"/>
      <x v="129"/>
      <x v="13"/>
    </i>
    <i>
      <x v="209"/>
      <x v="142"/>
      <x v="3"/>
    </i>
    <i>
      <x v="210"/>
      <x v="92"/>
      <x v="9"/>
    </i>
    <i>
      <x v="211"/>
      <x v="137"/>
      <x v="16"/>
    </i>
    <i>
      <x v="212"/>
      <x v="27"/>
      <x v="6"/>
    </i>
    <i>
      <x v="213"/>
      <x v="28"/>
      <x v="6"/>
    </i>
    <i>
      <x v="214"/>
      <x v="203"/>
      <x v="8"/>
    </i>
    <i>
      <x v="215"/>
      <x v="205"/>
      <x/>
    </i>
    <i>
      <x v="216"/>
      <x v="204"/>
      <x v="1"/>
    </i>
    <i>
      <x v="217"/>
      <x v="206"/>
      <x v="8"/>
    </i>
    <i>
      <x v="218"/>
      <x v="207"/>
      <x v="17"/>
    </i>
    <i>
      <x v="219"/>
      <x v="208"/>
      <x v="13"/>
    </i>
    <i>
      <x v="220"/>
      <x v="209"/>
      <x v="15"/>
    </i>
    <i>
      <x v="221"/>
      <x v="213"/>
      <x v="15"/>
    </i>
    <i>
      <x v="222"/>
      <x v="210"/>
      <x v="8"/>
    </i>
    <i>
      <x v="223"/>
      <x v="211"/>
      <x v="13"/>
    </i>
    <i>
      <x v="224"/>
      <x v="212"/>
      <x v="2"/>
    </i>
    <i>
      <x v="225"/>
      <x v="214"/>
      <x v="8"/>
    </i>
    <i>
      <x v="226"/>
      <x v="215"/>
      <x v="6"/>
    </i>
    <i>
      <x v="227"/>
      <x v="216"/>
      <x v="2"/>
    </i>
    <i>
      <x v="228"/>
      <x v="217"/>
      <x v="11"/>
    </i>
    <i>
      <x v="229"/>
      <x v="218"/>
      <x v="11"/>
    </i>
    <i>
      <x v="230"/>
      <x v="226"/>
      <x v="3"/>
    </i>
    <i>
      <x v="231"/>
      <x v="225"/>
      <x v="17"/>
    </i>
    <i>
      <x v="232"/>
      <x v="227"/>
      <x v="10"/>
    </i>
    <i>
      <x v="233"/>
      <x v="228"/>
      <x v="10"/>
    </i>
    <i>
      <x v="234"/>
      <x v="229"/>
      <x v="10"/>
    </i>
    <i>
      <x v="235"/>
      <x v="230"/>
      <x v="19"/>
    </i>
    <i>
      <x v="236"/>
      <x v="231"/>
      <x v="19"/>
    </i>
    <i>
      <x v="237"/>
      <x v="232"/>
      <x v="12"/>
    </i>
    <i>
      <x v="238"/>
      <x v="233"/>
      <x v="6"/>
    </i>
    <i>
      <x v="239"/>
      <x v="234"/>
      <x v="2"/>
    </i>
    <i>
      <x v="240"/>
      <x v="115"/>
      <x v="8"/>
    </i>
    <i>
      <x v="241"/>
      <x v="283"/>
      <x v="6"/>
    </i>
    <i>
      <x v="242"/>
      <x v="237"/>
      <x v="16"/>
    </i>
    <i>
      <x v="243"/>
      <x v="238"/>
      <x v="9"/>
    </i>
    <i>
      <x v="244"/>
      <x v="235"/>
      <x v="15"/>
    </i>
    <i>
      <x v="245"/>
      <x v="236"/>
      <x v="15"/>
    </i>
    <i>
      <x v="246"/>
      <x v="281"/>
      <x v="6"/>
    </i>
    <i>
      <x v="247"/>
      <x v="239"/>
      <x v="3"/>
    </i>
    <i>
      <x v="248"/>
      <x v="240"/>
      <x v="6"/>
    </i>
    <i>
      <x v="249"/>
      <x v="241"/>
      <x v="2"/>
    </i>
    <i>
      <x v="250"/>
      <x v="242"/>
      <x v="2"/>
    </i>
    <i>
      <x v="251"/>
      <x v="243"/>
      <x v="2"/>
    </i>
    <i>
      <x v="252"/>
      <x v="244"/>
      <x v="2"/>
    </i>
    <i>
      <x v="253"/>
      <x v="245"/>
      <x v="2"/>
    </i>
    <i>
      <x v="254"/>
      <x v="246"/>
      <x v="16"/>
    </i>
    <i>
      <x v="255"/>
      <x v="247"/>
      <x v="16"/>
    </i>
    <i>
      <x v="256"/>
      <x v="248"/>
      <x v="16"/>
    </i>
    <i>
      <x v="257"/>
      <x v="249"/>
      <x v="16"/>
    </i>
    <i>
      <x v="258"/>
      <x v="250"/>
      <x v="16"/>
    </i>
    <i>
      <x v="259"/>
      <x v="251"/>
      <x v="13"/>
    </i>
    <i>
      <x v="260"/>
      <x v="252"/>
      <x v="13"/>
    </i>
    <i>
      <x v="261"/>
      <x v="253"/>
      <x v="13"/>
    </i>
    <i>
      <x v="262"/>
      <x v="254"/>
      <x v="13"/>
    </i>
    <i>
      <x v="263"/>
      <x v="255"/>
      <x v="13"/>
    </i>
    <i>
      <x v="264"/>
      <x v="256"/>
      <x v="13"/>
    </i>
    <i>
      <x v="265"/>
      <x v="257"/>
      <x v="13"/>
    </i>
    <i>
      <x v="266"/>
      <x v="258"/>
      <x v="13"/>
    </i>
    <i>
      <x v="267"/>
      <x v="259"/>
      <x v="13"/>
    </i>
    <i>
      <x v="268"/>
      <x v="260"/>
      <x v="13"/>
    </i>
    <i>
      <x v="269"/>
      <x v="261"/>
      <x v="13"/>
    </i>
    <i>
      <x v="270"/>
      <x v="262"/>
      <x v="21"/>
    </i>
    <i>
      <x v="271"/>
      <x v="263"/>
      <x v="6"/>
    </i>
    <i>
      <x v="272"/>
      <x v="264"/>
      <x v="6"/>
    </i>
    <i>
      <x v="273"/>
      <x v="265"/>
      <x v="13"/>
    </i>
    <i>
      <x v="274"/>
      <x v="266"/>
      <x v="20"/>
    </i>
    <i>
      <x v="275"/>
      <x v="267"/>
      <x v="20"/>
    </i>
    <i>
      <x v="276"/>
      <x v="268"/>
      <x v="2"/>
    </i>
    <i>
      <x v="277"/>
      <x v="269"/>
      <x v="16"/>
    </i>
    <i>
      <x v="278"/>
      <x v="273"/>
      <x v="22"/>
    </i>
    <i>
      <x v="279"/>
      <x v="270"/>
      <x v="22"/>
    </i>
    <i>
      <x v="280"/>
      <x v="271"/>
      <x v="22"/>
    </i>
    <i>
      <x v="281"/>
      <x v="272"/>
      <x v="22"/>
    </i>
    <i>
      <x v="282"/>
      <x v="277"/>
      <x v="10"/>
    </i>
    <i>
      <x v="283"/>
      <x v="275"/>
      <x v="14"/>
    </i>
    <i>
      <x v="284"/>
      <x v="278"/>
      <x v="14"/>
    </i>
    <i>
      <x v="285"/>
      <x v="280"/>
      <x v="20"/>
    </i>
    <i>
      <x v="286"/>
      <x v="279"/>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90" firstHeaderRow="1" firstDataRow="1" firstDataCol="4"/>
  <pivotFields count="31">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84">
        <item x="150"/>
        <item x="158"/>
        <item x="16"/>
        <item x="230"/>
        <item x="48"/>
        <item x="275"/>
        <item x="3"/>
        <item x="6"/>
        <item x="152"/>
        <item x="260"/>
        <item x="140"/>
        <item x="149"/>
        <item x="91"/>
        <item x="265"/>
        <item x="272"/>
        <item x="196"/>
        <item x="197"/>
        <item x="195"/>
        <item x="119"/>
        <item x="166"/>
        <item x="151"/>
        <item x="118"/>
        <item x="21"/>
        <item x="52"/>
        <item x="208"/>
        <item x="17"/>
        <item x="85"/>
        <item x="18"/>
        <item x="142"/>
        <item x="224"/>
        <item x="20"/>
        <item x="9"/>
        <item x="26"/>
        <item x="159"/>
        <item x="165"/>
        <item x="227"/>
        <item x="231"/>
        <item x="44"/>
        <item x="264"/>
        <item x="261"/>
        <item x="23"/>
        <item x="89"/>
        <item x="96"/>
        <item x="25"/>
        <item x="167"/>
        <item x="214"/>
        <item x="145"/>
        <item x="97"/>
        <item x="281"/>
        <item x="186"/>
        <item x="148"/>
        <item x="39"/>
        <item x="79"/>
        <item x="45"/>
        <item x="189"/>
        <item x="198"/>
        <item x="209"/>
        <item x="15"/>
        <item x="108"/>
        <item x="117"/>
        <item x="259"/>
        <item x="27"/>
        <item x="258"/>
        <item x="46"/>
        <item x="256"/>
        <item x="180"/>
        <item x="174"/>
        <item x="213"/>
        <item x="232"/>
        <item x="279"/>
        <item x="177"/>
        <item x="283"/>
        <item x="10"/>
        <item x="76"/>
        <item x="74"/>
        <item x="182"/>
        <item x="121"/>
        <item x="43"/>
        <item x="62"/>
        <item x="139"/>
        <item x="138"/>
        <item x="199"/>
        <item x="12"/>
        <item x="11"/>
        <item x="28"/>
        <item x="29"/>
        <item x="30"/>
        <item x="34"/>
        <item x="255"/>
        <item x="70"/>
        <item x="68"/>
        <item x="67"/>
        <item x="135"/>
        <item x="171"/>
        <item x="73"/>
        <item x="219"/>
        <item x="112"/>
        <item x="202"/>
        <item x="24"/>
        <item x="120"/>
        <item x="64"/>
        <item x="267"/>
        <item x="36"/>
        <item x="123"/>
        <item x="37"/>
        <item x="35"/>
        <item x="141"/>
        <item x="69"/>
        <item x="13"/>
        <item x="128"/>
        <item x="7"/>
        <item x="278"/>
        <item x="193"/>
        <item x="194"/>
        <item x="280"/>
        <item x="63"/>
        <item x="243"/>
        <item x="178"/>
        <item x="94"/>
        <item x="163"/>
        <item x="129"/>
        <item x="130"/>
        <item x="134"/>
        <item x="122"/>
        <item x="58"/>
        <item x="220"/>
        <item x="225"/>
        <item x="55"/>
        <item x="95"/>
        <item x="93"/>
        <item x="100"/>
        <item x="103"/>
        <item x="104"/>
        <item x="98"/>
        <item x="105"/>
        <item x="102"/>
        <item x="40"/>
        <item x="47"/>
        <item x="111"/>
        <item x="87"/>
        <item x="84"/>
        <item x="83"/>
        <item x="49"/>
        <item x="86"/>
        <item x="157"/>
        <item x="233"/>
        <item x="215"/>
        <item x="32"/>
        <item x="50"/>
        <item x="57"/>
        <item x="257"/>
        <item x="247"/>
        <item x="246"/>
        <item x="101"/>
        <item x="90"/>
        <item x="228"/>
        <item x="183"/>
        <item x="250"/>
        <item x="216"/>
        <item x="238"/>
        <item x="184"/>
        <item x="156"/>
        <item x="235"/>
        <item x="237"/>
        <item x="51"/>
        <item x="125"/>
        <item x="14"/>
        <item x="61"/>
        <item x="136"/>
        <item x="212"/>
        <item x="211"/>
        <item x="239"/>
        <item x="56"/>
        <item x="206"/>
        <item x="54"/>
        <item x="221"/>
        <item x="99"/>
        <item x="218"/>
        <item x="248"/>
        <item x="187"/>
        <item x="190"/>
        <item x="137"/>
        <item x="53"/>
        <item x="266"/>
        <item x="222"/>
        <item x="226"/>
        <item x="241"/>
        <item x="262"/>
        <item x="273"/>
        <item x="253"/>
        <item x="254"/>
        <item x="252"/>
        <item x="126"/>
        <item x="131"/>
        <item x="127"/>
        <item x="80"/>
        <item x="223"/>
        <item x="77"/>
        <item x="201"/>
        <item x="88"/>
        <item x="110"/>
        <item x="31"/>
        <item x="173"/>
        <item x="240"/>
        <item x="81"/>
        <item x="82"/>
        <item x="132"/>
        <item x="59"/>
        <item x="1"/>
        <item x="71"/>
        <item x="143"/>
        <item x="204"/>
        <item x="92"/>
        <item x="282"/>
        <item x="242"/>
        <item x="144"/>
        <item x="107"/>
        <item x="133"/>
        <item x="65"/>
        <item x="147"/>
        <item x="114"/>
        <item x="22"/>
        <item x="146"/>
        <item x="153"/>
        <item x="155"/>
        <item x="41"/>
        <item x="113"/>
        <item x="276"/>
        <item x="162"/>
        <item x="176"/>
        <item x="109"/>
        <item x="217"/>
        <item x="172"/>
        <item x="191"/>
        <item x="72"/>
        <item x="185"/>
        <item x="179"/>
        <item x="207"/>
        <item x="5"/>
        <item x="160"/>
        <item x="38"/>
        <item x="66"/>
        <item x="210"/>
        <item x="251"/>
        <item x="8"/>
        <item x="200"/>
        <item x="244"/>
        <item x="203"/>
        <item x="263"/>
        <item x="188"/>
        <item x="161"/>
        <item x="269"/>
        <item x="271"/>
        <item x="270"/>
        <item x="268"/>
        <item x="115"/>
        <item x="60"/>
        <item x="0"/>
        <item x="168"/>
        <item x="169"/>
        <item x="2"/>
        <item x="4"/>
        <item x="236"/>
        <item x="170"/>
        <item x="205"/>
        <item x="106"/>
        <item x="192"/>
        <item x="75"/>
        <item x="249"/>
        <item x="175"/>
        <item x="33"/>
        <item x="229"/>
        <item x="164"/>
        <item x="124"/>
        <item x="277"/>
        <item x="245"/>
        <item x="42"/>
        <item x="154"/>
        <item x="19"/>
        <item x="274"/>
        <item x="78"/>
        <item x="116"/>
        <item x="181"/>
        <item x="234"/>
      </items>
      <extLst>
        <ext xmlns:x14="http://schemas.microsoft.com/office/spreadsheetml/2009/9/main" uri="{2946ED86-A175-432a-8AC1-64E0C546D7DE}">
          <x14:pivotField fillDownLabels="1"/>
        </ext>
      </extLst>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214"/>
        <item x="54"/>
        <item x="56"/>
        <item x="215"/>
        <item x="90"/>
        <item x="219"/>
        <item x="221"/>
        <item x="223"/>
        <item x="97"/>
        <item x="99"/>
        <item x="101"/>
        <item x="225"/>
        <item x="174"/>
        <item x="235"/>
        <item x="179"/>
        <item x="236"/>
        <item x="187"/>
        <item x="237"/>
        <item x="189"/>
        <item x="209"/>
        <item x="224"/>
        <item x="226"/>
        <item x="228"/>
        <item x="229"/>
        <item x="230"/>
        <item x="234"/>
        <item x="69"/>
        <item x="208"/>
        <item x="194"/>
        <item x="211"/>
        <item x="212"/>
        <item x="238"/>
        <item x="242"/>
        <item x="244"/>
        <item x="130"/>
        <item x="240"/>
        <item x="148"/>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3">
        <item x="6"/>
        <item x="0"/>
        <item x="1"/>
        <item x="4"/>
        <item x="28"/>
        <item x="3"/>
        <item x="10"/>
        <item x="16"/>
        <item x="5"/>
        <item x="14"/>
        <item x="22"/>
        <item x="9"/>
        <item x="11"/>
        <item x="18"/>
        <item x="23"/>
        <item x="12"/>
        <item x="19"/>
        <item x="8"/>
        <item x="2"/>
        <item x="33"/>
        <item x="24"/>
        <item x="17"/>
        <item x="7"/>
        <item x="36"/>
        <item x="21"/>
        <item x="20"/>
        <item x="37"/>
        <item x="27"/>
        <item x="40"/>
        <item x="29"/>
        <item x="41"/>
        <item x="43"/>
        <item x="26"/>
        <item x="42"/>
        <item x="38"/>
        <item x="32"/>
        <item x="31"/>
        <item x="30"/>
        <item x="39"/>
        <item x="44"/>
        <item x="45"/>
        <item x="46"/>
        <item x="25"/>
        <item n="0" x="15"/>
        <item x="51"/>
        <item x="34"/>
        <item x="35"/>
        <item x="52"/>
        <item x="47"/>
        <item x="13"/>
        <item x="48"/>
        <item x="49"/>
        <item x="5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87">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154"/>
      <x/>
      <x v="43"/>
    </i>
    <i>
      <x v="35"/>
      <x v="212"/>
      <x/>
      <x v="43"/>
    </i>
    <i>
      <x v="36"/>
      <x v="213"/>
      <x/>
      <x v="43"/>
    </i>
    <i>
      <x v="37"/>
      <x v="43"/>
      <x/>
      <x v="43"/>
    </i>
    <i>
      <x v="38"/>
      <x v="266"/>
      <x/>
      <x v="43"/>
    </i>
    <i>
      <x v="39"/>
      <x v="274"/>
      <x v="1"/>
      <x v="43"/>
    </i>
    <i>
      <x v="40"/>
      <x v="25"/>
      <x v="1"/>
      <x v="1"/>
    </i>
    <i>
      <x v="41"/>
      <x v="108"/>
      <x v="1"/>
      <x v="7"/>
    </i>
    <i>
      <x v="42"/>
      <x v="129"/>
      <x v="1"/>
      <x v="16"/>
    </i>
    <i>
      <x v="43"/>
      <x v="158"/>
      <x v="1"/>
      <x v="15"/>
    </i>
    <i>
      <x v="44"/>
      <x v="156"/>
      <x/>
      <x v="43"/>
    </i>
    <i>
      <x v="45"/>
      <x v="228"/>
      <x v="1"/>
      <x v="18"/>
    </i>
    <i>
      <x v="46"/>
      <x v="134"/>
      <x v="1"/>
      <x v="43"/>
    </i>
    <i r="1">
      <x v="163"/>
      <x v="1"/>
      <x v="43"/>
    </i>
    <i r="1">
      <x v="164"/>
      <x v="1"/>
      <x v="43"/>
    </i>
    <i r="1">
      <x v="166"/>
      <x/>
      <x v="43"/>
    </i>
    <i>
      <x v="47"/>
      <x v="196"/>
      <x/>
      <x v="43"/>
    </i>
    <i>
      <x v="48"/>
      <x v="273"/>
      <x v="1"/>
      <x v="43"/>
    </i>
    <i>
      <x v="49"/>
      <x v="206"/>
      <x v="1"/>
      <x v="43"/>
    </i>
    <i>
      <x v="50"/>
      <x v="224"/>
      <x v="1"/>
      <x v="15"/>
    </i>
    <i>
      <x v="51"/>
      <x v="40"/>
      <x v="1"/>
      <x v="12"/>
    </i>
    <i>
      <x v="52"/>
      <x v="115"/>
      <x v="1"/>
      <x v="1"/>
    </i>
    <i>
      <x v="53"/>
      <x v="49"/>
      <x v="1"/>
      <x v="7"/>
    </i>
    <i>
      <x v="54"/>
      <x v="173"/>
      <x v="1"/>
      <x v="43"/>
    </i>
    <i>
      <x v="55"/>
      <x v="182"/>
      <x/>
      <x v="43"/>
    </i>
    <i>
      <x v="56"/>
      <x v="218"/>
      <x v="1"/>
      <x v="22"/>
    </i>
    <i>
      <x v="57"/>
      <x v="15"/>
      <x v="1"/>
      <x v="2"/>
    </i>
    <i>
      <x v="58"/>
      <x v="16"/>
      <x v="1"/>
      <x v="2"/>
    </i>
    <i>
      <x v="59"/>
      <x v="114"/>
      <x v="1"/>
      <x v="13"/>
    </i>
    <i>
      <x v="60"/>
      <x v="262"/>
      <x/>
      <x v="43"/>
    </i>
    <i>
      <x v="61"/>
      <x v="283"/>
      <x v="1"/>
      <x v="49"/>
    </i>
    <i>
      <x v="62"/>
      <x v="261"/>
      <x/>
      <x v="43"/>
    </i>
    <i>
      <x v="63"/>
      <x v="45"/>
      <x/>
      <x v="43"/>
    </i>
    <i>
      <x v="64"/>
      <x v="259"/>
      <x/>
      <x v="43"/>
    </i>
    <i>
      <x v="65"/>
      <x v="167"/>
      <x v="1"/>
      <x v="43"/>
    </i>
    <i>
      <x v="66"/>
      <x v="200"/>
      <x/>
      <x v="18"/>
    </i>
    <i>
      <x v="67"/>
      <x v="227"/>
      <x/>
      <x v="34"/>
    </i>
    <i>
      <x v="68"/>
      <x v="201"/>
      <x v="1"/>
      <x v="17"/>
    </i>
    <i>
      <x v="69"/>
      <x v="271"/>
      <x v="1"/>
      <x v="44"/>
    </i>
    <i>
      <x v="70"/>
      <x v="202"/>
      <x v="1"/>
      <x v="17"/>
    </i>
    <i>
      <x v="71"/>
      <x v="277"/>
      <x v="1"/>
      <x v="47"/>
    </i>
    <i>
      <x v="72"/>
      <x v="10"/>
      <x v="1"/>
      <x v="8"/>
    </i>
    <i>
      <x v="73"/>
      <x v="74"/>
      <x v="1"/>
      <x v="12"/>
    </i>
    <i>
      <x v="74"/>
      <x v="71"/>
      <x/>
      <x v="43"/>
    </i>
    <i>
      <x v="75"/>
      <x v="169"/>
      <x/>
      <x v="19"/>
    </i>
    <i>
      <x v="76"/>
      <x v="110"/>
      <x/>
      <x v="1"/>
    </i>
    <i>
      <x v="77"/>
      <x v="42"/>
      <x/>
      <x v="43"/>
    </i>
    <i>
      <x v="78"/>
      <x v="118"/>
      <x v="1"/>
      <x v="5"/>
    </i>
    <i>
      <x v="79"/>
      <x v="128"/>
      <x v="1"/>
      <x v="27"/>
    </i>
    <i>
      <x v="80"/>
      <x v="127"/>
      <x/>
      <x v="43"/>
    </i>
    <i>
      <x v="81"/>
      <x v="276"/>
      <x v="1"/>
      <x v="46"/>
    </i>
    <i>
      <x v="82"/>
      <x v="12"/>
      <x v="1"/>
      <x/>
    </i>
    <i>
      <x v="83"/>
      <x v="11"/>
      <x v="1"/>
      <x v="1"/>
    </i>
    <i>
      <x v="84"/>
      <x v="162"/>
      <x v="1"/>
      <x v="9"/>
    </i>
    <i>
      <x v="85"/>
      <x v="149"/>
      <x v="1"/>
      <x v="18"/>
    </i>
    <i>
      <x v="86"/>
      <x v="135"/>
      <x v="1"/>
      <x v="18"/>
    </i>
    <i>
      <x v="87"/>
      <x v="46"/>
      <x v="1"/>
      <x v="1"/>
    </i>
    <i>
      <x v="88"/>
      <x v="258"/>
      <x v="1"/>
      <x v="43"/>
    </i>
    <i>
      <x v="89"/>
      <x v="68"/>
      <x v="1"/>
      <x v="12"/>
    </i>
    <i>
      <x v="90"/>
      <x v="66"/>
      <x v="1"/>
      <x v="6"/>
    </i>
    <i>
      <x v="91"/>
      <x v="67"/>
      <x v="1"/>
      <x v="11"/>
    </i>
    <i>
      <x v="92"/>
      <x v="124"/>
      <x/>
      <x v="15"/>
    </i>
    <i>
      <x v="93"/>
      <x v="231"/>
      <x v="1"/>
      <x v="37"/>
    </i>
    <i>
      <x v="94"/>
      <x v="73"/>
      <x v="1"/>
      <x v="12"/>
    </i>
    <i>
      <x v="95"/>
      <x v="234"/>
      <x/>
      <x v="36"/>
    </i>
    <i>
      <x v="96"/>
      <x v="101"/>
      <x/>
      <x v="43"/>
    </i>
    <i>
      <x v="97"/>
      <x v="186"/>
      <x/>
      <x v="23"/>
    </i>
    <i>
      <x v="98"/>
      <x v="24"/>
      <x v="1"/>
      <x v="12"/>
    </i>
    <i>
      <x v="99"/>
      <x v="112"/>
      <x v="1"/>
      <x v="1"/>
    </i>
    <i>
      <x v="100"/>
      <x v="61"/>
      <x/>
      <x v="43"/>
    </i>
    <i>
      <x v="101"/>
      <x v="241"/>
      <x v="1"/>
      <x v="41"/>
    </i>
    <i>
      <x v="102"/>
      <x v="28"/>
      <x v="1"/>
      <x v="21"/>
    </i>
    <i>
      <x v="103"/>
      <x v="26"/>
      <x v="1"/>
      <x v="20"/>
    </i>
    <i>
      <x v="104"/>
      <x v="37"/>
      <x v="1"/>
      <x v="13"/>
    </i>
    <i>
      <x v="105"/>
      <x v="36"/>
      <x v="1"/>
      <x v="7"/>
    </i>
    <i>
      <x v="106"/>
      <x v="183"/>
      <x v="1"/>
      <x v="24"/>
    </i>
    <i>
      <x v="107"/>
      <x v="214"/>
      <x v="1"/>
      <x v="24"/>
    </i>
    <i>
      <x v="108"/>
      <x v="13"/>
      <x v="1"/>
      <x v="3"/>
    </i>
    <i>
      <x v="109"/>
      <x v="59"/>
      <x v="1"/>
      <x v="12"/>
    </i>
    <i>
      <x v="110"/>
      <x v="7"/>
      <x v="1"/>
      <x v="2"/>
    </i>
    <i>
      <x v="111"/>
      <x v="270"/>
      <x v="1"/>
      <x v="43"/>
    </i>
    <i>
      <x v="112"/>
      <x v="177"/>
      <x/>
      <x v="43"/>
    </i>
    <i>
      <x v="113"/>
      <x v="178"/>
      <x/>
      <x v="43"/>
    </i>
    <i>
      <x v="114"/>
      <x v="272"/>
      <x v="1"/>
      <x v="43"/>
    </i>
    <i>
      <x v="115"/>
      <x v="60"/>
      <x/>
      <x v="43"/>
    </i>
    <i>
      <x v="116"/>
      <x v="243"/>
      <x v="1"/>
      <x v="38"/>
    </i>
    <i>
      <x v="117"/>
      <x v="165"/>
      <x/>
      <x v="43"/>
    </i>
    <i>
      <x v="118"/>
      <x v="122"/>
      <x v="1"/>
      <x v="9"/>
    </i>
    <i>
      <x v="119"/>
      <x v="225"/>
      <x v="1"/>
      <x v="29"/>
    </i>
    <i>
      <x v="120"/>
      <x v="121"/>
      <x v="1"/>
      <x v="6"/>
    </i>
    <i>
      <x v="121"/>
      <x v="222"/>
      <x v="1"/>
      <x v="32"/>
    </i>
    <i>
      <x v="122"/>
      <x v="123"/>
      <x v="1"/>
      <x v="43"/>
    </i>
    <i>
      <x v="123"/>
      <x v="111"/>
      <x/>
      <x v="43"/>
    </i>
    <i>
      <x v="124"/>
      <x v="55"/>
      <x/>
      <x v="5"/>
    </i>
    <i>
      <x v="125"/>
      <x v="195"/>
      <x v="1"/>
      <x v="11"/>
    </i>
    <i>
      <x v="126"/>
      <x v="210"/>
      <x v="1"/>
      <x v="12"/>
    </i>
    <i>
      <x v="127"/>
      <x v="63"/>
      <x v="1"/>
      <x v="25"/>
    </i>
    <i>
      <x v="128"/>
      <x v="88"/>
      <x/>
      <x v="43"/>
    </i>
    <i>
      <x v="129"/>
      <x v="87"/>
      <x/>
      <x v="43"/>
    </i>
    <i>
      <x v="130"/>
      <x v="90"/>
      <x/>
      <x v="43"/>
    </i>
    <i>
      <x v="131"/>
      <x v="92"/>
      <x/>
      <x v="43"/>
    </i>
    <i>
      <x v="132"/>
      <x v="93"/>
      <x/>
      <x v="43"/>
    </i>
    <i>
      <x v="133"/>
      <x v="89"/>
      <x/>
      <x v="43"/>
    </i>
    <i>
      <x v="134"/>
      <x v="94"/>
      <x/>
      <x v="43"/>
    </i>
    <i>
      <x v="135"/>
      <x v="91"/>
      <x/>
      <x v="43"/>
    </i>
    <i>
      <x v="136"/>
      <x v="17"/>
      <x v="1"/>
      <x v="5"/>
    </i>
    <i>
      <x v="137"/>
      <x v="18"/>
      <x v="1"/>
      <x v="5"/>
    </i>
    <i>
      <x v="138"/>
      <x v="100"/>
      <x/>
      <x v="43"/>
    </i>
    <i>
      <x v="139"/>
      <x v="84"/>
      <x/>
      <x v="43"/>
    </i>
    <i>
      <x v="140"/>
      <x v="81"/>
      <x/>
      <x v="43"/>
    </i>
    <i>
      <x v="141"/>
      <x v="80"/>
      <x/>
      <x v="43"/>
    </i>
    <i>
      <x v="142"/>
      <x v="85"/>
      <x v="1"/>
      <x v="15"/>
    </i>
    <i>
      <x v="143"/>
      <x v="83"/>
      <x/>
      <x v="43"/>
    </i>
    <i>
      <x v="144"/>
      <x v="146"/>
      <x/>
      <x v="43"/>
    </i>
    <i>
      <x v="145"/>
      <x v="203"/>
      <x v="1"/>
      <x v="18"/>
    </i>
    <i>
      <x v="146"/>
      <x v="229"/>
      <x v="1"/>
      <x v="18"/>
    </i>
    <i>
      <x v="147"/>
      <x v="32"/>
      <x/>
      <x v="43"/>
    </i>
    <i>
      <x v="148"/>
      <x v="53"/>
      <x v="1"/>
      <x v="1"/>
    </i>
    <i>
      <x v="149"/>
      <x v="54"/>
      <x/>
      <x v="3"/>
    </i>
    <i>
      <x v="150"/>
      <x v="260"/>
      <x/>
      <x v="43"/>
    </i>
    <i>
      <x v="151"/>
      <x v="245"/>
      <x v="1"/>
      <x v="40"/>
    </i>
    <i>
      <x v="152"/>
      <x v="244"/>
      <x/>
      <x v="39"/>
    </i>
    <i>
      <x v="153"/>
      <x v="198"/>
      <x/>
      <x v="14"/>
    </i>
    <i>
      <x v="154"/>
      <x v="192"/>
      <x/>
      <x v="43"/>
    </i>
    <i>
      <x v="155"/>
      <x v="240"/>
      <x/>
      <x v="43"/>
    </i>
    <i>
      <x v="156"/>
      <x v="170"/>
      <x/>
      <x v="14"/>
    </i>
    <i>
      <x v="157"/>
      <x v="248"/>
      <x v="1"/>
      <x v="39"/>
    </i>
    <i>
      <x v="158"/>
      <x v="193"/>
      <x v="1"/>
      <x v="4"/>
    </i>
    <i>
      <x v="159"/>
      <x v="226"/>
      <x v="1"/>
      <x v="4"/>
    </i>
    <i>
      <x v="160"/>
      <x v="204"/>
      <x/>
      <x v="4"/>
    </i>
    <i>
      <x v="161"/>
      <x v="145"/>
      <x/>
      <x v="18"/>
    </i>
    <i>
      <x v="162"/>
      <x v="219"/>
      <x v="1"/>
      <x v="28"/>
    </i>
    <i>
      <x v="163"/>
      <x v="223"/>
      <x v="1"/>
      <x v="30"/>
    </i>
    <i>
      <x v="164"/>
      <x v="48"/>
      <x v="1"/>
      <x v="16"/>
    </i>
    <i>
      <x v="165"/>
      <x v="253"/>
      <x v="1"/>
      <x v="42"/>
    </i>
    <i>
      <x v="166"/>
      <x v="14"/>
      <x/>
      <x v="5"/>
    </i>
    <i>
      <x v="167"/>
      <x v="58"/>
      <x v="1"/>
      <x v="43"/>
    </i>
    <i>
      <x v="168"/>
      <x v="125"/>
      <x/>
      <x v="43"/>
    </i>
    <i>
      <x v="169"/>
      <x v="191"/>
      <x v="1"/>
      <x v="26"/>
    </i>
    <i>
      <x v="170"/>
      <x v="188"/>
      <x v="1"/>
      <x v="7"/>
    </i>
    <i>
      <x v="171"/>
      <x v="220"/>
      <x v="1"/>
      <x v="33"/>
    </i>
    <i>
      <x v="172"/>
      <x v="190"/>
      <x v="1"/>
      <x v="7"/>
    </i>
    <i>
      <x v="173"/>
      <x v="207"/>
      <x/>
      <x v="43"/>
    </i>
    <i>
      <x v="174"/>
      <x v="189"/>
      <x/>
      <x v="43"/>
    </i>
    <i>
      <x v="175"/>
      <x v="208"/>
      <x/>
      <x v="4"/>
    </i>
    <i>
      <x v="176"/>
      <x v="197"/>
      <x/>
      <x v="43"/>
    </i>
    <i>
      <x v="177"/>
      <x v="194"/>
      <x v="1"/>
      <x v="7"/>
    </i>
    <i>
      <x v="178"/>
      <x v="246"/>
      <x v="1"/>
      <x v="39"/>
    </i>
    <i>
      <x v="179"/>
      <x v="171"/>
      <x/>
      <x v="14"/>
    </i>
    <i>
      <x v="180"/>
      <x v="174"/>
      <x/>
      <x v="43"/>
    </i>
    <i>
      <x v="181"/>
      <x v="126"/>
      <x/>
      <x v="43"/>
    </i>
    <i>
      <x v="182"/>
      <x v="159"/>
      <x v="1"/>
      <x v="18"/>
    </i>
    <i>
      <x v="183"/>
      <x v="230"/>
      <x v="1"/>
      <x v="35"/>
    </i>
    <i>
      <x v="184"/>
      <x v="199"/>
      <x v="1"/>
      <x v="11"/>
    </i>
    <i>
      <x v="185"/>
      <x v="211"/>
      <x/>
      <x v="43"/>
    </i>
    <i>
      <x v="186"/>
      <x v="221"/>
      <x v="1"/>
      <x v="31"/>
    </i>
    <i>
      <x v="187"/>
      <x v="264"/>
      <x/>
      <x v="43"/>
    </i>
    <i>
      <x v="188"/>
      <x v="282"/>
      <x/>
      <x v="50"/>
    </i>
    <i>
      <x v="189"/>
      <x v="256"/>
      <x/>
      <x v="43"/>
    </i>
    <i>
      <x v="190"/>
      <x v="257"/>
      <x/>
      <x v="43"/>
    </i>
    <i>
      <x v="191"/>
      <x v="255"/>
      <x/>
      <x v="43"/>
    </i>
    <i>
      <x v="192"/>
      <x v="21"/>
      <x v="1"/>
      <x v="8"/>
    </i>
    <i>
      <x v="193"/>
      <x v="51"/>
      <x v="1"/>
      <x v="6"/>
    </i>
    <i>
      <x v="194"/>
      <x v="97"/>
      <x v="1"/>
      <x v="22"/>
    </i>
    <i>
      <x v="195"/>
      <x v="77"/>
      <x/>
      <x v="10"/>
    </i>
    <i>
      <x v="196"/>
      <x v="209"/>
      <x v="1"/>
      <x v="19"/>
    </i>
    <i>
      <x v="197"/>
      <x v="75"/>
      <x v="1"/>
      <x v="10"/>
    </i>
    <i>
      <x v="198"/>
      <x v="185"/>
      <x/>
      <x v="22"/>
    </i>
    <i>
      <x v="199"/>
      <x v="30"/>
      <x v="1"/>
      <x v="12"/>
    </i>
    <i>
      <x v="200"/>
      <x v="130"/>
      <x v="1"/>
      <x v="9"/>
    </i>
    <i>
      <x v="201"/>
      <x v="31"/>
      <x/>
      <x v="43"/>
    </i>
    <i>
      <x v="202"/>
      <x v="235"/>
      <x v="1"/>
      <x v="35"/>
    </i>
    <i>
      <x v="203"/>
      <x v="238"/>
      <x v="1"/>
      <x v="35"/>
    </i>
    <i>
      <x v="204"/>
      <x v="78"/>
      <x/>
      <x v="15"/>
    </i>
    <i>
      <x v="205"/>
      <x v="79"/>
      <x/>
      <x v="43"/>
    </i>
    <i>
      <x v="206"/>
      <x v="120"/>
      <x v="1"/>
      <x v="11"/>
    </i>
    <i>
      <x v="207"/>
      <x v="56"/>
      <x/>
      <x v="5"/>
    </i>
    <i>
      <x v="208"/>
      <x v="1"/>
      <x v="1"/>
      <x v="1"/>
    </i>
    <i>
      <x v="209"/>
      <x v="69"/>
      <x v="1"/>
      <x v="15"/>
    </i>
    <i>
      <x v="210"/>
      <x v="133"/>
      <x v="1"/>
      <x v="17"/>
    </i>
    <i>
      <x v="211"/>
      <x v="117"/>
      <x v="1"/>
      <x v="11"/>
    </i>
    <i>
      <x v="212"/>
      <x v="113"/>
      <x v="1"/>
      <x v="2"/>
    </i>
    <i>
      <x v="213"/>
      <x v="286"/>
      <x v="1"/>
      <x v="38"/>
    </i>
    <i>
      <x v="214"/>
      <x v="242"/>
      <x v="1"/>
      <x v="38"/>
    </i>
    <i>
      <x v="215"/>
      <x v="175"/>
      <x v="1"/>
      <x v="14"/>
    </i>
    <i>
      <x v="216"/>
      <x v="96"/>
      <x/>
      <x v="43"/>
    </i>
    <i>
      <x v="217"/>
      <x v="160"/>
      <x v="1"/>
      <x v="18"/>
    </i>
    <i>
      <x v="218"/>
      <x v="62"/>
      <x/>
      <x v="43"/>
    </i>
    <i>
      <x v="219"/>
      <x v="132"/>
      <x v="1"/>
      <x v="6"/>
    </i>
    <i>
      <x v="220"/>
      <x v="29"/>
      <x v="1"/>
      <x v="2"/>
    </i>
    <i>
      <x v="221"/>
      <x v="22"/>
      <x v="1"/>
      <x v="1"/>
    </i>
    <i>
      <x v="222"/>
      <x v="27"/>
      <x v="1"/>
      <x v="1"/>
    </i>
    <i>
      <x v="223"/>
      <x v="23"/>
      <x v="1"/>
      <x v="9"/>
    </i>
    <i>
      <x v="224"/>
      <x v="150"/>
      <x v="1"/>
      <x v="18"/>
    </i>
    <i>
      <x v="225"/>
      <x v="44"/>
      <x v="1"/>
      <x v="2"/>
    </i>
    <i>
      <x v="226"/>
      <x v="102"/>
      <x/>
      <x v="43"/>
    </i>
    <i>
      <x v="227"/>
      <x v="285"/>
      <x v="1"/>
      <x v="52"/>
    </i>
    <i>
      <x v="228"/>
      <x v="151"/>
      <x/>
      <x v="18"/>
    </i>
    <i>
      <x v="229"/>
      <x v="236"/>
      <x v="1"/>
      <x v="35"/>
    </i>
    <i>
      <x v="230"/>
      <x v="98"/>
      <x/>
      <x v="43"/>
    </i>
    <i>
      <x v="231"/>
      <x v="232"/>
      <x/>
      <x v="36"/>
    </i>
    <i>
      <x v="232"/>
      <x v="233"/>
      <x v="1"/>
      <x v="36"/>
    </i>
    <i>
      <x v="233"/>
      <x v="216"/>
      <x v="1"/>
      <x v="14"/>
    </i>
    <i>
      <x v="234"/>
      <x v="70"/>
      <x v="1"/>
      <x v="15"/>
    </i>
    <i>
      <x v="235"/>
      <x v="275"/>
      <x v="1"/>
      <x v="45"/>
    </i>
    <i>
      <x v="236"/>
      <x v="250"/>
      <x v="1"/>
      <x v="42"/>
    </i>
    <i>
      <x v="237"/>
      <x v="252"/>
      <x v="1"/>
      <x v="42"/>
    </i>
    <i>
      <x v="238"/>
      <x v="5"/>
      <x v="1"/>
      <x v="3"/>
    </i>
    <i>
      <x v="239"/>
      <x v="6"/>
      <x v="1"/>
      <x v="8"/>
    </i>
    <i>
      <x v="240"/>
      <x v="38"/>
      <x v="1"/>
      <x v="6"/>
    </i>
    <i>
      <x v="241"/>
      <x v="64"/>
      <x v="1"/>
      <x v="2"/>
    </i>
    <i>
      <x v="242"/>
      <x v="65"/>
      <x v="1"/>
      <x v="2"/>
    </i>
    <i>
      <x v="243"/>
      <x v="254"/>
      <x/>
      <x v="43"/>
    </i>
    <i>
      <x v="244"/>
      <x v="8"/>
      <x v="1"/>
      <x v="2"/>
    </i>
    <i>
      <x v="245"/>
      <x v="184"/>
      <x/>
      <x v="43"/>
    </i>
    <i>
      <x v="246"/>
      <x v="76"/>
      <x v="1"/>
      <x v="13"/>
    </i>
    <i>
      <x v="247"/>
      <x v="187"/>
      <x/>
      <x v="43"/>
    </i>
    <i>
      <x v="248"/>
      <x v="265"/>
      <x/>
      <x v="43"/>
    </i>
    <i>
      <x v="249"/>
      <x v="172"/>
      <x v="1"/>
      <x v="43"/>
    </i>
    <i>
      <x v="250"/>
      <x v="52"/>
      <x v="1"/>
      <x v="12"/>
    </i>
    <i>
      <x v="251"/>
      <x v="279"/>
      <x v="1"/>
      <x v="48"/>
    </i>
    <i>
      <x v="252"/>
      <x v="281"/>
      <x v="1"/>
      <x v="48"/>
    </i>
    <i>
      <x v="253"/>
      <x v="280"/>
      <x v="1"/>
      <x v="48"/>
    </i>
    <i>
      <x v="254"/>
      <x v="278"/>
      <x v="1"/>
      <x v="48"/>
    </i>
    <i>
      <x v="255"/>
      <x v="104"/>
      <x/>
      <x v="43"/>
    </i>
    <i>
      <x v="256"/>
      <x v="57"/>
      <x/>
      <x v="43"/>
    </i>
    <i>
      <x v="257"/>
      <x/>
      <x v="1"/>
      <x v="1"/>
    </i>
    <i>
      <x v="258"/>
      <x v="20"/>
      <x v="1"/>
      <x v="11"/>
    </i>
    <i>
      <x v="259"/>
      <x v="3"/>
      <x v="1"/>
      <x v="3"/>
    </i>
    <i>
      <x v="260"/>
      <x v="2"/>
      <x v="1"/>
      <x v="2"/>
    </i>
    <i>
      <x v="261"/>
      <x v="4"/>
      <x v="1"/>
      <x v="5"/>
    </i>
    <i>
      <x v="262"/>
      <x v="251"/>
      <x/>
      <x v="42"/>
    </i>
    <i>
      <x v="263"/>
      <x v="34"/>
      <x v="1"/>
      <x v="6"/>
    </i>
    <i>
      <x v="264"/>
      <x v="215"/>
      <x/>
      <x v="43"/>
    </i>
    <i>
      <x v="265"/>
      <x v="95"/>
      <x/>
      <x v="43"/>
    </i>
    <i>
      <x v="266"/>
      <x v="176"/>
      <x/>
      <x v="43"/>
    </i>
    <i>
      <x v="267"/>
      <x v="72"/>
      <x v="1"/>
      <x v="43"/>
    </i>
    <i>
      <x v="268"/>
      <x v="247"/>
      <x/>
      <x v="40"/>
    </i>
    <i>
      <x v="269"/>
      <x v="35"/>
      <x v="1"/>
      <x v="6"/>
    </i>
    <i>
      <x v="270"/>
      <x v="33"/>
      <x/>
      <x v="6"/>
    </i>
    <i>
      <x v="271"/>
      <x v="239"/>
      <x/>
      <x v="38"/>
    </i>
    <i>
      <x v="272"/>
      <x v="153"/>
      <x/>
      <x v="18"/>
    </i>
    <i>
      <x v="273"/>
      <x v="152"/>
      <x v="1"/>
      <x v="18"/>
    </i>
    <i>
      <x v="274"/>
      <x v="269"/>
      <x/>
      <x v="43"/>
    </i>
    <i>
      <x v="275"/>
      <x v="109"/>
      <x v="1"/>
      <x v="1"/>
    </i>
    <i>
      <x v="276"/>
      <x v="41"/>
      <x/>
      <x v="43"/>
    </i>
    <i>
      <x v="277"/>
      <x v="143"/>
      <x/>
      <x v="43"/>
    </i>
    <i>
      <x v="278"/>
      <x v="19"/>
      <x/>
      <x v="11"/>
    </i>
    <i>
      <x v="279"/>
      <x v="50"/>
      <x v="1"/>
      <x v="15"/>
    </i>
    <i>
      <x v="280"/>
      <x v="99"/>
      <x v="1"/>
      <x v="15"/>
    </i>
    <i>
      <x v="281"/>
      <x v="105"/>
      <x/>
      <x v="6"/>
    </i>
    <i>
      <x v="282"/>
      <x v="168"/>
      <x/>
      <x v="43"/>
    </i>
    <i>
      <x v="283"/>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47"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90" firstHeaderRow="1" firstDataRow="1" firstDataCol="2" rowPageCount="1" colPageCount="1"/>
  <pivotFields count="31">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2"/>
        <item x="1"/>
        <item x="20"/>
        <item x="14"/>
        <item x="10"/>
        <item x="16"/>
        <item x="17"/>
        <item x="6"/>
        <item x="18"/>
        <item x="9"/>
        <item x="12"/>
        <item x="4"/>
        <item x="13"/>
        <item x="0"/>
        <item x="7"/>
        <item x="19"/>
        <item x="11"/>
        <item x="8"/>
        <item x="15"/>
        <item x="3"/>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6"/>
        <item x="48"/>
        <item x="3"/>
        <item x="6"/>
        <item x="152"/>
        <item x="140"/>
        <item x="149"/>
        <item x="91"/>
        <item x="196"/>
        <item x="197"/>
        <item x="195"/>
        <item x="119"/>
        <item x="166"/>
        <item x="151"/>
        <item x="118"/>
        <item x="21"/>
        <item x="52"/>
        <item x="17"/>
        <item x="85"/>
        <item x="18"/>
        <item x="142"/>
        <item x="20"/>
        <item x="26"/>
        <item x="159"/>
        <item x="165"/>
        <item x="227"/>
        <item x="231"/>
        <item x="44"/>
        <item x="23"/>
        <item x="89"/>
        <item x="96"/>
        <item x="25"/>
        <item x="167"/>
        <item x="145"/>
        <item x="97"/>
        <item x="186"/>
        <item x="39"/>
        <item x="79"/>
        <item x="45"/>
        <item x="189"/>
        <item x="198"/>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13"/>
        <item x="128"/>
        <item x="7"/>
        <item x="193"/>
        <item x="194"/>
        <item x="63"/>
        <item x="178"/>
        <item x="94"/>
        <item x="129"/>
        <item x="134"/>
        <item x="122"/>
        <item x="58"/>
        <item x="220"/>
        <item x="225"/>
        <item x="55"/>
        <item x="95"/>
        <item x="93"/>
        <item x="100"/>
        <item x="103"/>
        <item x="104"/>
        <item x="98"/>
        <item x="105"/>
        <item x="102"/>
        <item x="40"/>
        <item x="47"/>
        <item x="111"/>
        <item x="87"/>
        <item x="84"/>
        <item x="83"/>
        <item x="49"/>
        <item x="86"/>
        <item x="157"/>
        <item x="50"/>
        <item x="57"/>
        <item x="101"/>
        <item x="90"/>
        <item x="228"/>
        <item x="183"/>
        <item x="216"/>
        <item x="184"/>
        <item x="156"/>
        <item x="51"/>
        <item x="14"/>
        <item x="61"/>
        <item x="136"/>
        <item x="212"/>
        <item x="211"/>
        <item x="56"/>
        <item x="206"/>
        <item x="54"/>
        <item x="221"/>
        <item x="99"/>
        <item x="218"/>
        <item x="187"/>
        <item x="190"/>
        <item x="137"/>
        <item x="53"/>
        <item x="222"/>
        <item x="226"/>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72"/>
        <item x="5"/>
        <item x="160"/>
        <item x="38"/>
        <item x="66"/>
        <item x="210"/>
        <item x="8"/>
        <item x="200"/>
        <item x="244"/>
        <item x="203"/>
        <item x="188"/>
        <item x="161"/>
        <item x="115"/>
        <item x="60"/>
        <item x="0"/>
        <item x="169"/>
        <item x="2"/>
        <item x="4"/>
        <item x="170"/>
        <item x="106"/>
        <item x="192"/>
        <item x="75"/>
        <item x="175"/>
        <item x="33"/>
        <item x="164"/>
        <item x="124"/>
        <item x="245"/>
        <item x="42"/>
        <item x="154"/>
        <item x="19"/>
        <item x="274"/>
        <item x="78"/>
        <item x="181"/>
        <item x="234"/>
        <item x="69"/>
        <item x="191"/>
        <item x="205"/>
        <item x="208"/>
        <item x="209"/>
        <item x="235"/>
        <item x="239"/>
        <item x="130"/>
        <item x="237"/>
        <item x="148"/>
        <item x="241"/>
        <item x="163"/>
        <item x="238"/>
        <item x="213"/>
        <item x="214"/>
        <item x="215"/>
        <item x="32"/>
        <item x="31"/>
        <item x="121"/>
        <item x="92"/>
        <item x="168"/>
        <item x="116"/>
        <item x="171"/>
        <item x="266"/>
        <item x="217"/>
        <item x="172"/>
        <item x="219"/>
        <item x="173"/>
        <item x="176"/>
        <item x="224"/>
        <item x="240"/>
        <item x="229"/>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 x="233"/>
        <item x="26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87">
    <i>
      <x/>
      <x v="3"/>
    </i>
    <i r="1">
      <x v="7"/>
    </i>
    <i r="1">
      <x v="22"/>
    </i>
    <i r="1">
      <x v="35"/>
    </i>
    <i r="1">
      <x v="40"/>
    </i>
    <i r="1">
      <x v="46"/>
    </i>
    <i r="1">
      <x v="64"/>
    </i>
    <i r="1">
      <x v="120"/>
    </i>
    <i r="1">
      <x v="139"/>
    </i>
    <i r="1">
      <x v="157"/>
    </i>
    <i r="1">
      <x v="165"/>
    </i>
    <i r="1">
      <x v="178"/>
    </i>
    <i r="1">
      <x v="180"/>
    </i>
    <i r="1">
      <x v="189"/>
    </i>
    <i r="1">
      <x v="199"/>
    </i>
    <i r="1">
      <x v="205"/>
    </i>
    <i>
      <x v="1"/>
      <x v="21"/>
    </i>
    <i r="1">
      <x v="29"/>
    </i>
    <i r="1">
      <x v="38"/>
    </i>
    <i r="1">
      <x v="55"/>
    </i>
    <i r="1">
      <x v="61"/>
    </i>
    <i r="1">
      <x v="155"/>
    </i>
    <i r="1">
      <x v="196"/>
    </i>
    <i r="1">
      <x v="204"/>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19"/>
    </i>
    <i r="1">
      <x v="135"/>
    </i>
    <i r="1">
      <x v="140"/>
    </i>
    <i r="1">
      <x v="147"/>
    </i>
    <i r="1">
      <x v="148"/>
    </i>
    <i r="1">
      <x v="156"/>
    </i>
    <i r="1">
      <x v="164"/>
    </i>
    <i r="1">
      <x v="166"/>
    </i>
    <i r="1">
      <x v="167"/>
    </i>
    <i r="1">
      <x v="168"/>
    </i>
    <i r="1">
      <x v="181"/>
    </i>
    <i r="1">
      <x v="188"/>
    </i>
    <i r="1">
      <x v="193"/>
    </i>
    <i r="1">
      <x v="194"/>
    </i>
    <i r="1">
      <x v="197"/>
    </i>
    <i r="1">
      <x v="200"/>
    </i>
    <i r="1">
      <x v="201"/>
    </i>
    <i r="1">
      <x v="212"/>
    </i>
    <i r="1">
      <x v="216"/>
    </i>
    <i r="1">
      <x v="234"/>
    </i>
    <i r="1">
      <x v="241"/>
    </i>
    <i r="1">
      <x v="242"/>
    </i>
    <i r="1">
      <x v="243"/>
    </i>
    <i r="1">
      <x v="244"/>
    </i>
    <i r="1">
      <x v="245"/>
    </i>
    <i r="1">
      <x v="268"/>
    </i>
    <i>
      <x v="3"/>
      <x v="142"/>
    </i>
    <i r="1">
      <x v="226"/>
    </i>
    <i r="1">
      <x v="239"/>
    </i>
    <i>
      <x v="4"/>
      <x v="58"/>
    </i>
    <i>
      <x v="5"/>
      <x v="53"/>
    </i>
    <i>
      <x v="6"/>
      <x v="27"/>
    </i>
    <i r="1">
      <x v="28"/>
    </i>
    <i r="1">
      <x v="48"/>
    </i>
    <i r="1">
      <x v="49"/>
    </i>
    <i r="1">
      <x v="50"/>
    </i>
    <i r="1">
      <x v="117"/>
    </i>
    <i r="1">
      <x v="118"/>
    </i>
    <i r="1">
      <x v="131"/>
    </i>
    <i r="1">
      <x v="202"/>
    </i>
    <i r="1">
      <x v="215"/>
    </i>
    <i r="1">
      <x v="233"/>
    </i>
    <i r="1">
      <x v="240"/>
    </i>
    <i r="1">
      <x v="263"/>
    </i>
    <i r="1">
      <x v="264"/>
    </i>
    <i r="1">
      <x v="279"/>
    </i>
    <i r="1">
      <x v="281"/>
    </i>
    <i r="1">
      <x v="282"/>
    </i>
    <i r="1">
      <x v="283"/>
    </i>
    <i>
      <x v="7"/>
      <x v="70"/>
    </i>
    <i>
      <x v="8"/>
      <x v="10"/>
    </i>
    <i r="1">
      <x v="11"/>
    </i>
    <i r="1">
      <x v="12"/>
    </i>
    <i r="1">
      <x v="18"/>
    </i>
    <i r="1">
      <x v="35"/>
    </i>
    <i r="1">
      <x v="42"/>
    </i>
    <i r="1">
      <x v="54"/>
    </i>
    <i r="1">
      <x v="56"/>
    </i>
    <i r="1">
      <x v="68"/>
    </i>
    <i r="1">
      <x v="78"/>
    </i>
    <i r="1">
      <x v="82"/>
    </i>
    <i r="1">
      <x v="83"/>
    </i>
    <i r="1">
      <x v="86"/>
    </i>
    <i r="1">
      <x v="87"/>
    </i>
    <i r="1">
      <x v="88"/>
    </i>
    <i r="1">
      <x v="93"/>
    </i>
    <i r="1">
      <x v="115"/>
    </i>
    <i r="1">
      <x v="116"/>
    </i>
    <i r="1">
      <x v="123"/>
    </i>
    <i r="1">
      <x v="132"/>
    </i>
    <i r="1">
      <x v="133"/>
    </i>
    <i r="1">
      <x v="134"/>
    </i>
    <i r="1">
      <x v="176"/>
    </i>
    <i r="1">
      <x v="203"/>
    </i>
    <i r="1">
      <x v="206"/>
    </i>
    <i r="1">
      <x v="210"/>
    </i>
    <i r="1">
      <x v="214"/>
    </i>
    <i>
      <x v="9"/>
      <x v="91"/>
    </i>
    <i r="1">
      <x v="92"/>
    </i>
    <i r="1">
      <x v="238"/>
    </i>
    <i>
      <x v="10"/>
      <x v="52"/>
    </i>
    <i r="1">
      <x v="143"/>
    </i>
    <i r="1">
      <x v="227"/>
    </i>
    <i r="1">
      <x v="228"/>
    </i>
    <i r="1">
      <x v="229"/>
    </i>
    <i r="1">
      <x v="276"/>
    </i>
    <i r="1">
      <x v="277"/>
    </i>
    <i>
      <x v="11"/>
      <x v="141"/>
    </i>
    <i r="1">
      <x v="146"/>
    </i>
    <i r="1">
      <x v="177"/>
    </i>
    <i r="1">
      <x v="217"/>
    </i>
    <i r="1">
      <x v="218"/>
    </i>
    <i>
      <x v="12"/>
      <x v="24"/>
    </i>
    <i r="1">
      <x v="35"/>
    </i>
    <i r="1">
      <x v="39"/>
    </i>
    <i r="1">
      <x v="45"/>
    </i>
    <i r="1">
      <x v="47"/>
    </i>
    <i r="1">
      <x v="65"/>
    </i>
    <i r="1">
      <x v="66"/>
    </i>
    <i r="1">
      <x v="67"/>
    </i>
    <i r="1">
      <x v="73"/>
    </i>
    <i r="1">
      <x v="80"/>
    </i>
    <i r="1">
      <x v="84"/>
    </i>
    <i r="1">
      <x v="85"/>
    </i>
    <i r="1">
      <x v="90"/>
    </i>
    <i r="1">
      <x v="111"/>
    </i>
    <i r="1">
      <x v="112"/>
    </i>
    <i r="1">
      <x v="122"/>
    </i>
    <i r="1">
      <x v="149"/>
    </i>
    <i r="1">
      <x v="150"/>
    </i>
    <i r="1">
      <x v="152"/>
    </i>
    <i r="1">
      <x v="154"/>
    </i>
    <i r="1">
      <x v="158"/>
    </i>
    <i r="1">
      <x v="169"/>
    </i>
    <i r="1">
      <x v="182"/>
    </i>
    <i r="1">
      <x v="232"/>
    </i>
    <i>
      <x v="13"/>
      <x v="36"/>
    </i>
    <i r="1">
      <x v="37"/>
    </i>
    <i r="1">
      <x v="113"/>
    </i>
    <i r="1">
      <x v="114"/>
    </i>
    <i r="1">
      <x v="129"/>
    </i>
    <i r="1">
      <x v="130"/>
    </i>
    <i r="1">
      <x v="208"/>
    </i>
    <i r="1">
      <x v="211"/>
    </i>
    <i r="1">
      <x v="251"/>
    </i>
    <i r="1">
      <x v="252"/>
    </i>
    <i r="1">
      <x v="253"/>
    </i>
    <i r="1">
      <x v="254"/>
    </i>
    <i r="1">
      <x v="255"/>
    </i>
    <i r="1">
      <x v="256"/>
    </i>
    <i r="1">
      <x v="257"/>
    </i>
    <i r="1">
      <x v="258"/>
    </i>
    <i r="1">
      <x v="259"/>
    </i>
    <i r="1">
      <x v="260"/>
    </i>
    <i r="1">
      <x v="261"/>
    </i>
    <i r="1">
      <x v="265"/>
    </i>
    <i>
      <x v="14"/>
      <x v="43"/>
    </i>
    <i r="1">
      <x v="44"/>
    </i>
    <i r="1">
      <x v="51"/>
    </i>
    <i r="1">
      <x v="59"/>
    </i>
    <i r="1">
      <x v="60"/>
    </i>
    <i r="1">
      <x v="79"/>
    </i>
    <i r="1">
      <x v="81"/>
    </i>
    <i r="1">
      <x v="102"/>
    </i>
    <i r="1">
      <x v="103"/>
    </i>
    <i r="1">
      <x v="121"/>
    </i>
    <i r="1">
      <x v="138"/>
    </i>
    <i r="1">
      <x v="151"/>
    </i>
    <i r="1">
      <x v="153"/>
    </i>
    <i r="1">
      <x v="170"/>
    </i>
    <i r="1">
      <x v="171"/>
    </i>
    <i r="1">
      <x v="175"/>
    </i>
    <i r="1">
      <x v="183"/>
    </i>
    <i r="1">
      <x v="184"/>
    </i>
    <i r="1">
      <x v="185"/>
    </i>
    <i r="1">
      <x v="186"/>
    </i>
    <i r="1">
      <x v="198"/>
    </i>
    <i r="1">
      <x v="223"/>
    </i>
    <i r="1">
      <x v="274"/>
    </i>
    <i r="1">
      <x v="275"/>
    </i>
    <i r="1">
      <x v="278"/>
    </i>
    <i>
      <x v="15"/>
      <x v="124"/>
    </i>
    <i r="1">
      <x v="125"/>
    </i>
    <i r="1">
      <x v="126"/>
    </i>
    <i r="1">
      <x v="127"/>
    </i>
    <i r="1">
      <x v="128"/>
    </i>
    <i r="1">
      <x v="209"/>
    </i>
    <i r="1">
      <x v="213"/>
    </i>
    <i r="1">
      <x v="235"/>
    </i>
    <i r="1">
      <x v="236"/>
    </i>
    <i>
      <x v="16"/>
      <x v="136"/>
    </i>
    <i r="1">
      <x v="137"/>
    </i>
    <i r="1">
      <x v="237"/>
    </i>
    <i r="1">
      <x v="246"/>
    </i>
    <i r="1">
      <x v="247"/>
    </i>
    <i r="1">
      <x v="248"/>
    </i>
    <i r="1">
      <x v="249"/>
    </i>
    <i r="1">
      <x v="250"/>
    </i>
    <i r="1">
      <x v="269"/>
    </i>
    <i>
      <x v="17"/>
      <x v="144"/>
    </i>
    <i r="1">
      <x v="190"/>
    </i>
    <i r="1">
      <x v="207"/>
    </i>
    <i r="1">
      <x v="225"/>
    </i>
    <i>
      <x v="18"/>
      <x v="35"/>
    </i>
    <i r="1">
      <x v="57"/>
    </i>
    <i r="1">
      <x v="173"/>
    </i>
    <i r="1">
      <x v="174"/>
    </i>
    <i>
      <x v="19"/>
      <x v="179"/>
    </i>
    <i r="1">
      <x v="230"/>
    </i>
    <i r="1">
      <x v="231"/>
    </i>
    <i>
      <x v="20"/>
      <x v="16"/>
    </i>
    <i r="1">
      <x v="17"/>
    </i>
    <i r="1">
      <x v="30"/>
    </i>
    <i r="1">
      <x v="31"/>
    </i>
    <i r="1">
      <x v="41"/>
    </i>
    <i r="1">
      <x v="71"/>
    </i>
    <i r="1">
      <x v="72"/>
    </i>
    <i r="1">
      <x v="74"/>
    </i>
    <i r="1">
      <x v="75"/>
    </i>
    <i r="1">
      <x v="76"/>
    </i>
    <i r="1">
      <x v="77"/>
    </i>
    <i r="1">
      <x v="89"/>
    </i>
    <i r="1">
      <x v="145"/>
    </i>
    <i r="1">
      <x v="159"/>
    </i>
    <i r="1">
      <x v="160"/>
    </i>
    <i r="1">
      <x v="161"/>
    </i>
    <i r="1">
      <x v="162"/>
    </i>
    <i r="1">
      <x v="163"/>
    </i>
    <i r="1">
      <x v="172"/>
    </i>
    <i r="1">
      <x v="187"/>
    </i>
    <i r="1">
      <x v="191"/>
    </i>
    <i r="1">
      <x v="192"/>
    </i>
    <i r="1">
      <x v="195"/>
    </i>
    <i r="1">
      <x v="219"/>
    </i>
    <i r="1">
      <x v="220"/>
    </i>
    <i r="1">
      <x v="221"/>
    </i>
    <i r="1">
      <x v="222"/>
    </i>
    <i r="1">
      <x v="224"/>
    </i>
    <i r="1">
      <x v="266"/>
    </i>
    <i r="1">
      <x v="267"/>
    </i>
    <i r="1">
      <x v="280"/>
    </i>
    <i>
      <x v="21"/>
      <x v="262"/>
    </i>
    <i>
      <x v="22"/>
      <x v="270"/>
    </i>
    <i r="1">
      <x v="271"/>
    </i>
    <i r="1">
      <x v="272"/>
    </i>
    <i r="1">
      <x v="273"/>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7">
      <pivotArea outline="0" collapsedLevelsAreSubtotals="1" fieldPosition="0"/>
    </format>
    <format dxfId="876">
      <pivotArea dataOnly="0" labelOnly="1" outline="0" axis="axisValues" fieldPosition="0"/>
    </format>
    <format dxfId="875">
      <pivotArea field="20" type="button" dataOnly="0" labelOnly="1" outline="0" axis="axisPage" fieldPosition="0"/>
    </format>
    <format dxfId="874">
      <pivotArea dataOnly="0" labelOnly="1" outline="0" fieldPosition="0">
        <references count="1">
          <reference field="20" count="0"/>
        </references>
      </pivotArea>
    </format>
    <format dxfId="873">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2">
      <pivotArea dataOnly="0" labelOnly="1" outline="0" fieldPosition="0">
        <references count="1">
          <reference field="4" count="1">
            <x v="0"/>
          </reference>
        </references>
      </pivotArea>
    </format>
    <format dxfId="871">
      <pivotArea dataOnly="0" labelOnly="1" outline="0" fieldPosition="0">
        <references count="2">
          <reference field="4" count="1" selected="0">
            <x v="0"/>
          </reference>
          <reference field="19" count="10">
            <x v="36"/>
            <x v="37"/>
            <x v="38"/>
            <x v="39"/>
            <x v="40"/>
            <x v="41"/>
            <x v="42"/>
            <x v="92"/>
            <x v="110"/>
            <x v="113"/>
          </reference>
        </references>
      </pivotArea>
    </format>
    <format dxfId="870">
      <pivotArea dataOnly="0" labelOnly="1" outline="0" fieldPosition="0">
        <references count="3">
          <reference field="4" count="1" selected="0">
            <x v="0"/>
          </reference>
          <reference field="5" count="1">
            <x v="83"/>
          </reference>
          <reference field="19" count="1" selected="0">
            <x v="36"/>
          </reference>
        </references>
      </pivotArea>
    </format>
    <format dxfId="869">
      <pivotArea dataOnly="0" labelOnly="1" outline="0" fieldPosition="0">
        <references count="3">
          <reference field="4" count="1" selected="0">
            <x v="0"/>
          </reference>
          <reference field="5" count="1">
            <x v="30"/>
          </reference>
          <reference field="19" count="1" selected="0">
            <x v="37"/>
          </reference>
        </references>
      </pivotArea>
    </format>
    <format dxfId="868">
      <pivotArea dataOnly="0" labelOnly="1" outline="0" fieldPosition="0">
        <references count="3">
          <reference field="4" count="1" selected="0">
            <x v="0"/>
          </reference>
          <reference field="5" count="1">
            <x v="1"/>
          </reference>
          <reference field="19" count="1" selected="0">
            <x v="38"/>
          </reference>
        </references>
      </pivotArea>
    </format>
    <format dxfId="867">
      <pivotArea dataOnly="0" labelOnly="1" outline="0" fieldPosition="0">
        <references count="3">
          <reference field="4" count="1" selected="0">
            <x v="0"/>
          </reference>
          <reference field="5" count="1">
            <x v="16"/>
          </reference>
          <reference field="19" count="1" selected="0">
            <x v="39"/>
          </reference>
        </references>
      </pivotArea>
    </format>
    <format dxfId="866">
      <pivotArea dataOnly="0" labelOnly="1" outline="0" fieldPosition="0">
        <references count="3">
          <reference field="4" count="1" selected="0">
            <x v="0"/>
          </reference>
          <reference field="5" count="1">
            <x v="105"/>
          </reference>
          <reference field="19" count="1" selected="0">
            <x v="40"/>
          </reference>
        </references>
      </pivotArea>
    </format>
    <format dxfId="865">
      <pivotArea dataOnly="0" labelOnly="1" outline="0" fieldPosition="0">
        <references count="3">
          <reference field="4" count="1" selected="0">
            <x v="0"/>
          </reference>
          <reference field="5" count="1">
            <x v="65"/>
          </reference>
          <reference field="19" count="1" selected="0">
            <x v="41"/>
          </reference>
        </references>
      </pivotArea>
    </format>
    <format dxfId="864">
      <pivotArea dataOnly="0" labelOnly="1" outline="0" fieldPosition="0">
        <references count="3">
          <reference field="4" count="1" selected="0">
            <x v="0"/>
          </reference>
          <reference field="5" count="1">
            <x v="93"/>
          </reference>
          <reference field="19" count="1" selected="0">
            <x v="42"/>
          </reference>
        </references>
      </pivotArea>
    </format>
    <format dxfId="863">
      <pivotArea dataOnly="0" labelOnly="1" outline="0" fieldPosition="0">
        <references count="3">
          <reference field="4" count="1" selected="0">
            <x v="0"/>
          </reference>
          <reference field="5" count="1">
            <x v="76"/>
          </reference>
          <reference field="19" count="1" selected="0">
            <x v="92"/>
          </reference>
        </references>
      </pivotArea>
    </format>
    <format dxfId="862">
      <pivotArea dataOnly="0" labelOnly="1" outline="0" fieldPosition="0">
        <references count="3">
          <reference field="4" count="1" selected="0">
            <x v="0"/>
          </reference>
          <reference field="5" count="1">
            <x v="111"/>
          </reference>
          <reference field="19" count="1" selected="0">
            <x v="110"/>
          </reference>
        </references>
      </pivotArea>
    </format>
    <format dxfId="861">
      <pivotArea dataOnly="0" labelOnly="1" outline="0" fieldPosition="0">
        <references count="3">
          <reference field="4" count="1" selected="0">
            <x v="0"/>
          </reference>
          <reference field="5" count="1">
            <x v="114"/>
          </reference>
          <reference field="19" count="1" selected="0">
            <x v="113"/>
          </reference>
        </references>
      </pivotArea>
    </format>
    <format dxfId="860">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9">
      <pivotArea dataOnly="0" labelOnly="1" outline="0" fieldPosition="0">
        <references count="1">
          <reference field="4" count="1">
            <x v="1"/>
          </reference>
        </references>
      </pivotArea>
    </format>
    <format dxfId="858">
      <pivotArea dataOnly="0" labelOnly="1" outline="0" fieldPosition="0">
        <references count="2">
          <reference field="4" count="1" selected="0">
            <x v="1"/>
          </reference>
          <reference field="19" count="3">
            <x v="35"/>
            <x v="93"/>
            <x v="115"/>
          </reference>
        </references>
      </pivotArea>
    </format>
    <format dxfId="857">
      <pivotArea dataOnly="0" labelOnly="1" outline="0" fieldPosition="0">
        <references count="3">
          <reference field="4" count="1" selected="0">
            <x v="1"/>
          </reference>
          <reference field="5" count="1">
            <x v="6"/>
          </reference>
          <reference field="19" count="1" selected="0">
            <x v="35"/>
          </reference>
        </references>
      </pivotArea>
    </format>
    <format dxfId="856">
      <pivotArea dataOnly="0" labelOnly="1" outline="0" fieldPosition="0">
        <references count="3">
          <reference field="4" count="1" selected="0">
            <x v="1"/>
          </reference>
          <reference field="5" count="1">
            <x v="28"/>
          </reference>
          <reference field="19" count="1" selected="0">
            <x v="93"/>
          </reference>
        </references>
      </pivotArea>
    </format>
    <format dxfId="855">
      <pivotArea dataOnly="0" labelOnly="1" outline="0" fieldPosition="0">
        <references count="3">
          <reference field="4" count="1" selected="0">
            <x v="1"/>
          </reference>
          <reference field="5" count="1">
            <x v="117"/>
          </reference>
          <reference field="19" count="1" selected="0">
            <x v="115"/>
          </reference>
        </references>
      </pivotArea>
    </format>
    <format dxfId="854">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3">
      <pivotArea dataOnly="0" labelOnly="1" outline="0" fieldPosition="0">
        <references count="1">
          <reference field="4" count="1">
            <x v="2"/>
          </reference>
        </references>
      </pivotArea>
    </format>
    <format dxfId="852">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51">
      <pivotArea dataOnly="0" labelOnly="1" outline="0" fieldPosition="0">
        <references count="3">
          <reference field="4" count="1" selected="0">
            <x v="2"/>
          </reference>
          <reference field="5" count="2">
            <x v="102"/>
            <x v="116"/>
          </reference>
          <reference field="19" count="1" selected="0">
            <x v="0"/>
          </reference>
        </references>
      </pivotArea>
    </format>
    <format dxfId="850">
      <pivotArea dataOnly="0" labelOnly="1" outline="0" fieldPosition="0">
        <references count="3">
          <reference field="4" count="1" selected="0">
            <x v="2"/>
          </reference>
          <reference field="5" count="1">
            <x v="53"/>
          </reference>
          <reference field="19" count="1" selected="0">
            <x v="61"/>
          </reference>
        </references>
      </pivotArea>
    </format>
    <format dxfId="849">
      <pivotArea dataOnly="0" labelOnly="1" outline="0" fieldPosition="0">
        <references count="3">
          <reference field="4" count="1" selected="0">
            <x v="2"/>
          </reference>
          <reference field="5" count="1">
            <x v="66"/>
          </reference>
          <reference field="19" count="1" selected="0">
            <x v="63"/>
          </reference>
        </references>
      </pivotArea>
    </format>
    <format dxfId="848">
      <pivotArea dataOnly="0" labelOnly="1" outline="0" fieldPosition="0">
        <references count="3">
          <reference field="4" count="1" selected="0">
            <x v="2"/>
          </reference>
          <reference field="5" count="1">
            <x v="106"/>
          </reference>
          <reference field="19" count="1" selected="0">
            <x v="64"/>
          </reference>
        </references>
      </pivotArea>
    </format>
    <format dxfId="847">
      <pivotArea dataOnly="0" labelOnly="1" outline="0" fieldPosition="0">
        <references count="3">
          <reference field="4" count="1" selected="0">
            <x v="2"/>
          </reference>
          <reference field="5" count="1">
            <x v="5"/>
          </reference>
          <reference field="19" count="1" selected="0">
            <x v="65"/>
          </reference>
        </references>
      </pivotArea>
    </format>
    <format dxfId="846">
      <pivotArea dataOnly="0" labelOnly="1" outline="0" fieldPosition="0">
        <references count="3">
          <reference field="4" count="1" selected="0">
            <x v="2"/>
          </reference>
          <reference field="5" count="1">
            <x v="3"/>
          </reference>
          <reference field="19" count="1" selected="0">
            <x v="82"/>
          </reference>
        </references>
      </pivotArea>
    </format>
    <format dxfId="845">
      <pivotArea dataOnly="0" labelOnly="1" outline="0" fieldPosition="0">
        <references count="3">
          <reference field="4" count="1" selected="0">
            <x v="2"/>
          </reference>
          <reference field="5" count="1">
            <x v="7"/>
          </reference>
          <reference field="19" count="1" selected="0">
            <x v="83"/>
          </reference>
        </references>
      </pivotArea>
    </format>
    <format dxfId="844">
      <pivotArea dataOnly="0" labelOnly="1" outline="0" fieldPosition="0">
        <references count="3">
          <reference field="4" count="1" selected="0">
            <x v="2"/>
          </reference>
          <reference field="5" count="1">
            <x v="2"/>
          </reference>
          <reference field="19" count="1" selected="0">
            <x v="84"/>
          </reference>
        </references>
      </pivotArea>
    </format>
    <format dxfId="843">
      <pivotArea dataOnly="0" labelOnly="1" outline="0" fieldPosition="0">
        <references count="3">
          <reference field="4" count="1" selected="0">
            <x v="2"/>
          </reference>
          <reference field="5" count="1">
            <x v="0"/>
          </reference>
          <reference field="19" count="1" selected="0">
            <x v="85"/>
          </reference>
        </references>
      </pivotArea>
    </format>
    <format dxfId="842">
      <pivotArea dataOnly="0" labelOnly="1" outline="0" fieldPosition="0">
        <references count="3">
          <reference field="4" count="1" selected="0">
            <x v="2"/>
          </reference>
          <reference field="5" count="1">
            <x v="29"/>
          </reference>
          <reference field="19" count="1" selected="0">
            <x v="86"/>
          </reference>
        </references>
      </pivotArea>
    </format>
    <format dxfId="841">
      <pivotArea dataOnly="0" labelOnly="1" outline="0" fieldPosition="0">
        <references count="3">
          <reference field="4" count="1" selected="0">
            <x v="2"/>
          </reference>
          <reference field="5" count="1">
            <x v="82"/>
          </reference>
          <reference field="19" count="1" selected="0">
            <x v="87"/>
          </reference>
        </references>
      </pivotArea>
    </format>
    <format dxfId="840">
      <pivotArea dataOnly="0" labelOnly="1" outline="0" fieldPosition="0">
        <references count="3">
          <reference field="4" count="1" selected="0">
            <x v="2"/>
          </reference>
          <reference field="5" count="1">
            <x v="85"/>
          </reference>
          <reference field="19" count="1" selected="0">
            <x v="88"/>
          </reference>
        </references>
      </pivotArea>
    </format>
    <format dxfId="839">
      <pivotArea dataOnly="0" labelOnly="1" outline="0" fieldPosition="0">
        <references count="3">
          <reference field="4" count="1" selected="0">
            <x v="2"/>
          </reference>
          <reference field="5" count="1">
            <x v="101"/>
          </reference>
          <reference field="19" count="1" selected="0">
            <x v="89"/>
          </reference>
        </references>
      </pivotArea>
    </format>
    <format dxfId="838">
      <pivotArea dataOnly="0" labelOnly="1" outline="0" fieldPosition="0">
        <references count="3">
          <reference field="4" count="1" selected="0">
            <x v="2"/>
          </reference>
          <reference field="5" count="1">
            <x v="13"/>
          </reference>
          <reference field="19" count="1" selected="0">
            <x v="90"/>
          </reference>
        </references>
      </pivotArea>
    </format>
    <format dxfId="837">
      <pivotArea dataOnly="0" labelOnly="1" outline="0" fieldPosition="0">
        <references count="3">
          <reference field="4" count="1" selected="0">
            <x v="2"/>
          </reference>
          <reference field="5" count="1">
            <x v="62"/>
          </reference>
          <reference field="19" count="1" selected="0">
            <x v="91"/>
          </reference>
        </references>
      </pivotArea>
    </format>
    <format dxfId="836">
      <pivotArea dataOnly="0" labelOnly="1" outline="0" fieldPosition="0">
        <references count="3">
          <reference field="4" count="1" selected="0">
            <x v="2"/>
          </reference>
          <reference field="5" count="1">
            <x v="113"/>
          </reference>
          <reference field="19" count="1" selected="0">
            <x v="112"/>
          </reference>
        </references>
      </pivotArea>
    </format>
    <format dxfId="835">
      <pivotArea dataOnly="0" labelOnly="1" outline="0" fieldPosition="0">
        <references count="3">
          <reference field="4" count="1" selected="0">
            <x v="2"/>
          </reference>
          <reference field="5" count="1">
            <x v="121"/>
          </reference>
          <reference field="19" count="1" selected="0">
            <x v="119"/>
          </reference>
        </references>
      </pivotArea>
    </format>
    <format dxfId="834">
      <pivotArea dataOnly="0" labelOnly="1" outline="0" fieldPosition="0">
        <references count="3">
          <reference field="4" count="1" selected="0">
            <x v="2"/>
          </reference>
          <reference field="5" count="1">
            <x v="122"/>
          </reference>
          <reference field="19" count="1" selected="0">
            <x v="120"/>
          </reference>
        </references>
      </pivotArea>
    </format>
    <format dxfId="833">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2">
      <pivotArea dataOnly="0" labelOnly="1" outline="0" fieldPosition="0">
        <references count="1">
          <reference field="4" count="1">
            <x v="3"/>
          </reference>
        </references>
      </pivotArea>
    </format>
    <format dxfId="831">
      <pivotArea dataOnly="0" labelOnly="1" outline="0" fieldPosition="0">
        <references count="2">
          <reference field="4" count="1" selected="0">
            <x v="3"/>
          </reference>
          <reference field="19" count="7">
            <x v="100"/>
            <x v="104"/>
            <x v="105"/>
            <x v="117"/>
            <x v="122"/>
            <x v="127"/>
            <x v="128"/>
          </reference>
        </references>
      </pivotArea>
    </format>
    <format dxfId="830">
      <pivotArea dataOnly="0" labelOnly="1" outline="0" fieldPosition="0">
        <references count="3">
          <reference field="4" count="1" selected="0">
            <x v="3"/>
          </reference>
          <reference field="5" count="1">
            <x v="60"/>
          </reference>
          <reference field="19" count="1" selected="0">
            <x v="100"/>
          </reference>
        </references>
      </pivotArea>
    </format>
    <format dxfId="829">
      <pivotArea dataOnly="0" labelOnly="1" outline="0" fieldPosition="0">
        <references count="3">
          <reference field="4" count="1" selected="0">
            <x v="3"/>
          </reference>
          <reference field="5" count="1">
            <x v="20"/>
          </reference>
          <reference field="19" count="1" selected="0">
            <x v="104"/>
          </reference>
        </references>
      </pivotArea>
    </format>
    <format dxfId="828">
      <pivotArea dataOnly="0" labelOnly="1" outline="0" fieldPosition="0">
        <references count="3">
          <reference field="4" count="1" selected="0">
            <x v="3"/>
          </reference>
          <reference field="5" count="1">
            <x v="21"/>
          </reference>
          <reference field="19" count="1" selected="0">
            <x v="105"/>
          </reference>
        </references>
      </pivotArea>
    </format>
    <format dxfId="827">
      <pivotArea dataOnly="0" labelOnly="1" outline="0" fieldPosition="0">
        <references count="3">
          <reference field="4" count="1" selected="0">
            <x v="3"/>
          </reference>
          <reference field="5" count="1">
            <x v="119"/>
          </reference>
          <reference field="19" count="1" selected="0">
            <x v="117"/>
          </reference>
        </references>
      </pivotArea>
    </format>
    <format dxfId="826">
      <pivotArea dataOnly="0" labelOnly="1" outline="0" fieldPosition="0">
        <references count="3">
          <reference field="4" count="1" selected="0">
            <x v="3"/>
          </reference>
          <reference field="5" count="1">
            <x v="124"/>
          </reference>
          <reference field="19" count="1" selected="0">
            <x v="122"/>
          </reference>
        </references>
      </pivotArea>
    </format>
    <format dxfId="825">
      <pivotArea dataOnly="0" labelOnly="1" outline="0" fieldPosition="0">
        <references count="3">
          <reference field="4" count="1" selected="0">
            <x v="3"/>
          </reference>
          <reference field="5" count="1">
            <x v="129"/>
          </reference>
          <reference field="19" count="1" selected="0">
            <x v="127"/>
          </reference>
        </references>
      </pivotArea>
    </format>
    <format dxfId="824">
      <pivotArea dataOnly="0" labelOnly="1" outline="0" fieldPosition="0">
        <references count="3">
          <reference field="4" count="1" selected="0">
            <x v="3"/>
          </reference>
          <reference field="5" count="1">
            <x v="133"/>
          </reference>
          <reference field="19" count="1" selected="0">
            <x v="128"/>
          </reference>
        </references>
      </pivotArea>
    </format>
    <format dxfId="823">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2">
      <pivotArea dataOnly="0" labelOnly="1" outline="0" fieldPosition="0">
        <references count="1">
          <reference field="4" count="1">
            <x v="4"/>
          </reference>
        </references>
      </pivotArea>
    </format>
    <format dxfId="821">
      <pivotArea dataOnly="0" labelOnly="1" outline="0" fieldPosition="0">
        <references count="2">
          <reference field="4" count="1" selected="0">
            <x v="4"/>
          </reference>
          <reference field="19" count="9">
            <x v="48"/>
            <x v="74"/>
            <x v="76"/>
            <x v="77"/>
            <x v="78"/>
            <x v="106"/>
            <x v="108"/>
            <x v="116"/>
            <x v="118"/>
          </reference>
        </references>
      </pivotArea>
    </format>
    <format dxfId="820">
      <pivotArea dataOnly="0" labelOnly="1" outline="0" fieldPosition="0">
        <references count="3">
          <reference field="4" count="1" selected="0">
            <x v="4"/>
          </reference>
          <reference field="5" count="1">
            <x v="49"/>
          </reference>
          <reference field="19" count="1" selected="0">
            <x v="48"/>
          </reference>
        </references>
      </pivotArea>
    </format>
    <format dxfId="819">
      <pivotArea dataOnly="0" labelOnly="1" outline="0" fieldPosition="0">
        <references count="3">
          <reference field="4" count="1" selected="0">
            <x v="4"/>
          </reference>
          <reference field="5" count="1">
            <x v="25"/>
          </reference>
          <reference field="19" count="1" selected="0">
            <x v="74"/>
          </reference>
        </references>
      </pivotArea>
    </format>
    <format dxfId="818">
      <pivotArea dataOnly="0" labelOnly="1" outline="0" fieldPosition="0">
        <references count="3">
          <reference field="4" count="1" selected="0">
            <x v="4"/>
          </reference>
          <reference field="5" count="1">
            <x v="45"/>
          </reference>
          <reference field="19" count="1" selected="0">
            <x v="76"/>
          </reference>
        </references>
      </pivotArea>
    </format>
    <format dxfId="817">
      <pivotArea dataOnly="0" labelOnly="1" outline="0" fieldPosition="0">
        <references count="3">
          <reference field="4" count="1" selected="0">
            <x v="4"/>
          </reference>
          <reference field="5" count="1">
            <x v="44"/>
          </reference>
          <reference field="19" count="1" selected="0">
            <x v="77"/>
          </reference>
        </references>
      </pivotArea>
    </format>
    <format dxfId="816">
      <pivotArea dataOnly="0" labelOnly="1" outline="0" fieldPosition="0">
        <references count="3">
          <reference field="4" count="1" selected="0">
            <x v="4"/>
          </reference>
          <reference field="5" count="1">
            <x v="34"/>
          </reference>
          <reference field="19" count="1" selected="0">
            <x v="78"/>
          </reference>
        </references>
      </pivotArea>
    </format>
    <format dxfId="815">
      <pivotArea dataOnly="0" labelOnly="1" outline="0" fieldPosition="0">
        <references count="3">
          <reference field="4" count="1" selected="0">
            <x v="4"/>
          </reference>
          <reference field="5" count="1">
            <x v="107"/>
          </reference>
          <reference field="19" count="1" selected="0">
            <x v="106"/>
          </reference>
        </references>
      </pivotArea>
    </format>
    <format dxfId="814">
      <pivotArea dataOnly="0" labelOnly="1" outline="0" fieldPosition="0">
        <references count="3">
          <reference field="4" count="1" selected="0">
            <x v="4"/>
          </reference>
          <reference field="5" count="1">
            <x v="109"/>
          </reference>
          <reference field="19" count="1" selected="0">
            <x v="108"/>
          </reference>
        </references>
      </pivotArea>
    </format>
    <format dxfId="813">
      <pivotArea dataOnly="0" labelOnly="1" outline="0" fieldPosition="0">
        <references count="3">
          <reference field="4" count="1" selected="0">
            <x v="4"/>
          </reference>
          <reference field="5" count="1">
            <x v="118"/>
          </reference>
          <reference field="19" count="1" selected="0">
            <x v="116"/>
          </reference>
        </references>
      </pivotArea>
    </format>
    <format dxfId="812">
      <pivotArea dataOnly="0" labelOnly="1" outline="0" fieldPosition="0">
        <references count="3">
          <reference field="4" count="1" selected="0">
            <x v="4"/>
          </reference>
          <reference field="5" count="1">
            <x v="120"/>
          </reference>
          <reference field="19" count="1" selected="0">
            <x v="118"/>
          </reference>
        </references>
      </pivotArea>
    </format>
    <format dxfId="811">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10">
      <pivotArea dataOnly="0" labelOnly="1" outline="0" fieldPosition="0">
        <references count="1">
          <reference field="4" count="1">
            <x v="5"/>
          </reference>
        </references>
      </pivotArea>
    </format>
    <format dxfId="809">
      <pivotArea dataOnly="0" labelOnly="1" outline="0" fieldPosition="0">
        <references count="2">
          <reference field="4" count="1" selected="0">
            <x v="5"/>
          </reference>
          <reference field="19" count="3">
            <x v="101"/>
            <x v="102"/>
            <x v="132"/>
          </reference>
        </references>
      </pivotArea>
    </format>
    <format dxfId="808">
      <pivotArea dataOnly="0" labelOnly="1" outline="0" fieldPosition="0">
        <references count="3">
          <reference field="4" count="1" selected="0">
            <x v="5"/>
          </reference>
          <reference field="5" count="1">
            <x v="47"/>
          </reference>
          <reference field="19" count="1" selected="0">
            <x v="101"/>
          </reference>
        </references>
      </pivotArea>
    </format>
    <format dxfId="807">
      <pivotArea dataOnly="0" labelOnly="1" outline="0" fieldPosition="0">
        <references count="3">
          <reference field="4" count="1" selected="0">
            <x v="5"/>
          </reference>
          <reference field="5" count="1">
            <x v="14"/>
          </reference>
          <reference field="19" count="1" selected="0">
            <x v="102"/>
          </reference>
        </references>
      </pivotArea>
    </format>
    <format dxfId="806">
      <pivotArea dataOnly="0" labelOnly="1" outline="0" fieldPosition="0">
        <references count="3">
          <reference field="4" count="1" selected="0">
            <x v="5"/>
          </reference>
          <reference field="5" count="1">
            <x v="134"/>
          </reference>
          <reference field="19" count="1" selected="0">
            <x v="132"/>
          </reference>
        </references>
      </pivotArea>
    </format>
    <format dxfId="805">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4">
      <pivotArea dataOnly="0" labelOnly="1" outline="0" fieldPosition="0">
        <references count="1">
          <reference field="4" count="1">
            <x v="6"/>
          </reference>
        </references>
      </pivotArea>
    </format>
    <format dxfId="803">
      <pivotArea dataOnly="0" labelOnly="1" outline="0" fieldPosition="0">
        <references count="2">
          <reference field="4" count="1" selected="0">
            <x v="6"/>
          </reference>
          <reference field="19" count="3">
            <x v="56"/>
            <x v="57"/>
            <x v="58"/>
          </reference>
        </references>
      </pivotArea>
    </format>
    <format dxfId="802">
      <pivotArea dataOnly="0" labelOnly="1" outline="0" fieldPosition="0">
        <references count="3">
          <reference field="4" count="1" selected="0">
            <x v="6"/>
          </reference>
          <reference field="5" count="1">
            <x v="48"/>
          </reference>
          <reference field="19" count="1" selected="0">
            <x v="56"/>
          </reference>
        </references>
      </pivotArea>
    </format>
    <format dxfId="801">
      <pivotArea dataOnly="0" labelOnly="1" outline="0" fieldPosition="0">
        <references count="3">
          <reference field="4" count="1" selected="0">
            <x v="6"/>
          </reference>
          <reference field="5" count="1">
            <x v="23"/>
          </reference>
          <reference field="19" count="1" selected="0">
            <x v="57"/>
          </reference>
        </references>
      </pivotArea>
    </format>
    <format dxfId="800">
      <pivotArea dataOnly="0" labelOnly="1" outline="0" fieldPosition="0">
        <references count="3">
          <reference field="4" count="1" selected="0">
            <x v="6"/>
          </reference>
          <reference field="5" count="1">
            <x v="67"/>
          </reference>
          <reference field="19" count="1" selected="0">
            <x v="58"/>
          </reference>
        </references>
      </pivotArea>
    </format>
    <format dxfId="799">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8">
      <pivotArea dataOnly="0" labelOnly="1" outline="0" fieldPosition="0">
        <references count="1">
          <reference field="4" count="1">
            <x v="7"/>
          </reference>
        </references>
      </pivotArea>
    </format>
    <format dxfId="797">
      <pivotArea dataOnly="0" labelOnly="1" outline="0" fieldPosition="0">
        <references count="2">
          <reference field="4" count="1" selected="0">
            <x v="7"/>
          </reference>
          <reference field="19" count="2">
            <x v="59"/>
            <x v="79"/>
          </reference>
        </references>
      </pivotArea>
    </format>
    <format dxfId="796">
      <pivotArea dataOnly="0" labelOnly="1" outline="0" fieldPosition="0">
        <references count="3">
          <reference field="4" count="1" selected="0">
            <x v="7"/>
          </reference>
          <reference field="5" count="1">
            <x v="92"/>
          </reference>
          <reference field="19" count="1" selected="0">
            <x v="59"/>
          </reference>
        </references>
      </pivotArea>
    </format>
    <format dxfId="795">
      <pivotArea dataOnly="0" labelOnly="1" outline="0" fieldPosition="0">
        <references count="3">
          <reference field="4" count="1" selected="0">
            <x v="7"/>
          </reference>
          <reference field="5" count="1">
            <x v="68"/>
          </reference>
          <reference field="19" count="1" selected="0">
            <x v="79"/>
          </reference>
        </references>
      </pivotArea>
    </format>
    <format dxfId="794">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3">
      <pivotArea dataOnly="0" labelOnly="1" outline="0" fieldPosition="0">
        <references count="1">
          <reference field="4" count="1">
            <x v="8"/>
          </reference>
        </references>
      </pivotArea>
    </format>
    <format dxfId="792">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91">
      <pivotArea dataOnly="0" labelOnly="1" outline="0" fieldPosition="0">
        <references count="3">
          <reference field="4" count="1" selected="0">
            <x v="8"/>
          </reference>
          <reference field="5" count="1">
            <x v="54"/>
          </reference>
          <reference field="19" count="1" selected="0">
            <x v="43"/>
          </reference>
        </references>
      </pivotArea>
    </format>
    <format dxfId="790">
      <pivotArea dataOnly="0" labelOnly="1" outline="0" fieldPosition="0">
        <references count="3">
          <reference field="4" count="1" selected="0">
            <x v="8"/>
          </reference>
          <reference field="5" count="1">
            <x v="46"/>
          </reference>
          <reference field="19" count="1" selected="0">
            <x v="45"/>
          </reference>
        </references>
      </pivotArea>
    </format>
    <format dxfId="789">
      <pivotArea dataOnly="0" labelOnly="1" outline="0" fieldPosition="0">
        <references count="3">
          <reference field="4" count="1" selected="0">
            <x v="8"/>
          </reference>
          <reference field="5" count="1">
            <x v="71"/>
          </reference>
          <reference field="19" count="1" selected="0">
            <x v="46"/>
          </reference>
        </references>
      </pivotArea>
    </format>
    <format dxfId="788">
      <pivotArea dataOnly="0" labelOnly="1" outline="0" fieldPosition="0">
        <references count="3">
          <reference field="4" count="1" selected="0">
            <x v="8"/>
          </reference>
          <reference field="5" count="1">
            <x v="42"/>
          </reference>
          <reference field="19" count="1" selected="0">
            <x v="47"/>
          </reference>
        </references>
      </pivotArea>
    </format>
    <format dxfId="787">
      <pivotArea dataOnly="0" labelOnly="1" outline="0" fieldPosition="0">
        <references count="3">
          <reference field="4" count="1" selected="0">
            <x v="8"/>
          </reference>
          <reference field="5" count="1">
            <x v="32"/>
          </reference>
          <reference field="19" count="1" selected="0">
            <x v="51"/>
          </reference>
        </references>
      </pivotArea>
    </format>
    <format dxfId="786">
      <pivotArea dataOnly="0" labelOnly="1" outline="0" fieldPosition="0">
        <references count="3">
          <reference field="4" count="1" selected="0">
            <x v="8"/>
          </reference>
          <reference field="5" count="1">
            <x v="33"/>
          </reference>
          <reference field="19" count="1" selected="0">
            <x v="52"/>
          </reference>
        </references>
      </pivotArea>
    </format>
    <format dxfId="785">
      <pivotArea dataOnly="0" labelOnly="1" outline="0" fieldPosition="0">
        <references count="3">
          <reference field="4" count="1" selected="0">
            <x v="8"/>
          </reference>
          <reference field="5" count="1">
            <x v="31"/>
          </reference>
          <reference field="19" count="1" selected="0">
            <x v="53"/>
          </reference>
        </references>
      </pivotArea>
    </format>
    <format dxfId="784">
      <pivotArea dataOnly="0" labelOnly="1" outline="0" fieldPosition="0">
        <references count="3">
          <reference field="4" count="1" selected="0">
            <x v="8"/>
          </reference>
          <reference field="5" count="1">
            <x v="73"/>
          </reference>
          <reference field="19" count="1" selected="0">
            <x v="54"/>
          </reference>
        </references>
      </pivotArea>
    </format>
    <format dxfId="783">
      <pivotArea dataOnly="0" labelOnly="1" outline="0" fieldPosition="0">
        <references count="3">
          <reference field="4" count="1" selected="0">
            <x v="8"/>
          </reference>
          <reference field="5" count="1">
            <x v="86"/>
          </reference>
          <reference field="19" count="1" selected="0">
            <x v="55"/>
          </reference>
        </references>
      </pivotArea>
    </format>
    <format dxfId="782">
      <pivotArea dataOnly="0" labelOnly="1" outline="0" fieldPosition="0">
        <references count="3">
          <reference field="4" count="1" selected="0">
            <x v="8"/>
          </reference>
          <reference field="5" count="1">
            <x v="19"/>
          </reference>
          <reference field="19" count="1" selected="0">
            <x v="70"/>
          </reference>
        </references>
      </pivotArea>
    </format>
    <format dxfId="781">
      <pivotArea dataOnly="0" labelOnly="1" outline="0" fieldPosition="0">
        <references count="3">
          <reference field="4" count="1" selected="0">
            <x v="8"/>
          </reference>
          <reference field="5" count="1">
            <x v="15"/>
          </reference>
          <reference field="19" count="1" selected="0">
            <x v="71"/>
          </reference>
        </references>
      </pivotArea>
    </format>
    <format dxfId="780">
      <pivotArea dataOnly="0" labelOnly="1" outline="0" fieldPosition="0">
        <references count="3">
          <reference field="4" count="1" selected="0">
            <x v="8"/>
          </reference>
          <reference field="5" count="1">
            <x v="10"/>
          </reference>
          <reference field="19" count="1" selected="0">
            <x v="72"/>
          </reference>
        </references>
      </pivotArea>
    </format>
    <format dxfId="779">
      <pivotArea dataOnly="0" labelOnly="1" outline="0" fieldPosition="0">
        <references count="3">
          <reference field="4" count="1" selected="0">
            <x v="8"/>
          </reference>
          <reference field="5" count="1">
            <x v="75"/>
          </reference>
          <reference field="19" count="1" selected="0">
            <x v="73"/>
          </reference>
        </references>
      </pivotArea>
    </format>
    <format dxfId="778">
      <pivotArea dataOnly="0" labelOnly="1" outline="0" fieldPosition="0">
        <references count="3">
          <reference field="4" count="1" selected="0">
            <x v="8"/>
          </reference>
          <reference field="5" count="1">
            <x v="70"/>
          </reference>
          <reference field="19" count="1" selected="0">
            <x v="75"/>
          </reference>
        </references>
      </pivotArea>
    </format>
    <format dxfId="777">
      <pivotArea dataOnly="0" labelOnly="1" outline="0" fieldPosition="0">
        <references count="3">
          <reference field="4" count="1" selected="0">
            <x v="8"/>
          </reference>
          <reference field="5" count="1">
            <x v="112"/>
          </reference>
          <reference field="19" count="1" selected="0">
            <x v="111"/>
          </reference>
        </references>
      </pivotArea>
    </format>
    <format dxfId="776">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5">
      <pivotArea dataOnly="0" labelOnly="1" outline="0" fieldPosition="0">
        <references count="1">
          <reference field="4" count="1">
            <x v="9"/>
          </reference>
        </references>
      </pivotArea>
    </format>
    <format dxfId="774">
      <pivotArea dataOnly="0" labelOnly="1" outline="0" fieldPosition="0">
        <references count="2">
          <reference field="4" count="1" selected="0">
            <x v="9"/>
          </reference>
          <reference field="19" count="3">
            <x v="99"/>
            <x v="123"/>
            <x v="124"/>
          </reference>
        </references>
      </pivotArea>
    </format>
    <format dxfId="773">
      <pivotArea dataOnly="0" labelOnly="1" outline="0" fieldPosition="0">
        <references count="3">
          <reference field="4" count="1" selected="0">
            <x v="9"/>
          </reference>
          <reference field="5" count="1">
            <x v="56"/>
          </reference>
          <reference field="19" count="1" selected="0">
            <x v="99"/>
          </reference>
        </references>
      </pivotArea>
    </format>
    <format dxfId="772">
      <pivotArea dataOnly="0" labelOnly="1" outline="0" fieldPosition="0">
        <references count="3">
          <reference field="4" count="1" selected="0">
            <x v="9"/>
          </reference>
          <reference field="5" count="1">
            <x v="125"/>
          </reference>
          <reference field="19" count="1" selected="0">
            <x v="123"/>
          </reference>
        </references>
      </pivotArea>
    </format>
    <format dxfId="771">
      <pivotArea dataOnly="0" labelOnly="1" outline="0" fieldPosition="0">
        <references count="3">
          <reference field="4" count="1" selected="0">
            <x v="9"/>
          </reference>
          <reference field="5" count="1">
            <x v="126"/>
          </reference>
          <reference field="19" count="1" selected="0">
            <x v="124"/>
          </reference>
        </references>
      </pivotArea>
    </format>
    <format dxfId="770">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9">
      <pivotArea dataOnly="0" labelOnly="1" outline="0" fieldPosition="0">
        <references count="1">
          <reference field="4" count="1">
            <x v="10"/>
          </reference>
        </references>
      </pivotArea>
    </format>
    <format dxfId="768">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7">
      <pivotArea dataOnly="0" labelOnly="1" outline="0" fieldPosition="0">
        <references count="3">
          <reference field="4" count="1" selected="0">
            <x v="10"/>
          </reference>
          <reference field="5" count="2">
            <x v="84"/>
            <x v="116"/>
          </reference>
          <reference field="19" count="1" selected="0">
            <x v="0"/>
          </reference>
        </references>
      </pivotArea>
    </format>
    <format dxfId="766">
      <pivotArea dataOnly="0" labelOnly="1" outline="0" fieldPosition="0">
        <references count="3">
          <reference field="4" count="1" selected="0">
            <x v="10"/>
          </reference>
          <reference field="5" count="1">
            <x v="94"/>
          </reference>
          <reference field="19" count="1" selected="0">
            <x v="1"/>
          </reference>
        </references>
      </pivotArea>
    </format>
    <format dxfId="765">
      <pivotArea dataOnly="0" labelOnly="1" outline="0" fieldPosition="0">
        <references count="3">
          <reference field="4" count="1" selected="0">
            <x v="10"/>
          </reference>
          <reference field="5" count="1">
            <x v="72"/>
          </reference>
          <reference field="19" count="1" selected="0">
            <x v="2"/>
          </reference>
        </references>
      </pivotArea>
    </format>
    <format dxfId="764">
      <pivotArea dataOnly="0" labelOnly="1" outline="0" fieldPosition="0">
        <references count="3">
          <reference field="4" count="1" selected="0">
            <x v="10"/>
          </reference>
          <reference field="5" count="1">
            <x v="96"/>
          </reference>
          <reference field="19" count="1" selected="0">
            <x v="3"/>
          </reference>
        </references>
      </pivotArea>
    </format>
    <format dxfId="763">
      <pivotArea dataOnly="0" labelOnly="1" outline="0" fieldPosition="0">
        <references count="3">
          <reference field="4" count="1" selected="0">
            <x v="10"/>
          </reference>
          <reference field="5" count="1">
            <x v="95"/>
          </reference>
          <reference field="19" count="1" selected="0">
            <x v="4"/>
          </reference>
        </references>
      </pivotArea>
    </format>
    <format dxfId="762">
      <pivotArea dataOnly="0" labelOnly="1" outline="0" fieldPosition="0">
        <references count="3">
          <reference field="4" count="1" selected="0">
            <x v="10"/>
          </reference>
          <reference field="5" count="1">
            <x v="97"/>
          </reference>
          <reference field="19" count="1" selected="0">
            <x v="5"/>
          </reference>
        </references>
      </pivotArea>
    </format>
    <format dxfId="761">
      <pivotArea dataOnly="0" labelOnly="1" outline="0" fieldPosition="0">
        <references count="3">
          <reference field="4" count="1" selected="0">
            <x v="10"/>
          </reference>
          <reference field="5" count="1">
            <x v="87"/>
          </reference>
          <reference field="19" count="1" selected="0">
            <x v="6"/>
          </reference>
        </references>
      </pivotArea>
    </format>
    <format dxfId="760">
      <pivotArea dataOnly="0" labelOnly="1" outline="0" fieldPosition="0">
        <references count="3">
          <reference field="4" count="1" selected="0">
            <x v="10"/>
          </reference>
          <reference field="5" count="1">
            <x v="43"/>
          </reference>
          <reference field="19" count="1" selected="0">
            <x v="7"/>
          </reference>
        </references>
      </pivotArea>
    </format>
    <format dxfId="759">
      <pivotArea dataOnly="0" labelOnly="1" outline="0" fieldPosition="0">
        <references count="3">
          <reference field="4" count="1" selected="0">
            <x v="10"/>
          </reference>
          <reference field="5" count="1">
            <x v="91"/>
          </reference>
          <reference field="19" count="1" selected="0">
            <x v="8"/>
          </reference>
        </references>
      </pivotArea>
    </format>
    <format dxfId="758">
      <pivotArea dataOnly="0" labelOnly="1" outline="0" fieldPosition="0">
        <references count="3">
          <reference field="4" count="1" selected="0">
            <x v="10"/>
          </reference>
          <reference field="5" count="1">
            <x v="9"/>
          </reference>
          <reference field="19" count="1" selected="0">
            <x v="9"/>
          </reference>
        </references>
      </pivotArea>
    </format>
    <format dxfId="757">
      <pivotArea dataOnly="0" labelOnly="1" outline="0" fieldPosition="0">
        <references count="3">
          <reference field="4" count="1" selected="0">
            <x v="10"/>
          </reference>
          <reference field="5" count="1">
            <x v="8"/>
          </reference>
          <reference field="19" count="1" selected="0">
            <x v="10"/>
          </reference>
        </references>
      </pivotArea>
    </format>
    <format dxfId="756">
      <pivotArea dataOnly="0" labelOnly="1" outline="0" fieldPosition="0">
        <references count="3">
          <reference field="4" count="1" selected="0">
            <x v="10"/>
          </reference>
          <reference field="5" count="1">
            <x v="22"/>
          </reference>
          <reference field="19" count="1" selected="0">
            <x v="11"/>
          </reference>
        </references>
      </pivotArea>
    </format>
    <format dxfId="755">
      <pivotArea dataOnly="0" labelOnly="1" outline="0" fieldPosition="0">
        <references count="3">
          <reference field="4" count="1" selected="0">
            <x v="10"/>
          </reference>
          <reference field="5" count="1">
            <x v="27"/>
          </reference>
          <reference field="19" count="1" selected="0">
            <x v="12"/>
          </reference>
        </references>
      </pivotArea>
    </format>
    <format dxfId="754">
      <pivotArea dataOnly="0" labelOnly="1" outline="0" fieldPosition="0">
        <references count="3">
          <reference field="4" count="1" selected="0">
            <x v="10"/>
          </reference>
          <reference field="5" count="1">
            <x v="26"/>
          </reference>
          <reference field="19" count="1" selected="0">
            <x v="13"/>
          </reference>
        </references>
      </pivotArea>
    </format>
    <format dxfId="753">
      <pivotArea dataOnly="0" labelOnly="1" outline="0" fieldPosition="0">
        <references count="3">
          <reference field="4" count="1" selected="0">
            <x v="10"/>
          </reference>
          <reference field="5" count="1">
            <x v="41"/>
          </reference>
          <reference field="19" count="1" selected="0">
            <x v="14"/>
          </reference>
        </references>
      </pivotArea>
    </format>
    <format dxfId="752">
      <pivotArea dataOnly="0" labelOnly="1" outline="0" fieldPosition="0">
        <references count="3">
          <reference field="4" count="1" selected="0">
            <x v="10"/>
          </reference>
          <reference field="5" count="1">
            <x v="17"/>
          </reference>
          <reference field="19" count="1" selected="0">
            <x v="15"/>
          </reference>
        </references>
      </pivotArea>
    </format>
    <format dxfId="751">
      <pivotArea dataOnly="0" labelOnly="1" outline="0" fieldPosition="0">
        <references count="3">
          <reference field="4" count="1" selected="0">
            <x v="10"/>
          </reference>
          <reference field="5" count="1">
            <x v="18"/>
          </reference>
          <reference field="19" count="1" selected="0">
            <x v="16"/>
          </reference>
        </references>
      </pivotArea>
    </format>
    <format dxfId="750">
      <pivotArea dataOnly="0" labelOnly="1" outline="0" fieldPosition="0">
        <references count="3">
          <reference field="4" count="1" selected="0">
            <x v="10"/>
          </reference>
          <reference field="5" count="1">
            <x v="51"/>
          </reference>
          <reference field="19" count="1" selected="0">
            <x v="17"/>
          </reference>
        </references>
      </pivotArea>
    </format>
    <format dxfId="749">
      <pivotArea dataOnly="0" labelOnly="1" outline="0" fieldPosition="0">
        <references count="3">
          <reference field="4" count="1" selected="0">
            <x v="10"/>
          </reference>
          <reference field="5" count="1">
            <x v="52"/>
          </reference>
          <reference field="19" count="1" selected="0">
            <x v="18"/>
          </reference>
        </references>
      </pivotArea>
    </format>
    <format dxfId="748">
      <pivotArea dataOnly="0" labelOnly="1" outline="0" fieldPosition="0">
        <references count="3">
          <reference field="4" count="1" selected="0">
            <x v="10"/>
          </reference>
          <reference field="5" count="1">
            <x v="104"/>
          </reference>
          <reference field="19" count="1" selected="0">
            <x v="19"/>
          </reference>
        </references>
      </pivotArea>
    </format>
    <format dxfId="747">
      <pivotArea dataOnly="0" labelOnly="1" outline="0" fieldPosition="0">
        <references count="3">
          <reference field="4" count="1" selected="0">
            <x v="10"/>
          </reference>
          <reference field="5" count="1">
            <x v="64"/>
          </reference>
          <reference field="19" count="1" selected="0">
            <x v="20"/>
          </reference>
        </references>
      </pivotArea>
    </format>
    <format dxfId="746">
      <pivotArea dataOnly="0" labelOnly="1" outline="0" fieldPosition="0">
        <references count="3">
          <reference field="4" count="1" selected="0">
            <x v="10"/>
          </reference>
          <reference field="5" count="1">
            <x v="74"/>
          </reference>
          <reference field="19" count="1" selected="0">
            <x v="81"/>
          </reference>
        </references>
      </pivotArea>
    </format>
    <format dxfId="745">
      <pivotArea dataOnly="0" labelOnly="1" outline="0" fieldPosition="0">
        <references count="3">
          <reference field="4" count="1" selected="0">
            <x v="10"/>
          </reference>
          <reference field="5" count="1">
            <x v="131"/>
          </reference>
          <reference field="19" count="1" selected="0">
            <x v="130"/>
          </reference>
        </references>
      </pivotArea>
    </format>
    <format dxfId="744">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3">
      <pivotArea dataOnly="0" labelOnly="1" outline="0" fieldPosition="0">
        <references count="1">
          <reference field="4" count="1">
            <x v="11"/>
          </reference>
        </references>
      </pivotArea>
    </format>
    <format dxfId="742">
      <pivotArea dataOnly="0" labelOnly="1" outline="0" fieldPosition="0">
        <references count="2">
          <reference field="4" count="1" selected="0">
            <x v="11"/>
          </reference>
          <reference field="19" count="4">
            <x v="97"/>
            <x v="98"/>
            <x v="125"/>
            <x v="126"/>
          </reference>
        </references>
      </pivotArea>
    </format>
    <format dxfId="741">
      <pivotArea dataOnly="0" labelOnly="1" outline="0" fieldPosition="0">
        <references count="3">
          <reference field="4" count="1" selected="0">
            <x v="11"/>
          </reference>
          <reference field="5" count="1">
            <x v="59"/>
          </reference>
          <reference field="19" count="1" selected="0">
            <x v="97"/>
          </reference>
        </references>
      </pivotArea>
    </format>
    <format dxfId="740">
      <pivotArea dataOnly="0" labelOnly="1" outline="0" fieldPosition="0">
        <references count="3">
          <reference field="4" count="1" selected="0">
            <x v="11"/>
          </reference>
          <reference field="5" count="1">
            <x v="58"/>
          </reference>
          <reference field="19" count="1" selected="0">
            <x v="98"/>
          </reference>
        </references>
      </pivotArea>
    </format>
    <format dxfId="739">
      <pivotArea dataOnly="0" labelOnly="1" outline="0" fieldPosition="0">
        <references count="3">
          <reference field="4" count="1" selected="0">
            <x v="11"/>
          </reference>
          <reference field="5" count="1">
            <x v="127"/>
          </reference>
          <reference field="19" count="1" selected="0">
            <x v="125"/>
          </reference>
        </references>
      </pivotArea>
    </format>
    <format dxfId="738">
      <pivotArea dataOnly="0" labelOnly="1" outline="0" fieldPosition="0">
        <references count="3">
          <reference field="4" count="1" selected="0">
            <x v="11"/>
          </reference>
          <reference field="5" count="1">
            <x v="128"/>
          </reference>
          <reference field="19" count="1" selected="0">
            <x v="126"/>
          </reference>
        </references>
      </pivotArea>
    </format>
    <format dxfId="737">
      <pivotArea outline="0" collapsedLevelsAreSubtotals="1" fieldPosition="0">
        <references count="3">
          <reference field="4" count="1" selected="0">
            <x v="12"/>
          </reference>
          <reference field="5" count="1" selected="0">
            <x v="63"/>
          </reference>
          <reference field="19" count="1" selected="0">
            <x v="103"/>
          </reference>
        </references>
      </pivotArea>
    </format>
    <format dxfId="736">
      <pivotArea dataOnly="0" labelOnly="1" outline="0" fieldPosition="0">
        <references count="1">
          <reference field="4" count="1">
            <x v="12"/>
          </reference>
        </references>
      </pivotArea>
    </format>
    <format dxfId="735">
      <pivotArea dataOnly="0" labelOnly="1" outline="0" fieldPosition="0">
        <references count="2">
          <reference field="4" count="1" selected="0">
            <x v="12"/>
          </reference>
          <reference field="19" count="1">
            <x v="103"/>
          </reference>
        </references>
      </pivotArea>
    </format>
    <format dxfId="734">
      <pivotArea dataOnly="0" labelOnly="1" outline="0" fieldPosition="0">
        <references count="3">
          <reference field="4" count="1" selected="0">
            <x v="12"/>
          </reference>
          <reference field="5" count="1">
            <x v="63"/>
          </reference>
          <reference field="19" count="1" selected="0">
            <x v="103"/>
          </reference>
        </references>
      </pivotArea>
    </format>
    <format dxfId="733">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2">
      <pivotArea dataOnly="0" labelOnly="1" outline="0" fieldPosition="0">
        <references count="1">
          <reference field="4" count="1">
            <x v="13"/>
          </reference>
        </references>
      </pivotArea>
    </format>
    <format dxfId="731">
      <pivotArea dataOnly="0" labelOnly="1" outline="0" fieldPosition="0">
        <references count="2">
          <reference field="4" count="1" selected="0">
            <x v="13"/>
          </reference>
          <reference field="19" count="2">
            <x v="49"/>
            <x v="50"/>
          </reference>
        </references>
      </pivotArea>
    </format>
    <format dxfId="730">
      <pivotArea dataOnly="0" labelOnly="1" outline="0" fieldPosition="0">
        <references count="3">
          <reference field="4" count="1" selected="0">
            <x v="13"/>
          </reference>
          <reference field="5" count="1">
            <x v="89"/>
          </reference>
          <reference field="19" count="1" selected="0">
            <x v="49"/>
          </reference>
        </references>
      </pivotArea>
    </format>
    <format dxfId="729">
      <pivotArea dataOnly="0" labelOnly="1" outline="0" fieldPosition="0">
        <references count="3">
          <reference field="4" count="1" selected="0">
            <x v="13"/>
          </reference>
          <reference field="5" count="1">
            <x v="90"/>
          </reference>
          <reference field="19" count="1" selected="0">
            <x v="50"/>
          </reference>
        </references>
      </pivotArea>
    </format>
    <format dxfId="728">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7">
      <pivotArea dataOnly="0" labelOnly="1" outline="0" fieldPosition="0">
        <references count="1">
          <reference field="4" count="1">
            <x v="14"/>
          </reference>
        </references>
      </pivotArea>
    </format>
    <format dxfId="726">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5">
      <pivotArea dataOnly="0" labelOnly="1" outline="0" fieldPosition="0">
        <references count="3">
          <reference field="4" count="1" selected="0">
            <x v="14"/>
          </reference>
          <reference field="5" count="1">
            <x v="79"/>
          </reference>
          <reference field="19" count="1" selected="0">
            <x v="21"/>
          </reference>
        </references>
      </pivotArea>
    </format>
    <format dxfId="724">
      <pivotArea dataOnly="0" labelOnly="1" outline="0" fieldPosition="0">
        <references count="3">
          <reference field="4" count="1" selected="0">
            <x v="14"/>
          </reference>
          <reference field="5" count="1">
            <x v="81"/>
          </reference>
          <reference field="19" count="1" selected="0">
            <x v="22"/>
          </reference>
        </references>
      </pivotArea>
    </format>
    <format dxfId="723">
      <pivotArea dataOnly="0" labelOnly="1" outline="0" fieldPosition="0">
        <references count="3">
          <reference field="4" count="1" selected="0">
            <x v="14"/>
          </reference>
          <reference field="5" count="1">
            <x v="35"/>
          </reference>
          <reference field="19" count="1" selected="0">
            <x v="23"/>
          </reference>
        </references>
      </pivotArea>
    </format>
    <format dxfId="722">
      <pivotArea dataOnly="0" labelOnly="1" outline="0" fieldPosition="0">
        <references count="3">
          <reference field="4" count="1" selected="0">
            <x v="14"/>
          </reference>
          <reference field="5" count="1">
            <x v="11"/>
          </reference>
          <reference field="19" count="1" selected="0">
            <x v="24"/>
          </reference>
        </references>
      </pivotArea>
    </format>
    <format dxfId="721">
      <pivotArea dataOnly="0" labelOnly="1" outline="0" fieldPosition="0">
        <references count="3">
          <reference field="4" count="1" selected="0">
            <x v="14"/>
          </reference>
          <reference field="5" count="1">
            <x v="38"/>
          </reference>
          <reference field="19" count="1" selected="0">
            <x v="25"/>
          </reference>
        </references>
      </pivotArea>
    </format>
    <format dxfId="720">
      <pivotArea dataOnly="0" labelOnly="1" outline="0" fieldPosition="0">
        <references count="3">
          <reference field="4" count="1" selected="0">
            <x v="14"/>
          </reference>
          <reference field="5" count="1">
            <x v="80"/>
          </reference>
          <reference field="19" count="1" selected="0">
            <x v="26"/>
          </reference>
        </references>
      </pivotArea>
    </format>
    <format dxfId="719">
      <pivotArea dataOnly="0" labelOnly="1" outline="0" fieldPosition="0">
        <references count="3">
          <reference field="4" count="1" selected="0">
            <x v="14"/>
          </reference>
          <reference field="5" count="1">
            <x v="37"/>
          </reference>
          <reference field="19" count="1" selected="0">
            <x v="27"/>
          </reference>
        </references>
      </pivotArea>
    </format>
    <format dxfId="718">
      <pivotArea dataOnly="0" labelOnly="1" outline="0" fieldPosition="0">
        <references count="3">
          <reference field="4" count="1" selected="0">
            <x v="14"/>
          </reference>
          <reference field="5" count="1">
            <x v="78"/>
          </reference>
          <reference field="19" count="1" selected="0">
            <x v="28"/>
          </reference>
        </references>
      </pivotArea>
    </format>
    <format dxfId="717">
      <pivotArea dataOnly="0" labelOnly="1" outline="0" fieldPosition="0">
        <references count="3">
          <reference field="4" count="1" selected="0">
            <x v="14"/>
          </reference>
          <reference field="5" count="1">
            <x v="100"/>
          </reference>
          <reference field="19" count="1" selected="0">
            <x v="29"/>
          </reference>
        </references>
      </pivotArea>
    </format>
    <format dxfId="716">
      <pivotArea dataOnly="0" labelOnly="1" outline="0" fieldPosition="0">
        <references count="3">
          <reference field="4" count="1" selected="0">
            <x v="14"/>
          </reference>
          <reference field="5" count="1">
            <x v="98"/>
          </reference>
          <reference field="19" count="1" selected="0">
            <x v="30"/>
          </reference>
        </references>
      </pivotArea>
    </format>
    <format dxfId="715">
      <pivotArea dataOnly="0" labelOnly="1" outline="0" fieldPosition="0">
        <references count="3">
          <reference field="4" count="1" selected="0">
            <x v="14"/>
          </reference>
          <reference field="5" count="1">
            <x v="99"/>
          </reference>
          <reference field="19" count="1" selected="0">
            <x v="31"/>
          </reference>
        </references>
      </pivotArea>
    </format>
    <format dxfId="714">
      <pivotArea dataOnly="0" labelOnly="1" outline="0" fieldPosition="0">
        <references count="3">
          <reference field="4" count="1" selected="0">
            <x v="14"/>
          </reference>
          <reference field="5" count="1">
            <x v="40"/>
          </reference>
          <reference field="19" count="1" selected="0">
            <x v="32"/>
          </reference>
        </references>
      </pivotArea>
    </format>
    <format dxfId="713">
      <pivotArea dataOnly="0" labelOnly="1" outline="0" fieldPosition="0">
        <references count="3">
          <reference field="4" count="1" selected="0">
            <x v="14"/>
          </reference>
          <reference field="5" count="1">
            <x v="39"/>
          </reference>
          <reference field="19" count="1" selected="0">
            <x v="33"/>
          </reference>
        </references>
      </pivotArea>
    </format>
    <format dxfId="712">
      <pivotArea dataOnly="0" labelOnly="1" outline="0" fieldPosition="0">
        <references count="3">
          <reference field="4" count="1" selected="0">
            <x v="14"/>
          </reference>
          <reference field="5" count="1">
            <x v="88"/>
          </reference>
          <reference field="19" count="1" selected="0">
            <x v="34"/>
          </reference>
        </references>
      </pivotArea>
    </format>
    <format dxfId="711">
      <pivotArea dataOnly="0" labelOnly="1" outline="0" fieldPosition="0">
        <references count="3">
          <reference field="4" count="1" selected="0">
            <x v="14"/>
          </reference>
          <reference field="5" count="1">
            <x v="4"/>
          </reference>
          <reference field="19" count="1" selected="0">
            <x v="66"/>
          </reference>
        </references>
      </pivotArea>
    </format>
    <format dxfId="710">
      <pivotArea dataOnly="0" labelOnly="1" outline="0" fieldPosition="0">
        <references count="3">
          <reference field="4" count="1" selected="0">
            <x v="14"/>
          </reference>
          <reference field="5" count="1">
            <x v="12"/>
          </reference>
          <reference field="19" count="1" selected="0">
            <x v="67"/>
          </reference>
        </references>
      </pivotArea>
    </format>
    <format dxfId="709">
      <pivotArea dataOnly="0" labelOnly="1" outline="0" fieldPosition="0">
        <references count="3">
          <reference field="4" count="1" selected="0">
            <x v="14"/>
          </reference>
          <reference field="5" count="1">
            <x v="103"/>
          </reference>
          <reference field="19" count="1" selected="0">
            <x v="68"/>
          </reference>
        </references>
      </pivotArea>
    </format>
    <format dxfId="708">
      <pivotArea dataOnly="0" labelOnly="1" outline="0" fieldPosition="0">
        <references count="3">
          <reference field="4" count="1" selected="0">
            <x v="14"/>
          </reference>
          <reference field="5" count="1">
            <x v="36"/>
          </reference>
          <reference field="19" count="1" selected="0">
            <x v="69"/>
          </reference>
        </references>
      </pivotArea>
    </format>
    <format dxfId="707">
      <pivotArea dataOnly="0" labelOnly="1" outline="0" fieldPosition="0">
        <references count="3">
          <reference field="4" count="1" selected="0">
            <x v="14"/>
          </reference>
          <reference field="5" count="1">
            <x v="77"/>
          </reference>
          <reference field="19" count="1" selected="0">
            <x v="80"/>
          </reference>
        </references>
      </pivotArea>
    </format>
    <format dxfId="706">
      <pivotArea dataOnly="0" labelOnly="1" outline="0" fieldPosition="0">
        <references count="3">
          <reference field="4" count="1" selected="0">
            <x v="14"/>
          </reference>
          <reference field="5" count="1">
            <x v="110"/>
          </reference>
          <reference field="19" count="1" selected="0">
            <x v="109"/>
          </reference>
        </references>
      </pivotArea>
    </format>
    <format dxfId="705">
      <pivotArea dataOnly="0" labelOnly="1" outline="0" fieldPosition="0">
        <references count="3">
          <reference field="4" count="1" selected="0">
            <x v="14"/>
          </reference>
          <reference field="5" count="1">
            <x v="130"/>
          </reference>
          <reference field="19" count="1" selected="0">
            <x v="129"/>
          </reference>
        </references>
      </pivotArea>
    </format>
    <format dxfId="704">
      <pivotArea dataOnly="0" labelOnly="1" outline="0" fieldPosition="0">
        <references count="3">
          <reference field="4" count="1" selected="0">
            <x v="14"/>
          </reference>
          <reference field="5" count="1">
            <x v="132"/>
          </reference>
          <reference field="19" count="1" selected="0">
            <x v="131"/>
          </reference>
        </references>
      </pivotArea>
    </format>
    <format dxfId="703">
      <pivotArea outline="0" collapsedLevelsAreSubtotals="1" fieldPosition="0">
        <references count="3">
          <reference field="4" count="1" selected="0">
            <x v="15"/>
          </reference>
          <reference field="5" count="1" selected="0">
            <x v="116"/>
          </reference>
          <reference field="19" count="1" selected="0">
            <x v="0"/>
          </reference>
        </references>
      </pivotArea>
    </format>
    <format dxfId="702">
      <pivotArea dataOnly="0" labelOnly="1" outline="0" fieldPosition="0">
        <references count="1">
          <reference field="4" count="1">
            <x v="15"/>
          </reference>
        </references>
      </pivotArea>
    </format>
    <format dxfId="701">
      <pivotArea dataOnly="0" labelOnly="1" outline="0" fieldPosition="0">
        <references count="2">
          <reference field="4" count="1" selected="0">
            <x v="15"/>
          </reference>
          <reference field="19" count="1">
            <x v="0"/>
          </reference>
        </references>
      </pivotArea>
    </format>
    <format dxfId="700">
      <pivotArea dataOnly="0" labelOnly="1" outline="0" fieldPosition="0">
        <references count="3">
          <reference field="4" count="1" selected="0">
            <x v="15"/>
          </reference>
          <reference field="5" count="1">
            <x v="116"/>
          </reference>
          <reference field="19" count="1" selected="0">
            <x v="0"/>
          </reference>
        </references>
      </pivotArea>
    </format>
    <format dxfId="699">
      <pivotArea grandRow="1" outline="0" collapsedLevelsAreSubtotals="1" fieldPosition="0"/>
    </format>
    <format dxfId="698">
      <pivotArea dataOnly="0" labelOnly="1" grandRow="1" outline="0" fieldPosition="0"/>
    </format>
    <format dxfId="697">
      <pivotArea type="all" dataOnly="0" outline="0" fieldPosition="0"/>
    </format>
    <format dxfId="696">
      <pivotArea dataOnly="0" labelOnly="1" outline="0" fieldPosition="0">
        <references count="1">
          <reference field="4" count="0"/>
        </references>
      </pivotArea>
    </format>
    <format dxfId="695">
      <pivotArea dataOnly="0" labelOnly="1" grandRow="1" outline="0" offset="A256" fieldPosition="0"/>
    </format>
    <format dxfId="694">
      <pivotArea field="5" type="button" dataOnly="0" labelOnly="1" outline="0" axis="axisRow" fieldPosition="2"/>
    </format>
    <format dxfId="693">
      <pivotArea dataOnly="0" labelOnly="1" grandRow="1" outline="0" offset="IV256" fieldPosition="0"/>
    </format>
    <format dxfId="692">
      <pivotArea dataOnly="0" labelOnly="1" outline="0" fieldPosition="0">
        <references count="3">
          <reference field="4" count="1" selected="0">
            <x v="0"/>
          </reference>
          <reference field="5" count="1">
            <x v="83"/>
          </reference>
          <reference field="19" count="1" selected="0">
            <x v="36"/>
          </reference>
        </references>
      </pivotArea>
    </format>
    <format dxfId="691">
      <pivotArea dataOnly="0" labelOnly="1" outline="0" fieldPosition="0">
        <references count="3">
          <reference field="4" count="1" selected="0">
            <x v="0"/>
          </reference>
          <reference field="5" count="1">
            <x v="30"/>
          </reference>
          <reference field="19" count="1" selected="0">
            <x v="37"/>
          </reference>
        </references>
      </pivotArea>
    </format>
    <format dxfId="690">
      <pivotArea dataOnly="0" labelOnly="1" outline="0" fieldPosition="0">
        <references count="3">
          <reference field="4" count="1" selected="0">
            <x v="0"/>
          </reference>
          <reference field="5" count="1">
            <x v="1"/>
          </reference>
          <reference field="19" count="1" selected="0">
            <x v="38"/>
          </reference>
        </references>
      </pivotArea>
    </format>
    <format dxfId="689">
      <pivotArea dataOnly="0" labelOnly="1" outline="0" fieldPosition="0">
        <references count="3">
          <reference field="4" count="1" selected="0">
            <x v="0"/>
          </reference>
          <reference field="5" count="1">
            <x v="16"/>
          </reference>
          <reference field="19" count="1" selected="0">
            <x v="39"/>
          </reference>
        </references>
      </pivotArea>
    </format>
    <format dxfId="688">
      <pivotArea dataOnly="0" labelOnly="1" outline="0" fieldPosition="0">
        <references count="3">
          <reference field="4" count="1" selected="0">
            <x v="0"/>
          </reference>
          <reference field="5" count="1">
            <x v="105"/>
          </reference>
          <reference field="19" count="1" selected="0">
            <x v="40"/>
          </reference>
        </references>
      </pivotArea>
    </format>
    <format dxfId="687">
      <pivotArea dataOnly="0" labelOnly="1" outline="0" fieldPosition="0">
        <references count="3">
          <reference field="4" count="1" selected="0">
            <x v="0"/>
          </reference>
          <reference field="5" count="1">
            <x v="65"/>
          </reference>
          <reference field="19" count="1" selected="0">
            <x v="41"/>
          </reference>
        </references>
      </pivotArea>
    </format>
    <format dxfId="686">
      <pivotArea dataOnly="0" labelOnly="1" outline="0" fieldPosition="0">
        <references count="3">
          <reference field="4" count="1" selected="0">
            <x v="0"/>
          </reference>
          <reference field="5" count="1">
            <x v="93"/>
          </reference>
          <reference field="19" count="1" selected="0">
            <x v="42"/>
          </reference>
        </references>
      </pivotArea>
    </format>
    <format dxfId="685">
      <pivotArea dataOnly="0" labelOnly="1" outline="0" fieldPosition="0">
        <references count="3">
          <reference field="4" count="1" selected="0">
            <x v="0"/>
          </reference>
          <reference field="5" count="1">
            <x v="76"/>
          </reference>
          <reference field="19" count="1" selected="0">
            <x v="92"/>
          </reference>
        </references>
      </pivotArea>
    </format>
    <format dxfId="684">
      <pivotArea dataOnly="0" labelOnly="1" outline="0" fieldPosition="0">
        <references count="3">
          <reference field="4" count="1" selected="0">
            <x v="0"/>
          </reference>
          <reference field="5" count="1">
            <x v="111"/>
          </reference>
          <reference field="19" count="1" selected="0">
            <x v="110"/>
          </reference>
        </references>
      </pivotArea>
    </format>
    <format dxfId="683">
      <pivotArea dataOnly="0" labelOnly="1" outline="0" fieldPosition="0">
        <references count="3">
          <reference field="4" count="1" selected="0">
            <x v="0"/>
          </reference>
          <reference field="5" count="1">
            <x v="114"/>
          </reference>
          <reference field="19" count="1" selected="0">
            <x v="113"/>
          </reference>
        </references>
      </pivotArea>
    </format>
    <format dxfId="682">
      <pivotArea dataOnly="0" labelOnly="1" outline="0" fieldPosition="0">
        <references count="3">
          <reference field="4" count="1" selected="0">
            <x v="1"/>
          </reference>
          <reference field="5" count="1">
            <x v="6"/>
          </reference>
          <reference field="19" count="1" selected="0">
            <x v="35"/>
          </reference>
        </references>
      </pivotArea>
    </format>
    <format dxfId="681">
      <pivotArea dataOnly="0" labelOnly="1" outline="0" fieldPosition="0">
        <references count="3">
          <reference field="4" count="1" selected="0">
            <x v="1"/>
          </reference>
          <reference field="5" count="1">
            <x v="28"/>
          </reference>
          <reference field="19" count="1" selected="0">
            <x v="93"/>
          </reference>
        </references>
      </pivotArea>
    </format>
    <format dxfId="680">
      <pivotArea dataOnly="0" labelOnly="1" outline="0" fieldPosition="0">
        <references count="3">
          <reference field="4" count="1" selected="0">
            <x v="1"/>
          </reference>
          <reference field="5" count="1">
            <x v="117"/>
          </reference>
          <reference field="19" count="1" selected="0">
            <x v="115"/>
          </reference>
        </references>
      </pivotArea>
    </format>
    <format dxfId="679">
      <pivotArea dataOnly="0" labelOnly="1" outline="0" fieldPosition="0">
        <references count="3">
          <reference field="4" count="1" selected="0">
            <x v="2"/>
          </reference>
          <reference field="5" count="2">
            <x v="102"/>
            <x v="116"/>
          </reference>
          <reference field="19" count="1" selected="0">
            <x v="0"/>
          </reference>
        </references>
      </pivotArea>
    </format>
    <format dxfId="678">
      <pivotArea dataOnly="0" labelOnly="1" outline="0" fieldPosition="0">
        <references count="3">
          <reference field="4" count="1" selected="0">
            <x v="2"/>
          </reference>
          <reference field="5" count="1">
            <x v="53"/>
          </reference>
          <reference field="19" count="1" selected="0">
            <x v="61"/>
          </reference>
        </references>
      </pivotArea>
    </format>
    <format dxfId="677">
      <pivotArea dataOnly="0" labelOnly="1" outline="0" fieldPosition="0">
        <references count="3">
          <reference field="4" count="1" selected="0">
            <x v="2"/>
          </reference>
          <reference field="5" count="1">
            <x v="66"/>
          </reference>
          <reference field="19" count="1" selected="0">
            <x v="63"/>
          </reference>
        </references>
      </pivotArea>
    </format>
    <format dxfId="676">
      <pivotArea dataOnly="0" labelOnly="1" outline="0" fieldPosition="0">
        <references count="3">
          <reference field="4" count="1" selected="0">
            <x v="2"/>
          </reference>
          <reference field="5" count="1">
            <x v="106"/>
          </reference>
          <reference field="19" count="1" selected="0">
            <x v="64"/>
          </reference>
        </references>
      </pivotArea>
    </format>
    <format dxfId="675">
      <pivotArea dataOnly="0" labelOnly="1" outline="0" fieldPosition="0">
        <references count="3">
          <reference field="4" count="1" selected="0">
            <x v="2"/>
          </reference>
          <reference field="5" count="1">
            <x v="5"/>
          </reference>
          <reference field="19" count="1" selected="0">
            <x v="65"/>
          </reference>
        </references>
      </pivotArea>
    </format>
    <format dxfId="674">
      <pivotArea dataOnly="0" labelOnly="1" outline="0" fieldPosition="0">
        <references count="3">
          <reference field="4" count="1" selected="0">
            <x v="2"/>
          </reference>
          <reference field="5" count="1">
            <x v="3"/>
          </reference>
          <reference field="19" count="1" selected="0">
            <x v="82"/>
          </reference>
        </references>
      </pivotArea>
    </format>
    <format dxfId="673">
      <pivotArea dataOnly="0" labelOnly="1" outline="0" fieldPosition="0">
        <references count="3">
          <reference field="4" count="1" selected="0">
            <x v="2"/>
          </reference>
          <reference field="5" count="1">
            <x v="7"/>
          </reference>
          <reference field="19" count="1" selected="0">
            <x v="83"/>
          </reference>
        </references>
      </pivotArea>
    </format>
    <format dxfId="672">
      <pivotArea dataOnly="0" labelOnly="1" outline="0" fieldPosition="0">
        <references count="3">
          <reference field="4" count="1" selected="0">
            <x v="2"/>
          </reference>
          <reference field="5" count="1">
            <x v="2"/>
          </reference>
          <reference field="19" count="1" selected="0">
            <x v="84"/>
          </reference>
        </references>
      </pivotArea>
    </format>
    <format dxfId="671">
      <pivotArea dataOnly="0" labelOnly="1" outline="0" fieldPosition="0">
        <references count="3">
          <reference field="4" count="1" selected="0">
            <x v="2"/>
          </reference>
          <reference field="5" count="1">
            <x v="0"/>
          </reference>
          <reference field="19" count="1" selected="0">
            <x v="85"/>
          </reference>
        </references>
      </pivotArea>
    </format>
    <format dxfId="670">
      <pivotArea dataOnly="0" labelOnly="1" outline="0" fieldPosition="0">
        <references count="3">
          <reference field="4" count="1" selected="0">
            <x v="2"/>
          </reference>
          <reference field="5" count="1">
            <x v="29"/>
          </reference>
          <reference field="19" count="1" selected="0">
            <x v="86"/>
          </reference>
        </references>
      </pivotArea>
    </format>
    <format dxfId="669">
      <pivotArea dataOnly="0" labelOnly="1" outline="0" fieldPosition="0">
        <references count="3">
          <reference field="4" count="1" selected="0">
            <x v="2"/>
          </reference>
          <reference field="5" count="1">
            <x v="82"/>
          </reference>
          <reference field="19" count="1" selected="0">
            <x v="87"/>
          </reference>
        </references>
      </pivotArea>
    </format>
    <format dxfId="668">
      <pivotArea dataOnly="0" labelOnly="1" outline="0" fieldPosition="0">
        <references count="3">
          <reference field="4" count="1" selected="0">
            <x v="2"/>
          </reference>
          <reference field="5" count="1">
            <x v="85"/>
          </reference>
          <reference field="19" count="1" selected="0">
            <x v="88"/>
          </reference>
        </references>
      </pivotArea>
    </format>
    <format dxfId="667">
      <pivotArea dataOnly="0" labelOnly="1" outline="0" fieldPosition="0">
        <references count="3">
          <reference field="4" count="1" selected="0">
            <x v="2"/>
          </reference>
          <reference field="5" count="1">
            <x v="101"/>
          </reference>
          <reference field="19" count="1" selected="0">
            <x v="89"/>
          </reference>
        </references>
      </pivotArea>
    </format>
    <format dxfId="666">
      <pivotArea dataOnly="0" labelOnly="1" outline="0" fieldPosition="0">
        <references count="3">
          <reference field="4" count="1" selected="0">
            <x v="2"/>
          </reference>
          <reference field="5" count="1">
            <x v="13"/>
          </reference>
          <reference field="19" count="1" selected="0">
            <x v="90"/>
          </reference>
        </references>
      </pivotArea>
    </format>
    <format dxfId="665">
      <pivotArea dataOnly="0" labelOnly="1" outline="0" fieldPosition="0">
        <references count="3">
          <reference field="4" count="1" selected="0">
            <x v="2"/>
          </reference>
          <reference field="5" count="1">
            <x v="62"/>
          </reference>
          <reference field="19" count="1" selected="0">
            <x v="91"/>
          </reference>
        </references>
      </pivotArea>
    </format>
    <format dxfId="664">
      <pivotArea dataOnly="0" labelOnly="1" outline="0" fieldPosition="0">
        <references count="3">
          <reference field="4" count="1" selected="0">
            <x v="2"/>
          </reference>
          <reference field="5" count="1">
            <x v="113"/>
          </reference>
          <reference field="19" count="1" selected="0">
            <x v="112"/>
          </reference>
        </references>
      </pivotArea>
    </format>
    <format dxfId="663">
      <pivotArea dataOnly="0" labelOnly="1" outline="0" fieldPosition="0">
        <references count="3">
          <reference field="4" count="1" selected="0">
            <x v="2"/>
          </reference>
          <reference field="5" count="1">
            <x v="121"/>
          </reference>
          <reference field="19" count="1" selected="0">
            <x v="119"/>
          </reference>
        </references>
      </pivotArea>
    </format>
    <format dxfId="662">
      <pivotArea dataOnly="0" labelOnly="1" outline="0" fieldPosition="0">
        <references count="3">
          <reference field="4" count="1" selected="0">
            <x v="2"/>
          </reference>
          <reference field="5" count="1">
            <x v="122"/>
          </reference>
          <reference field="19" count="1" selected="0">
            <x v="120"/>
          </reference>
        </references>
      </pivotArea>
    </format>
    <format dxfId="661">
      <pivotArea dataOnly="0" labelOnly="1" outline="0" fieldPosition="0">
        <references count="3">
          <reference field="4" count="1" selected="0">
            <x v="3"/>
          </reference>
          <reference field="5" count="1">
            <x v="60"/>
          </reference>
          <reference field="19" count="1" selected="0">
            <x v="100"/>
          </reference>
        </references>
      </pivotArea>
    </format>
    <format dxfId="660">
      <pivotArea dataOnly="0" labelOnly="1" outline="0" fieldPosition="0">
        <references count="3">
          <reference field="4" count="1" selected="0">
            <x v="3"/>
          </reference>
          <reference field="5" count="1">
            <x v="20"/>
          </reference>
          <reference field="19" count="1" selected="0">
            <x v="104"/>
          </reference>
        </references>
      </pivotArea>
    </format>
    <format dxfId="659">
      <pivotArea dataOnly="0" labelOnly="1" outline="0" fieldPosition="0">
        <references count="3">
          <reference field="4" count="1" selected="0">
            <x v="3"/>
          </reference>
          <reference field="5" count="1">
            <x v="21"/>
          </reference>
          <reference field="19" count="1" selected="0">
            <x v="105"/>
          </reference>
        </references>
      </pivotArea>
    </format>
    <format dxfId="658">
      <pivotArea dataOnly="0" labelOnly="1" outline="0" fieldPosition="0">
        <references count="3">
          <reference field="4" count="1" selected="0">
            <x v="3"/>
          </reference>
          <reference field="5" count="1">
            <x v="119"/>
          </reference>
          <reference field="19" count="1" selected="0">
            <x v="117"/>
          </reference>
        </references>
      </pivotArea>
    </format>
    <format dxfId="657">
      <pivotArea dataOnly="0" labelOnly="1" outline="0" fieldPosition="0">
        <references count="3">
          <reference field="4" count="1" selected="0">
            <x v="3"/>
          </reference>
          <reference field="5" count="1">
            <x v="124"/>
          </reference>
          <reference field="19" count="1" selected="0">
            <x v="122"/>
          </reference>
        </references>
      </pivotArea>
    </format>
    <format dxfId="656">
      <pivotArea dataOnly="0" labelOnly="1" outline="0" fieldPosition="0">
        <references count="3">
          <reference field="4" count="1" selected="0">
            <x v="3"/>
          </reference>
          <reference field="5" count="1">
            <x v="129"/>
          </reference>
          <reference field="19" count="1" selected="0">
            <x v="127"/>
          </reference>
        </references>
      </pivotArea>
    </format>
    <format dxfId="655">
      <pivotArea dataOnly="0" labelOnly="1" outline="0" fieldPosition="0">
        <references count="3">
          <reference field="4" count="1" selected="0">
            <x v="3"/>
          </reference>
          <reference field="5" count="1">
            <x v="133"/>
          </reference>
          <reference field="19" count="1" selected="0">
            <x v="128"/>
          </reference>
        </references>
      </pivotArea>
    </format>
    <format dxfId="654">
      <pivotArea dataOnly="0" labelOnly="1" outline="0" fieldPosition="0">
        <references count="3">
          <reference field="4" count="1" selected="0">
            <x v="4"/>
          </reference>
          <reference field="5" count="1">
            <x v="49"/>
          </reference>
          <reference field="19" count="1" selected="0">
            <x v="48"/>
          </reference>
        </references>
      </pivotArea>
    </format>
    <format dxfId="653">
      <pivotArea dataOnly="0" labelOnly="1" outline="0" fieldPosition="0">
        <references count="3">
          <reference field="4" count="1" selected="0">
            <x v="4"/>
          </reference>
          <reference field="5" count="1">
            <x v="25"/>
          </reference>
          <reference field="19" count="1" selected="0">
            <x v="74"/>
          </reference>
        </references>
      </pivotArea>
    </format>
    <format dxfId="652">
      <pivotArea dataOnly="0" labelOnly="1" outline="0" fieldPosition="0">
        <references count="3">
          <reference field="4" count="1" selected="0">
            <x v="4"/>
          </reference>
          <reference field="5" count="1">
            <x v="45"/>
          </reference>
          <reference field="19" count="1" selected="0">
            <x v="76"/>
          </reference>
        </references>
      </pivotArea>
    </format>
    <format dxfId="651">
      <pivotArea dataOnly="0" labelOnly="1" outline="0" fieldPosition="0">
        <references count="3">
          <reference field="4" count="1" selected="0">
            <x v="4"/>
          </reference>
          <reference field="5" count="1">
            <x v="44"/>
          </reference>
          <reference field="19" count="1" selected="0">
            <x v="77"/>
          </reference>
        </references>
      </pivotArea>
    </format>
    <format dxfId="650">
      <pivotArea dataOnly="0" labelOnly="1" outline="0" fieldPosition="0">
        <references count="3">
          <reference field="4" count="1" selected="0">
            <x v="4"/>
          </reference>
          <reference field="5" count="1">
            <x v="34"/>
          </reference>
          <reference field="19" count="1" selected="0">
            <x v="78"/>
          </reference>
        </references>
      </pivotArea>
    </format>
    <format dxfId="649">
      <pivotArea dataOnly="0" labelOnly="1" outline="0" fieldPosition="0">
        <references count="3">
          <reference field="4" count="1" selected="0">
            <x v="4"/>
          </reference>
          <reference field="5" count="1">
            <x v="107"/>
          </reference>
          <reference field="19" count="1" selected="0">
            <x v="106"/>
          </reference>
        </references>
      </pivotArea>
    </format>
    <format dxfId="648">
      <pivotArea dataOnly="0" labelOnly="1" outline="0" fieldPosition="0">
        <references count="3">
          <reference field="4" count="1" selected="0">
            <x v="4"/>
          </reference>
          <reference field="5" count="1">
            <x v="109"/>
          </reference>
          <reference field="19" count="1" selected="0">
            <x v="108"/>
          </reference>
        </references>
      </pivotArea>
    </format>
    <format dxfId="647">
      <pivotArea dataOnly="0" labelOnly="1" outline="0" fieldPosition="0">
        <references count="3">
          <reference field="4" count="1" selected="0">
            <x v="4"/>
          </reference>
          <reference field="5" count="1">
            <x v="118"/>
          </reference>
          <reference field="19" count="1" selected="0">
            <x v="116"/>
          </reference>
        </references>
      </pivotArea>
    </format>
    <format dxfId="646">
      <pivotArea dataOnly="0" labelOnly="1" outline="0" fieldPosition="0">
        <references count="3">
          <reference field="4" count="1" selected="0">
            <x v="4"/>
          </reference>
          <reference field="5" count="1">
            <x v="120"/>
          </reference>
          <reference field="19" count="1" selected="0">
            <x v="118"/>
          </reference>
        </references>
      </pivotArea>
    </format>
    <format dxfId="645">
      <pivotArea dataOnly="0" labelOnly="1" outline="0" fieldPosition="0">
        <references count="3">
          <reference field="4" count="1" selected="0">
            <x v="5"/>
          </reference>
          <reference field="5" count="1">
            <x v="47"/>
          </reference>
          <reference field="19" count="1" selected="0">
            <x v="101"/>
          </reference>
        </references>
      </pivotArea>
    </format>
    <format dxfId="644">
      <pivotArea dataOnly="0" labelOnly="1" outline="0" fieldPosition="0">
        <references count="3">
          <reference field="4" count="1" selected="0">
            <x v="5"/>
          </reference>
          <reference field="5" count="1">
            <x v="14"/>
          </reference>
          <reference field="19" count="1" selected="0">
            <x v="102"/>
          </reference>
        </references>
      </pivotArea>
    </format>
    <format dxfId="643">
      <pivotArea dataOnly="0" labelOnly="1" outline="0" fieldPosition="0">
        <references count="3">
          <reference field="4" count="1" selected="0">
            <x v="5"/>
          </reference>
          <reference field="5" count="1">
            <x v="134"/>
          </reference>
          <reference field="19" count="1" selected="0">
            <x v="132"/>
          </reference>
        </references>
      </pivotArea>
    </format>
    <format dxfId="642">
      <pivotArea dataOnly="0" labelOnly="1" outline="0" fieldPosition="0">
        <references count="3">
          <reference field="4" count="1" selected="0">
            <x v="6"/>
          </reference>
          <reference field="5" count="1">
            <x v="48"/>
          </reference>
          <reference field="19" count="1" selected="0">
            <x v="56"/>
          </reference>
        </references>
      </pivotArea>
    </format>
    <format dxfId="641">
      <pivotArea dataOnly="0" labelOnly="1" outline="0" fieldPosition="0">
        <references count="3">
          <reference field="4" count="1" selected="0">
            <x v="6"/>
          </reference>
          <reference field="5" count="1">
            <x v="23"/>
          </reference>
          <reference field="19" count="1" selected="0">
            <x v="57"/>
          </reference>
        </references>
      </pivotArea>
    </format>
    <format dxfId="640">
      <pivotArea dataOnly="0" labelOnly="1" outline="0" fieldPosition="0">
        <references count="3">
          <reference field="4" count="1" selected="0">
            <x v="6"/>
          </reference>
          <reference field="5" count="1">
            <x v="67"/>
          </reference>
          <reference field="19" count="1" selected="0">
            <x v="58"/>
          </reference>
        </references>
      </pivotArea>
    </format>
    <format dxfId="639">
      <pivotArea dataOnly="0" labelOnly="1" outline="0" fieldPosition="0">
        <references count="3">
          <reference field="4" count="1" selected="0">
            <x v="7"/>
          </reference>
          <reference field="5" count="1">
            <x v="92"/>
          </reference>
          <reference field="19" count="1" selected="0">
            <x v="59"/>
          </reference>
        </references>
      </pivotArea>
    </format>
    <format dxfId="638">
      <pivotArea dataOnly="0" labelOnly="1" outline="0" fieldPosition="0">
        <references count="3">
          <reference field="4" count="1" selected="0">
            <x v="7"/>
          </reference>
          <reference field="5" count="1">
            <x v="68"/>
          </reference>
          <reference field="19" count="1" selected="0">
            <x v="79"/>
          </reference>
        </references>
      </pivotArea>
    </format>
    <format dxfId="637">
      <pivotArea dataOnly="0" labelOnly="1" outline="0" fieldPosition="0">
        <references count="3">
          <reference field="4" count="1" selected="0">
            <x v="8"/>
          </reference>
          <reference field="5" count="1">
            <x v="54"/>
          </reference>
          <reference field="19" count="1" selected="0">
            <x v="43"/>
          </reference>
        </references>
      </pivotArea>
    </format>
    <format dxfId="636">
      <pivotArea dataOnly="0" labelOnly="1" outline="0" fieldPosition="0">
        <references count="3">
          <reference field="4" count="1" selected="0">
            <x v="8"/>
          </reference>
          <reference field="5" count="1">
            <x v="46"/>
          </reference>
          <reference field="19" count="1" selected="0">
            <x v="45"/>
          </reference>
        </references>
      </pivotArea>
    </format>
    <format dxfId="635">
      <pivotArea dataOnly="0" labelOnly="1" outline="0" fieldPosition="0">
        <references count="3">
          <reference field="4" count="1" selected="0">
            <x v="8"/>
          </reference>
          <reference field="5" count="1">
            <x v="71"/>
          </reference>
          <reference field="19" count="1" selected="0">
            <x v="46"/>
          </reference>
        </references>
      </pivotArea>
    </format>
    <format dxfId="634">
      <pivotArea dataOnly="0" labelOnly="1" outline="0" fieldPosition="0">
        <references count="3">
          <reference field="4" count="1" selected="0">
            <x v="8"/>
          </reference>
          <reference field="5" count="1">
            <x v="42"/>
          </reference>
          <reference field="19" count="1" selected="0">
            <x v="47"/>
          </reference>
        </references>
      </pivotArea>
    </format>
    <format dxfId="633">
      <pivotArea dataOnly="0" labelOnly="1" outline="0" fieldPosition="0">
        <references count="3">
          <reference field="4" count="1" selected="0">
            <x v="8"/>
          </reference>
          <reference field="5" count="1">
            <x v="32"/>
          </reference>
          <reference field="19" count="1" selected="0">
            <x v="51"/>
          </reference>
        </references>
      </pivotArea>
    </format>
    <format dxfId="632">
      <pivotArea dataOnly="0" labelOnly="1" outline="0" fieldPosition="0">
        <references count="3">
          <reference field="4" count="1" selected="0">
            <x v="8"/>
          </reference>
          <reference field="5" count="1">
            <x v="33"/>
          </reference>
          <reference field="19" count="1" selected="0">
            <x v="52"/>
          </reference>
        </references>
      </pivotArea>
    </format>
    <format dxfId="631">
      <pivotArea dataOnly="0" labelOnly="1" outline="0" fieldPosition="0">
        <references count="3">
          <reference field="4" count="1" selected="0">
            <x v="8"/>
          </reference>
          <reference field="5" count="1">
            <x v="31"/>
          </reference>
          <reference field="19" count="1" selected="0">
            <x v="53"/>
          </reference>
        </references>
      </pivotArea>
    </format>
    <format dxfId="630">
      <pivotArea dataOnly="0" labelOnly="1" outline="0" fieldPosition="0">
        <references count="3">
          <reference field="4" count="1" selected="0">
            <x v="8"/>
          </reference>
          <reference field="5" count="1">
            <x v="73"/>
          </reference>
          <reference field="19" count="1" selected="0">
            <x v="54"/>
          </reference>
        </references>
      </pivotArea>
    </format>
    <format dxfId="629">
      <pivotArea dataOnly="0" labelOnly="1" outline="0" fieldPosition="0">
        <references count="3">
          <reference field="4" count="1" selected="0">
            <x v="8"/>
          </reference>
          <reference field="5" count="1">
            <x v="86"/>
          </reference>
          <reference field="19" count="1" selected="0">
            <x v="55"/>
          </reference>
        </references>
      </pivotArea>
    </format>
    <format dxfId="628">
      <pivotArea dataOnly="0" labelOnly="1" outline="0" fieldPosition="0">
        <references count="3">
          <reference field="4" count="1" selected="0">
            <x v="8"/>
          </reference>
          <reference field="5" count="1">
            <x v="19"/>
          </reference>
          <reference field="19" count="1" selected="0">
            <x v="70"/>
          </reference>
        </references>
      </pivotArea>
    </format>
    <format dxfId="627">
      <pivotArea dataOnly="0" labelOnly="1" outline="0" fieldPosition="0">
        <references count="3">
          <reference field="4" count="1" selected="0">
            <x v="8"/>
          </reference>
          <reference field="5" count="1">
            <x v="15"/>
          </reference>
          <reference field="19" count="1" selected="0">
            <x v="71"/>
          </reference>
        </references>
      </pivotArea>
    </format>
    <format dxfId="626">
      <pivotArea dataOnly="0" labelOnly="1" outline="0" fieldPosition="0">
        <references count="3">
          <reference field="4" count="1" selected="0">
            <x v="8"/>
          </reference>
          <reference field="5" count="1">
            <x v="10"/>
          </reference>
          <reference field="19" count="1" selected="0">
            <x v="72"/>
          </reference>
        </references>
      </pivotArea>
    </format>
    <format dxfId="625">
      <pivotArea dataOnly="0" labelOnly="1" outline="0" fieldPosition="0">
        <references count="3">
          <reference field="4" count="1" selected="0">
            <x v="8"/>
          </reference>
          <reference field="5" count="1">
            <x v="75"/>
          </reference>
          <reference field="19" count="1" selected="0">
            <x v="73"/>
          </reference>
        </references>
      </pivotArea>
    </format>
    <format dxfId="624">
      <pivotArea dataOnly="0" labelOnly="1" outline="0" fieldPosition="0">
        <references count="3">
          <reference field="4" count="1" selected="0">
            <x v="8"/>
          </reference>
          <reference field="5" count="1">
            <x v="70"/>
          </reference>
          <reference field="19" count="1" selected="0">
            <x v="75"/>
          </reference>
        </references>
      </pivotArea>
    </format>
    <format dxfId="623">
      <pivotArea dataOnly="0" labelOnly="1" outline="0" fieldPosition="0">
        <references count="3">
          <reference field="4" count="1" selected="0">
            <x v="8"/>
          </reference>
          <reference field="5" count="1">
            <x v="112"/>
          </reference>
          <reference field="19" count="1" selected="0">
            <x v="111"/>
          </reference>
        </references>
      </pivotArea>
    </format>
    <format dxfId="622">
      <pivotArea dataOnly="0" labelOnly="1" outline="0" fieldPosition="0">
        <references count="3">
          <reference field="4" count="1" selected="0">
            <x v="9"/>
          </reference>
          <reference field="5" count="1">
            <x v="56"/>
          </reference>
          <reference field="19" count="1" selected="0">
            <x v="99"/>
          </reference>
        </references>
      </pivotArea>
    </format>
    <format dxfId="621">
      <pivotArea dataOnly="0" labelOnly="1" outline="0" fieldPosition="0">
        <references count="3">
          <reference field="4" count="1" selected="0">
            <x v="9"/>
          </reference>
          <reference field="5" count="1">
            <x v="125"/>
          </reference>
          <reference field="19" count="1" selected="0">
            <x v="123"/>
          </reference>
        </references>
      </pivotArea>
    </format>
    <format dxfId="620">
      <pivotArea dataOnly="0" labelOnly="1" outline="0" fieldPosition="0">
        <references count="3">
          <reference field="4" count="1" selected="0">
            <x v="9"/>
          </reference>
          <reference field="5" count="1">
            <x v="126"/>
          </reference>
          <reference field="19" count="1" selected="0">
            <x v="124"/>
          </reference>
        </references>
      </pivotArea>
    </format>
    <format dxfId="619">
      <pivotArea dataOnly="0" labelOnly="1" outline="0" fieldPosition="0">
        <references count="3">
          <reference field="4" count="1" selected="0">
            <x v="10"/>
          </reference>
          <reference field="5" count="2">
            <x v="84"/>
            <x v="116"/>
          </reference>
          <reference field="19" count="1" selected="0">
            <x v="0"/>
          </reference>
        </references>
      </pivotArea>
    </format>
    <format dxfId="618">
      <pivotArea dataOnly="0" labelOnly="1" outline="0" fieldPosition="0">
        <references count="3">
          <reference field="4" count="1" selected="0">
            <x v="10"/>
          </reference>
          <reference field="5" count="1">
            <x v="94"/>
          </reference>
          <reference field="19" count="1" selected="0">
            <x v="1"/>
          </reference>
        </references>
      </pivotArea>
    </format>
    <format dxfId="617">
      <pivotArea dataOnly="0" labelOnly="1" outline="0" fieldPosition="0">
        <references count="3">
          <reference field="4" count="1" selected="0">
            <x v="10"/>
          </reference>
          <reference field="5" count="1">
            <x v="72"/>
          </reference>
          <reference field="19" count="1" selected="0">
            <x v="2"/>
          </reference>
        </references>
      </pivotArea>
    </format>
    <format dxfId="616">
      <pivotArea dataOnly="0" labelOnly="1" outline="0" fieldPosition="0">
        <references count="3">
          <reference field="4" count="1" selected="0">
            <x v="10"/>
          </reference>
          <reference field="5" count="1">
            <x v="96"/>
          </reference>
          <reference field="19" count="1" selected="0">
            <x v="3"/>
          </reference>
        </references>
      </pivotArea>
    </format>
    <format dxfId="615">
      <pivotArea dataOnly="0" labelOnly="1" outline="0" fieldPosition="0">
        <references count="3">
          <reference field="4" count="1" selected="0">
            <x v="10"/>
          </reference>
          <reference field="5" count="1">
            <x v="95"/>
          </reference>
          <reference field="19" count="1" selected="0">
            <x v="4"/>
          </reference>
        </references>
      </pivotArea>
    </format>
    <format dxfId="614">
      <pivotArea dataOnly="0" labelOnly="1" outline="0" fieldPosition="0">
        <references count="3">
          <reference field="4" count="1" selected="0">
            <x v="10"/>
          </reference>
          <reference field="5" count="1">
            <x v="97"/>
          </reference>
          <reference field="19" count="1" selected="0">
            <x v="5"/>
          </reference>
        </references>
      </pivotArea>
    </format>
    <format dxfId="613">
      <pivotArea dataOnly="0" labelOnly="1" outline="0" fieldPosition="0">
        <references count="3">
          <reference field="4" count="1" selected="0">
            <x v="10"/>
          </reference>
          <reference field="5" count="1">
            <x v="87"/>
          </reference>
          <reference field="19" count="1" selected="0">
            <x v="6"/>
          </reference>
        </references>
      </pivotArea>
    </format>
    <format dxfId="612">
      <pivotArea dataOnly="0" labelOnly="1" outline="0" fieldPosition="0">
        <references count="3">
          <reference field="4" count="1" selected="0">
            <x v="10"/>
          </reference>
          <reference field="5" count="1">
            <x v="43"/>
          </reference>
          <reference field="19" count="1" selected="0">
            <x v="7"/>
          </reference>
        </references>
      </pivotArea>
    </format>
    <format dxfId="611">
      <pivotArea dataOnly="0" labelOnly="1" outline="0" fieldPosition="0">
        <references count="3">
          <reference field="4" count="1" selected="0">
            <x v="10"/>
          </reference>
          <reference field="5" count="1">
            <x v="91"/>
          </reference>
          <reference field="19" count="1" selected="0">
            <x v="8"/>
          </reference>
        </references>
      </pivotArea>
    </format>
    <format dxfId="610">
      <pivotArea dataOnly="0" labelOnly="1" outline="0" fieldPosition="0">
        <references count="3">
          <reference field="4" count="1" selected="0">
            <x v="10"/>
          </reference>
          <reference field="5" count="1">
            <x v="9"/>
          </reference>
          <reference field="19" count="1" selected="0">
            <x v="9"/>
          </reference>
        </references>
      </pivotArea>
    </format>
    <format dxfId="609">
      <pivotArea dataOnly="0" labelOnly="1" outline="0" fieldPosition="0">
        <references count="3">
          <reference field="4" count="1" selected="0">
            <x v="10"/>
          </reference>
          <reference field="5" count="1">
            <x v="8"/>
          </reference>
          <reference field="19" count="1" selected="0">
            <x v="10"/>
          </reference>
        </references>
      </pivotArea>
    </format>
    <format dxfId="608">
      <pivotArea dataOnly="0" labelOnly="1" outline="0" fieldPosition="0">
        <references count="3">
          <reference field="4" count="1" selected="0">
            <x v="10"/>
          </reference>
          <reference field="5" count="1">
            <x v="22"/>
          </reference>
          <reference field="19" count="1" selected="0">
            <x v="11"/>
          </reference>
        </references>
      </pivotArea>
    </format>
    <format dxfId="607">
      <pivotArea dataOnly="0" labelOnly="1" outline="0" fieldPosition="0">
        <references count="3">
          <reference field="4" count="1" selected="0">
            <x v="10"/>
          </reference>
          <reference field="5" count="1">
            <x v="27"/>
          </reference>
          <reference field="19" count="1" selected="0">
            <x v="12"/>
          </reference>
        </references>
      </pivotArea>
    </format>
    <format dxfId="606">
      <pivotArea dataOnly="0" labelOnly="1" outline="0" fieldPosition="0">
        <references count="3">
          <reference field="4" count="1" selected="0">
            <x v="10"/>
          </reference>
          <reference field="5" count="1">
            <x v="26"/>
          </reference>
          <reference field="19" count="1" selected="0">
            <x v="13"/>
          </reference>
        </references>
      </pivotArea>
    </format>
    <format dxfId="605">
      <pivotArea dataOnly="0" labelOnly="1" outline="0" fieldPosition="0">
        <references count="3">
          <reference field="4" count="1" selected="0">
            <x v="10"/>
          </reference>
          <reference field="5" count="1">
            <x v="41"/>
          </reference>
          <reference field="19" count="1" selected="0">
            <x v="14"/>
          </reference>
        </references>
      </pivotArea>
    </format>
    <format dxfId="604">
      <pivotArea dataOnly="0" labelOnly="1" outline="0" fieldPosition="0">
        <references count="3">
          <reference field="4" count="1" selected="0">
            <x v="10"/>
          </reference>
          <reference field="5" count="1">
            <x v="17"/>
          </reference>
          <reference field="19" count="1" selected="0">
            <x v="15"/>
          </reference>
        </references>
      </pivotArea>
    </format>
    <format dxfId="603">
      <pivotArea dataOnly="0" labelOnly="1" outline="0" fieldPosition="0">
        <references count="3">
          <reference field="4" count="1" selected="0">
            <x v="10"/>
          </reference>
          <reference field="5" count="1">
            <x v="18"/>
          </reference>
          <reference field="19" count="1" selected="0">
            <x v="16"/>
          </reference>
        </references>
      </pivotArea>
    </format>
    <format dxfId="602">
      <pivotArea dataOnly="0" labelOnly="1" outline="0" fieldPosition="0">
        <references count="3">
          <reference field="4" count="1" selected="0">
            <x v="10"/>
          </reference>
          <reference field="5" count="1">
            <x v="51"/>
          </reference>
          <reference field="19" count="1" selected="0">
            <x v="17"/>
          </reference>
        </references>
      </pivotArea>
    </format>
    <format dxfId="601">
      <pivotArea dataOnly="0" labelOnly="1" outline="0" fieldPosition="0">
        <references count="3">
          <reference field="4" count="1" selected="0">
            <x v="10"/>
          </reference>
          <reference field="5" count="1">
            <x v="52"/>
          </reference>
          <reference field="19" count="1" selected="0">
            <x v="18"/>
          </reference>
        </references>
      </pivotArea>
    </format>
    <format dxfId="600">
      <pivotArea dataOnly="0" labelOnly="1" outline="0" fieldPosition="0">
        <references count="3">
          <reference field="4" count="1" selected="0">
            <x v="10"/>
          </reference>
          <reference field="5" count="1">
            <x v="104"/>
          </reference>
          <reference field="19" count="1" selected="0">
            <x v="19"/>
          </reference>
        </references>
      </pivotArea>
    </format>
    <format dxfId="599">
      <pivotArea dataOnly="0" labelOnly="1" outline="0" fieldPosition="0">
        <references count="3">
          <reference field="4" count="1" selected="0">
            <x v="10"/>
          </reference>
          <reference field="5" count="1">
            <x v="64"/>
          </reference>
          <reference field="19" count="1" selected="0">
            <x v="20"/>
          </reference>
        </references>
      </pivotArea>
    </format>
    <format dxfId="598">
      <pivotArea dataOnly="0" labelOnly="1" outline="0" fieldPosition="0">
        <references count="3">
          <reference field="4" count="1" selected="0">
            <x v="10"/>
          </reference>
          <reference field="5" count="1">
            <x v="74"/>
          </reference>
          <reference field="19" count="1" selected="0">
            <x v="81"/>
          </reference>
        </references>
      </pivotArea>
    </format>
    <format dxfId="597">
      <pivotArea dataOnly="0" labelOnly="1" outline="0" fieldPosition="0">
        <references count="3">
          <reference field="4" count="1" selected="0">
            <x v="10"/>
          </reference>
          <reference field="5" count="1">
            <x v="131"/>
          </reference>
          <reference field="19" count="1" selected="0">
            <x v="130"/>
          </reference>
        </references>
      </pivotArea>
    </format>
    <format dxfId="596">
      <pivotArea dataOnly="0" labelOnly="1" outline="0" fieldPosition="0">
        <references count="3">
          <reference field="4" count="1" selected="0">
            <x v="11"/>
          </reference>
          <reference field="5" count="1">
            <x v="59"/>
          </reference>
          <reference field="19" count="1" selected="0">
            <x v="97"/>
          </reference>
        </references>
      </pivotArea>
    </format>
    <format dxfId="595">
      <pivotArea dataOnly="0" labelOnly="1" outline="0" fieldPosition="0">
        <references count="3">
          <reference field="4" count="1" selected="0">
            <x v="11"/>
          </reference>
          <reference field="5" count="1">
            <x v="58"/>
          </reference>
          <reference field="19" count="1" selected="0">
            <x v="98"/>
          </reference>
        </references>
      </pivotArea>
    </format>
    <format dxfId="594">
      <pivotArea dataOnly="0" labelOnly="1" outline="0" fieldPosition="0">
        <references count="3">
          <reference field="4" count="1" selected="0">
            <x v="11"/>
          </reference>
          <reference field="5" count="1">
            <x v="127"/>
          </reference>
          <reference field="19" count="1" selected="0">
            <x v="125"/>
          </reference>
        </references>
      </pivotArea>
    </format>
    <format dxfId="593">
      <pivotArea dataOnly="0" labelOnly="1" outline="0" fieldPosition="0">
        <references count="3">
          <reference field="4" count="1" selected="0">
            <x v="11"/>
          </reference>
          <reference field="5" count="1">
            <x v="128"/>
          </reference>
          <reference field="19" count="1" selected="0">
            <x v="126"/>
          </reference>
        </references>
      </pivotArea>
    </format>
    <format dxfId="592">
      <pivotArea dataOnly="0" labelOnly="1" outline="0" fieldPosition="0">
        <references count="3">
          <reference field="4" count="1" selected="0">
            <x v="12"/>
          </reference>
          <reference field="5" count="1">
            <x v="63"/>
          </reference>
          <reference field="19" count="1" selected="0">
            <x v="103"/>
          </reference>
        </references>
      </pivotArea>
    </format>
    <format dxfId="591">
      <pivotArea dataOnly="0" labelOnly="1" outline="0" fieldPosition="0">
        <references count="3">
          <reference field="4" count="1" selected="0">
            <x v="13"/>
          </reference>
          <reference field="5" count="1">
            <x v="89"/>
          </reference>
          <reference field="19" count="1" selected="0">
            <x v="49"/>
          </reference>
        </references>
      </pivotArea>
    </format>
    <format dxfId="590">
      <pivotArea dataOnly="0" labelOnly="1" outline="0" fieldPosition="0">
        <references count="3">
          <reference field="4" count="1" selected="0">
            <x v="13"/>
          </reference>
          <reference field="5" count="1">
            <x v="90"/>
          </reference>
          <reference field="19" count="1" selected="0">
            <x v="50"/>
          </reference>
        </references>
      </pivotArea>
    </format>
    <format dxfId="589">
      <pivotArea dataOnly="0" labelOnly="1" outline="0" fieldPosition="0">
        <references count="3">
          <reference field="4" count="1" selected="0">
            <x v="14"/>
          </reference>
          <reference field="5" count="1">
            <x v="79"/>
          </reference>
          <reference field="19" count="1" selected="0">
            <x v="21"/>
          </reference>
        </references>
      </pivotArea>
    </format>
    <format dxfId="588">
      <pivotArea dataOnly="0" labelOnly="1" outline="0" fieldPosition="0">
        <references count="3">
          <reference field="4" count="1" selected="0">
            <x v="14"/>
          </reference>
          <reference field="5" count="1">
            <x v="81"/>
          </reference>
          <reference field="19" count="1" selected="0">
            <x v="22"/>
          </reference>
        </references>
      </pivotArea>
    </format>
    <format dxfId="587">
      <pivotArea dataOnly="0" labelOnly="1" outline="0" fieldPosition="0">
        <references count="3">
          <reference field="4" count="1" selected="0">
            <x v="14"/>
          </reference>
          <reference field="5" count="1">
            <x v="35"/>
          </reference>
          <reference field="19" count="1" selected="0">
            <x v="23"/>
          </reference>
        </references>
      </pivotArea>
    </format>
    <format dxfId="586">
      <pivotArea dataOnly="0" labelOnly="1" outline="0" fieldPosition="0">
        <references count="3">
          <reference field="4" count="1" selected="0">
            <x v="14"/>
          </reference>
          <reference field="5" count="1">
            <x v="11"/>
          </reference>
          <reference field="19" count="1" selected="0">
            <x v="24"/>
          </reference>
        </references>
      </pivotArea>
    </format>
    <format dxfId="585">
      <pivotArea dataOnly="0" labelOnly="1" outline="0" fieldPosition="0">
        <references count="3">
          <reference field="4" count="1" selected="0">
            <x v="14"/>
          </reference>
          <reference field="5" count="1">
            <x v="38"/>
          </reference>
          <reference field="19" count="1" selected="0">
            <x v="25"/>
          </reference>
        </references>
      </pivotArea>
    </format>
    <format dxfId="584">
      <pivotArea dataOnly="0" labelOnly="1" outline="0" fieldPosition="0">
        <references count="3">
          <reference field="4" count="1" selected="0">
            <x v="14"/>
          </reference>
          <reference field="5" count="1">
            <x v="80"/>
          </reference>
          <reference field="19" count="1" selected="0">
            <x v="26"/>
          </reference>
        </references>
      </pivotArea>
    </format>
    <format dxfId="583">
      <pivotArea dataOnly="0" labelOnly="1" outline="0" fieldPosition="0">
        <references count="3">
          <reference field="4" count="1" selected="0">
            <x v="14"/>
          </reference>
          <reference field="5" count="1">
            <x v="37"/>
          </reference>
          <reference field="19" count="1" selected="0">
            <x v="27"/>
          </reference>
        </references>
      </pivotArea>
    </format>
    <format dxfId="582">
      <pivotArea dataOnly="0" labelOnly="1" outline="0" fieldPosition="0">
        <references count="3">
          <reference field="4" count="1" selected="0">
            <x v="14"/>
          </reference>
          <reference field="5" count="1">
            <x v="78"/>
          </reference>
          <reference field="19" count="1" selected="0">
            <x v="28"/>
          </reference>
        </references>
      </pivotArea>
    </format>
    <format dxfId="581">
      <pivotArea dataOnly="0" labelOnly="1" outline="0" fieldPosition="0">
        <references count="3">
          <reference field="4" count="1" selected="0">
            <x v="14"/>
          </reference>
          <reference field="5" count="1">
            <x v="100"/>
          </reference>
          <reference field="19" count="1" selected="0">
            <x v="29"/>
          </reference>
        </references>
      </pivotArea>
    </format>
    <format dxfId="580">
      <pivotArea dataOnly="0" labelOnly="1" outline="0" fieldPosition="0">
        <references count="3">
          <reference field="4" count="1" selected="0">
            <x v="14"/>
          </reference>
          <reference field="5" count="1">
            <x v="98"/>
          </reference>
          <reference field="19" count="1" selected="0">
            <x v="30"/>
          </reference>
        </references>
      </pivotArea>
    </format>
    <format dxfId="579">
      <pivotArea dataOnly="0" labelOnly="1" outline="0" fieldPosition="0">
        <references count="3">
          <reference field="4" count="1" selected="0">
            <x v="14"/>
          </reference>
          <reference field="5" count="1">
            <x v="99"/>
          </reference>
          <reference field="19" count="1" selected="0">
            <x v="31"/>
          </reference>
        </references>
      </pivotArea>
    </format>
    <format dxfId="578">
      <pivotArea dataOnly="0" labelOnly="1" outline="0" fieldPosition="0">
        <references count="3">
          <reference field="4" count="1" selected="0">
            <x v="14"/>
          </reference>
          <reference field="5" count="1">
            <x v="40"/>
          </reference>
          <reference field="19" count="1" selected="0">
            <x v="32"/>
          </reference>
        </references>
      </pivotArea>
    </format>
    <format dxfId="577">
      <pivotArea dataOnly="0" labelOnly="1" outline="0" fieldPosition="0">
        <references count="3">
          <reference field="4" count="1" selected="0">
            <x v="14"/>
          </reference>
          <reference field="5" count="1">
            <x v="39"/>
          </reference>
          <reference field="19" count="1" selected="0">
            <x v="33"/>
          </reference>
        </references>
      </pivotArea>
    </format>
    <format dxfId="576">
      <pivotArea dataOnly="0" labelOnly="1" outline="0" fieldPosition="0">
        <references count="3">
          <reference field="4" count="1" selected="0">
            <x v="14"/>
          </reference>
          <reference field="5" count="1">
            <x v="88"/>
          </reference>
          <reference field="19" count="1" selected="0">
            <x v="34"/>
          </reference>
        </references>
      </pivotArea>
    </format>
    <format dxfId="575">
      <pivotArea dataOnly="0" labelOnly="1" outline="0" fieldPosition="0">
        <references count="3">
          <reference field="4" count="1" selected="0">
            <x v="14"/>
          </reference>
          <reference field="5" count="1">
            <x v="4"/>
          </reference>
          <reference field="19" count="1" selected="0">
            <x v="66"/>
          </reference>
        </references>
      </pivotArea>
    </format>
    <format dxfId="574">
      <pivotArea dataOnly="0" labelOnly="1" outline="0" fieldPosition="0">
        <references count="3">
          <reference field="4" count="1" selected="0">
            <x v="14"/>
          </reference>
          <reference field="5" count="1">
            <x v="12"/>
          </reference>
          <reference field="19" count="1" selected="0">
            <x v="67"/>
          </reference>
        </references>
      </pivotArea>
    </format>
    <format dxfId="573">
      <pivotArea dataOnly="0" labelOnly="1" outline="0" fieldPosition="0">
        <references count="3">
          <reference field="4" count="1" selected="0">
            <x v="14"/>
          </reference>
          <reference field="5" count="1">
            <x v="103"/>
          </reference>
          <reference field="19" count="1" selected="0">
            <x v="68"/>
          </reference>
        </references>
      </pivotArea>
    </format>
    <format dxfId="572">
      <pivotArea dataOnly="0" labelOnly="1" outline="0" fieldPosition="0">
        <references count="3">
          <reference field="4" count="1" selected="0">
            <x v="14"/>
          </reference>
          <reference field="5" count="1">
            <x v="36"/>
          </reference>
          <reference field="19" count="1" selected="0">
            <x v="69"/>
          </reference>
        </references>
      </pivotArea>
    </format>
    <format dxfId="571">
      <pivotArea dataOnly="0" labelOnly="1" outline="0" fieldPosition="0">
        <references count="3">
          <reference field="4" count="1" selected="0">
            <x v="14"/>
          </reference>
          <reference field="5" count="1">
            <x v="77"/>
          </reference>
          <reference field="19" count="1" selected="0">
            <x v="80"/>
          </reference>
        </references>
      </pivotArea>
    </format>
    <format dxfId="570">
      <pivotArea dataOnly="0" labelOnly="1" outline="0" fieldPosition="0">
        <references count="3">
          <reference field="4" count="1" selected="0">
            <x v="14"/>
          </reference>
          <reference field="5" count="1">
            <x v="110"/>
          </reference>
          <reference field="19" count="1" selected="0">
            <x v="109"/>
          </reference>
        </references>
      </pivotArea>
    </format>
    <format dxfId="569">
      <pivotArea dataOnly="0" labelOnly="1" outline="0" fieldPosition="0">
        <references count="3">
          <reference field="4" count="1" selected="0">
            <x v="14"/>
          </reference>
          <reference field="5" count="1">
            <x v="130"/>
          </reference>
          <reference field="19" count="1" selected="0">
            <x v="129"/>
          </reference>
        </references>
      </pivotArea>
    </format>
    <format dxfId="568">
      <pivotArea dataOnly="0" labelOnly="1" outline="0" fieldPosition="0">
        <references count="3">
          <reference field="4" count="1" selected="0">
            <x v="14"/>
          </reference>
          <reference field="5" count="1">
            <x v="132"/>
          </reference>
          <reference field="19" count="1" selected="0">
            <x v="131"/>
          </reference>
        </references>
      </pivotArea>
    </format>
    <format dxfId="567">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4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89" firstHeaderRow="1" firstDataRow="1" firstDataCol="1" rowPageCount="1" colPageCount="1"/>
  <pivotFields count="31">
    <pivotField axis="axisPage" multipleItemSelectionAllowed="1" showAll="0">
      <items count="3">
        <item h="1" x="1"/>
        <item x="0"/>
        <item t="default"/>
      </items>
    </pivotField>
    <pivotField showAll="0"/>
    <pivotField showAll="0"/>
    <pivotField showAll="0"/>
    <pivotField showAll="0"/>
    <pivotField axis="axisRow" showAll="0" sortType="descending">
      <items count="24">
        <item x="5"/>
        <item x="2"/>
        <item x="1"/>
        <item x="20"/>
        <item x="14"/>
        <item x="10"/>
        <item x="16"/>
        <item x="17"/>
        <item x="6"/>
        <item x="18"/>
        <item x="9"/>
        <item x="12"/>
        <item x="4"/>
        <item x="13"/>
        <item x="0"/>
        <item x="7"/>
        <item x="19"/>
        <item x="11"/>
        <item x="8"/>
        <item x="15"/>
        <item x="3"/>
        <item x="22"/>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85">
        <item x="150"/>
        <item x="158"/>
        <item x="16"/>
        <item x="48"/>
        <item x="3"/>
        <item x="6"/>
        <item x="152"/>
        <item x="140"/>
        <item x="149"/>
        <item x="91"/>
        <item x="196"/>
        <item x="197"/>
        <item x="195"/>
        <item x="119"/>
        <item x="166"/>
        <item x="151"/>
        <item x="118"/>
        <item x="21"/>
        <item x="52"/>
        <item x="208"/>
        <item x="17"/>
        <item x="85"/>
        <item x="18"/>
        <item x="142"/>
        <item x="20"/>
        <item x="26"/>
        <item x="159"/>
        <item x="165"/>
        <item x="227"/>
        <item x="231"/>
        <item x="44"/>
        <item x="23"/>
        <item x="89"/>
        <item x="96"/>
        <item x="25"/>
        <item x="167"/>
        <item x="145"/>
        <item x="97"/>
        <item x="186"/>
        <item x="148"/>
        <item x="39"/>
        <item x="79"/>
        <item x="45"/>
        <item x="189"/>
        <item x="198"/>
        <item x="209"/>
        <item x="15"/>
        <item x="108"/>
        <item x="117"/>
        <item x="46"/>
        <item x="180"/>
        <item x="174"/>
        <item x="213"/>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69"/>
        <item x="13"/>
        <item x="128"/>
        <item x="7"/>
        <item x="193"/>
        <item x="194"/>
        <item x="63"/>
        <item x="178"/>
        <item x="94"/>
        <item x="163"/>
        <item x="129"/>
        <item x="130"/>
        <item x="134"/>
        <item x="122"/>
        <item x="58"/>
        <item x="220"/>
        <item x="225"/>
        <item x="55"/>
        <item x="95"/>
        <item x="93"/>
        <item x="100"/>
        <item x="103"/>
        <item x="104"/>
        <item x="98"/>
        <item x="105"/>
        <item x="102"/>
        <item x="40"/>
        <item x="47"/>
        <item x="111"/>
        <item x="87"/>
        <item x="84"/>
        <item x="83"/>
        <item x="49"/>
        <item x="86"/>
        <item x="157"/>
        <item x="50"/>
        <item x="57"/>
        <item x="101"/>
        <item x="90"/>
        <item x="228"/>
        <item x="183"/>
        <item x="216"/>
        <item x="238"/>
        <item x="184"/>
        <item x="156"/>
        <item x="235"/>
        <item x="237"/>
        <item x="51"/>
        <item x="14"/>
        <item x="61"/>
        <item x="136"/>
        <item x="212"/>
        <item x="211"/>
        <item x="239"/>
        <item x="56"/>
        <item x="206"/>
        <item x="54"/>
        <item x="221"/>
        <item x="99"/>
        <item x="218"/>
        <item x="187"/>
        <item x="190"/>
        <item x="137"/>
        <item x="53"/>
        <item x="222"/>
        <item x="226"/>
        <item x="241"/>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191"/>
        <item x="72"/>
        <item x="5"/>
        <item x="160"/>
        <item x="38"/>
        <item x="66"/>
        <item x="210"/>
        <item x="8"/>
        <item x="200"/>
        <item x="244"/>
        <item x="203"/>
        <item x="188"/>
        <item x="161"/>
        <item x="115"/>
        <item x="60"/>
        <item x="0"/>
        <item x="169"/>
        <item x="2"/>
        <item x="4"/>
        <item x="170"/>
        <item x="205"/>
        <item x="106"/>
        <item x="192"/>
        <item x="75"/>
        <item x="175"/>
        <item x="33"/>
        <item x="164"/>
        <item x="124"/>
        <item x="245"/>
        <item x="42"/>
        <item x="154"/>
        <item x="19"/>
        <item x="274"/>
        <item x="78"/>
        <item x="181"/>
        <item x="234"/>
        <item x="214"/>
        <item x="215"/>
        <item x="32"/>
        <item x="31"/>
        <item x="121"/>
        <item x="92"/>
        <item x="168"/>
        <item x="116"/>
        <item x="171"/>
        <item x="266"/>
        <item x="217"/>
        <item x="172"/>
        <item x="219"/>
        <item x="173"/>
        <item x="176"/>
        <item x="224"/>
        <item x="240"/>
        <item x="229"/>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 x="233"/>
        <item x="267"/>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85">
    <i>
      <x v="20"/>
    </i>
    <i r="1">
      <x v="17"/>
    </i>
    <i r="1">
      <x v="31"/>
    </i>
    <i r="1">
      <x v="32"/>
    </i>
    <i r="1">
      <x v="43"/>
    </i>
    <i r="1">
      <x v="75"/>
    </i>
    <i r="1">
      <x v="76"/>
    </i>
    <i r="1">
      <x v="78"/>
    </i>
    <i r="1">
      <x v="79"/>
    </i>
    <i r="1">
      <x v="80"/>
    </i>
    <i r="1">
      <x v="81"/>
    </i>
    <i r="1">
      <x v="157"/>
    </i>
    <i r="1">
      <x v="171"/>
    </i>
    <i r="1">
      <x v="172"/>
    </i>
    <i r="1">
      <x v="173"/>
    </i>
    <i r="1">
      <x v="174"/>
    </i>
    <i r="1">
      <x v="175"/>
    </i>
    <i r="1">
      <x v="185"/>
    </i>
    <i r="1">
      <x v="200"/>
    </i>
    <i r="1">
      <x v="205"/>
    </i>
    <i r="1">
      <x v="209"/>
    </i>
    <i r="1">
      <x v="222"/>
    </i>
    <i r="1">
      <x v="266"/>
    </i>
    <i r="1">
      <x v="267"/>
    </i>
    <i r="1">
      <x v="280"/>
    </i>
    <i>
      <x v="12"/>
    </i>
    <i r="1">
      <x v="25"/>
    </i>
    <i r="1">
      <x v="36"/>
    </i>
    <i r="1">
      <x v="41"/>
    </i>
    <i r="1">
      <x v="48"/>
    </i>
    <i r="1">
      <x v="50"/>
    </i>
    <i r="1">
      <x v="69"/>
    </i>
    <i r="1">
      <x v="70"/>
    </i>
    <i r="1">
      <x v="71"/>
    </i>
    <i r="1">
      <x v="85"/>
    </i>
    <i r="1">
      <x v="118"/>
    </i>
    <i r="1">
      <x v="132"/>
    </i>
    <i r="1">
      <x v="161"/>
    </i>
    <i r="1">
      <x v="164"/>
    </i>
    <i r="1">
      <x v="166"/>
    </i>
    <i r="1">
      <x v="182"/>
    </i>
    <i>
      <x v="8"/>
    </i>
    <i r="1">
      <x v="18"/>
    </i>
    <i r="1">
      <x v="36"/>
    </i>
    <i r="1">
      <x v="60"/>
    </i>
    <i r="1">
      <x v="82"/>
    </i>
    <i r="1">
      <x v="83"/>
    </i>
    <i r="1">
      <x v="91"/>
    </i>
    <i r="1">
      <x v="92"/>
    </i>
    <i r="1">
      <x v="93"/>
    </i>
    <i r="1">
      <x v="94"/>
    </i>
    <i r="1">
      <x v="95"/>
    </i>
    <i r="1">
      <x v="100"/>
    </i>
    <i>
      <x v="14"/>
    </i>
    <i r="1">
      <x v="46"/>
    </i>
    <i r="1">
      <x v="47"/>
    </i>
    <i r="1">
      <x v="55"/>
    </i>
    <i r="1">
      <x v="63"/>
    </i>
    <i r="1">
      <x v="64"/>
    </i>
    <i r="1">
      <x v="84"/>
    </i>
    <i r="1">
      <x v="86"/>
    </i>
    <i r="1">
      <x v="109"/>
    </i>
    <i r="1">
      <x v="110"/>
    </i>
    <i r="1">
      <x v="150"/>
    </i>
    <i r="1">
      <x v="163"/>
    </i>
    <i r="1">
      <x v="165"/>
    </i>
    <i r="1">
      <x v="183"/>
    </i>
    <i r="1">
      <x v="184"/>
    </i>
    <i r="1">
      <x v="188"/>
    </i>
    <i r="1">
      <x v="196"/>
    </i>
    <i r="1">
      <x v="197"/>
    </i>
    <i r="1">
      <x v="198"/>
    </i>
    <i r="1">
      <x v="199"/>
    </i>
    <i r="1">
      <x v="223"/>
    </i>
    <i r="1">
      <x v="274"/>
    </i>
    <i r="1">
      <x v="275"/>
    </i>
    <i>
      <x/>
    </i>
    <i r="1">
      <x v="3"/>
    </i>
    <i r="1">
      <x v="7"/>
    </i>
    <i r="1">
      <x v="36"/>
    </i>
    <i r="1">
      <x v="42"/>
    </i>
    <i r="1">
      <x v="68"/>
    </i>
    <i r="1">
      <x v="130"/>
    </i>
    <i r="1">
      <x v="151"/>
    </i>
    <i r="1">
      <x v="169"/>
    </i>
    <i r="1">
      <x v="177"/>
    </i>
    <i r="1">
      <x v="193"/>
    </i>
    <i r="1">
      <x v="213"/>
    </i>
    <i>
      <x v="6"/>
    </i>
    <i r="1">
      <x v="53"/>
    </i>
    <i r="1">
      <x v="54"/>
    </i>
    <i r="1">
      <x v="124"/>
    </i>
    <i r="1">
      <x v="125"/>
    </i>
    <i r="1">
      <x v="142"/>
    </i>
    <i r="1">
      <x v="216"/>
    </i>
    <i r="1">
      <x v="233"/>
    </i>
    <i r="1">
      <x v="240"/>
    </i>
    <i r="1">
      <x v="263"/>
    </i>
    <i r="1">
      <x v="264"/>
    </i>
    <i r="1">
      <x v="279"/>
    </i>
    <i r="1">
      <x v="281"/>
    </i>
    <i r="1">
      <x v="282"/>
    </i>
    <i r="1">
      <x v="283"/>
    </i>
    <i>
      <x v="2"/>
    </i>
    <i r="1">
      <x v="2"/>
    </i>
    <i r="1">
      <x v="4"/>
    </i>
    <i r="1">
      <x v="5"/>
    </i>
    <i r="1">
      <x v="13"/>
    </i>
    <i r="1">
      <x v="20"/>
    </i>
    <i r="1">
      <x v="24"/>
    </i>
    <i r="1">
      <x v="33"/>
    </i>
    <i r="1">
      <x v="34"/>
    </i>
    <i r="1">
      <x v="39"/>
    </i>
    <i r="1">
      <x v="66"/>
    </i>
    <i r="1">
      <x v="67"/>
    </i>
    <i r="1">
      <x v="115"/>
    </i>
    <i r="1">
      <x v="146"/>
    </i>
    <i r="1">
      <x v="152"/>
    </i>
    <i r="1">
      <x v="176"/>
    </i>
    <i r="1">
      <x v="208"/>
    </i>
    <i r="1">
      <x v="214"/>
    </i>
    <i r="1">
      <x v="242"/>
    </i>
    <i r="1">
      <x v="244"/>
    </i>
    <i r="1">
      <x v="245"/>
    </i>
    <i r="1">
      <x v="268"/>
    </i>
    <i>
      <x v="18"/>
    </i>
    <i r="1">
      <x v="61"/>
    </i>
    <i r="1">
      <x v="186"/>
    </i>
    <i r="1">
      <x v="187"/>
    </i>
    <i>
      <x v="1"/>
    </i>
    <i r="1">
      <x v="22"/>
    </i>
    <i r="1">
      <x v="40"/>
    </i>
    <i r="1">
      <x v="65"/>
    </i>
    <i r="1">
      <x v="167"/>
    </i>
    <i r="1">
      <x v="181"/>
    </i>
    <i>
      <x v="15"/>
    </i>
    <i r="1">
      <x v="134"/>
    </i>
    <i r="1">
      <x v="135"/>
    </i>
    <i r="1">
      <x v="136"/>
    </i>
    <i r="1">
      <x v="137"/>
    </i>
    <i r="1">
      <x v="149"/>
    </i>
    <i r="1">
      <x v="236"/>
    </i>
    <i>
      <x v="13"/>
    </i>
    <i r="1">
      <x v="38"/>
    </i>
    <i r="1">
      <x v="128"/>
    </i>
    <i r="1">
      <x v="129"/>
    </i>
    <i r="1">
      <x v="265"/>
    </i>
    <i>
      <x v="22"/>
    </i>
    <i r="1">
      <x v="270"/>
    </i>
    <i r="1">
      <x v="271"/>
    </i>
    <i r="1">
      <x v="272"/>
    </i>
    <i r="1">
      <x v="273"/>
    </i>
    <i>
      <x v="19"/>
    </i>
    <i r="1">
      <x v="192"/>
    </i>
    <i r="1">
      <x v="230"/>
    </i>
    <i r="1">
      <x v="231"/>
    </i>
    <i>
      <x v="16"/>
    </i>
    <i r="1">
      <x v="147"/>
    </i>
    <i r="1">
      <x v="237"/>
    </i>
    <i r="1">
      <x v="250"/>
    </i>
    <i r="1">
      <x v="269"/>
    </i>
    <i>
      <x v="3"/>
    </i>
    <i r="1">
      <x v="154"/>
    </i>
    <i r="1">
      <x v="226"/>
    </i>
    <i>
      <x v="9"/>
    </i>
    <i r="1">
      <x v="98"/>
    </i>
    <i r="1">
      <x v="99"/>
    </i>
    <i r="1">
      <x v="238"/>
    </i>
    <i>
      <x v="17"/>
    </i>
    <i r="1">
      <x v="45"/>
    </i>
    <i r="1">
      <x v="204"/>
    </i>
    <i r="1">
      <x v="225"/>
    </i>
    <i>
      <x v="11"/>
    </i>
    <i r="1">
      <x v="158"/>
    </i>
    <i r="1">
      <x v="190"/>
    </i>
    <i r="1">
      <x v="217"/>
    </i>
    <i r="1">
      <x v="218"/>
    </i>
    <i>
      <x v="10"/>
    </i>
    <i r="1">
      <x v="56"/>
    </i>
    <i r="1">
      <x v="155"/>
    </i>
    <i r="1">
      <x v="228"/>
    </i>
    <i r="1">
      <x v="276"/>
    </i>
    <i>
      <x v="21"/>
    </i>
    <i r="1">
      <x v="262"/>
    </i>
    <i t="grand">
      <x/>
    </i>
  </rowItems>
  <colItems count="1">
    <i/>
  </colItems>
  <pageFields count="1">
    <pageField fld="0" hier="-1"/>
  </pageFields>
  <dataFields count="1">
    <dataField name="Sum of HH" fld="16" baseField="5" baseItem="20" numFmtId="165"/>
  </dataFields>
  <formats count="10">
    <format dxfId="887">
      <pivotArea outline="0" collapsedLevelsAreSubtotals="1" fieldPosition="0">
        <references count="1">
          <reference field="4294967294" count="1" selected="0">
            <x v="0"/>
          </reference>
        </references>
      </pivotArea>
    </format>
    <format dxfId="886">
      <pivotArea dataOnly="0" labelOnly="1" fieldPosition="0">
        <references count="1">
          <reference field="11" count="16">
            <x v="3"/>
            <x v="30"/>
            <x v="40"/>
            <x v="48"/>
            <x v="60"/>
            <x v="85"/>
            <x v="92"/>
            <x v="93"/>
            <x v="94"/>
            <x v="118"/>
            <x v="149"/>
            <x v="166"/>
            <x v="171"/>
            <x v="177"/>
            <x v="208"/>
            <x v="209"/>
          </reference>
        </references>
      </pivotArea>
    </format>
    <format dxfId="885">
      <pivotArea type="all" dataOnly="0" outline="0" fieldPosition="0"/>
    </format>
    <format dxfId="884">
      <pivotArea outline="0" collapsedLevelsAreSubtotals="1" fieldPosition="0">
        <references count="1">
          <reference field="4294967294" count="1" selected="0">
            <x v="0"/>
          </reference>
        </references>
      </pivotArea>
    </format>
    <format dxfId="883">
      <pivotArea dataOnly="0" labelOnly="1" outline="0" fieldPosition="0">
        <references count="1">
          <reference field="4294967294" count="1">
            <x v="0"/>
          </reference>
        </references>
      </pivotArea>
    </format>
    <format dxfId="882">
      <pivotArea outline="0" collapsedLevelsAreSubtotals="1" fieldPosition="0">
        <references count="1">
          <reference field="4294967294" count="1" selected="0">
            <x v="0"/>
          </reference>
        </references>
      </pivotArea>
    </format>
    <format dxfId="881">
      <pivotArea field="0" type="button" dataOnly="0" labelOnly="1" outline="0" axis="axisPage" fieldPosition="0"/>
    </format>
    <format dxfId="880">
      <pivotArea dataOnly="0" labelOnly="1" outline="0" fieldPosition="0">
        <references count="1">
          <reference field="0" count="0"/>
        </references>
      </pivotArea>
    </format>
    <format dxfId="879">
      <pivotArea dataOnly="0" labelOnly="1" grandRow="1" outline="0" fieldPosition="0"/>
    </format>
    <format dxfId="87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1"/>
        <item m="1" x="3"/>
        <item m="1" x="2"/>
        <item m="1" x="4"/>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58">
      <pivotArea outline="0" collapsedLevelsAreSubtotals="1" fieldPosition="0"/>
    </format>
    <format dxfId="35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3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0" firstHeaderRow="1" firstDataRow="1" firstDataCol="1" rowPageCount="1" colPageCount="1"/>
  <pivotFields count="46">
    <pivotField axis="axisPage" numFmtId="169" multipleItemSelectionAllowed="1" showAll="0">
      <items count="9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t="default"/>
      </items>
    </pivotField>
    <pivotField showAll="0" defaultSubtotal="0"/>
    <pivotField axis="axisRow" dataField="1" showAll="0">
      <items count="14">
        <item x="3"/>
        <item x="4"/>
        <item x="2"/>
        <item x="1"/>
        <item x="0"/>
        <item x="5"/>
        <item x="10"/>
        <item x="7"/>
        <item x="8"/>
        <item x="6"/>
        <item x="9"/>
        <item x="11"/>
        <item x="12"/>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6">
    <i>
      <x v="2"/>
    </i>
    <i>
      <x v="5"/>
    </i>
    <i>
      <x v="7"/>
    </i>
    <i>
      <x v="11"/>
    </i>
    <i>
      <x v="12"/>
    </i>
    <i t="grand">
      <x/>
    </i>
  </rowItems>
  <colItems count="1">
    <i/>
  </colItems>
  <pageFields count="1">
    <pageField fld="0" hier="-1"/>
  </pageFields>
  <dataFields count="1">
    <dataField name="# distributions" fld="2" subtotal="count" baseField="0" baseItem="0"/>
  </dataFields>
  <formats count="19">
    <format dxfId="338">
      <pivotArea outline="0" collapsedLevelsAreSubtotals="1" fieldPosition="0"/>
    </format>
    <format dxfId="337">
      <pivotArea dataOnly="0" labelOnly="1" fieldPosition="0">
        <references count="1">
          <reference field="2" count="3">
            <x v="0"/>
            <x v="1"/>
            <x v="2"/>
          </reference>
        </references>
      </pivotArea>
    </format>
    <format dxfId="336">
      <pivotArea field="0" type="button" dataOnly="0" labelOnly="1" outline="0" axis="axisPage" fieldPosition="0"/>
    </format>
    <format dxfId="335">
      <pivotArea field="2" type="button" dataOnly="0" labelOnly="1" outline="0" axis="axisRow" fieldPosition="0"/>
    </format>
    <format dxfId="334">
      <pivotArea dataOnly="0" labelOnly="1" outline="0" fieldPosition="0">
        <references count="1">
          <reference field="4294967294" count="1">
            <x v="0"/>
          </reference>
        </references>
      </pivotArea>
    </format>
    <format dxfId="333">
      <pivotArea field="2" type="button" dataOnly="0" labelOnly="1" outline="0" axis="axisRow" fieldPosition="0"/>
    </format>
    <format dxfId="332">
      <pivotArea dataOnly="0" labelOnly="1" outline="0" fieldPosition="0">
        <references count="1">
          <reference field="4294967294" count="1">
            <x v="0"/>
          </reference>
        </references>
      </pivotArea>
    </format>
    <format dxfId="331">
      <pivotArea dataOnly="0" labelOnly="1" outline="0" fieldPosition="0">
        <references count="1">
          <reference field="4294967294" count="1">
            <x v="0"/>
          </reference>
        </references>
      </pivotArea>
    </format>
    <format dxfId="330">
      <pivotArea type="all" dataOnly="0" outline="0" fieldPosition="0"/>
    </format>
    <format dxfId="329">
      <pivotArea outline="0" collapsedLevelsAreSubtotals="1" fieldPosition="0"/>
    </format>
    <format dxfId="328">
      <pivotArea dataOnly="0" labelOnly="1" outline="0" fieldPosition="0">
        <references count="1">
          <reference field="4294967294" count="1">
            <x v="0"/>
          </reference>
        </references>
      </pivotArea>
    </format>
    <format dxfId="327">
      <pivotArea field="2" grandRow="1" outline="0" collapsedLevelsAreSubtotals="1" axis="axisRow" fieldPosition="0">
        <references count="1">
          <reference field="4294967294" count="1" selected="0">
            <x v="0"/>
          </reference>
        </references>
      </pivotArea>
    </format>
    <format dxfId="326">
      <pivotArea dataOnly="0" labelOnly="1" grandRow="1" outline="0" fieldPosition="0"/>
    </format>
    <format dxfId="325">
      <pivotArea field="2" type="button" dataOnly="0" labelOnly="1" outline="0" axis="axisRow" fieldPosition="0"/>
    </format>
    <format dxfId="324">
      <pivotArea dataOnly="0" labelOnly="1" fieldPosition="0">
        <references count="1">
          <reference field="2" count="3">
            <x v="0"/>
            <x v="1"/>
            <x v="2"/>
          </reference>
        </references>
      </pivotArea>
    </format>
    <format dxfId="323">
      <pivotArea outline="0" collapsedLevelsAreSubtotals="1" fieldPosition="0"/>
    </format>
    <format dxfId="322">
      <pivotArea dataOnly="0" labelOnly="1" fieldPosition="0">
        <references count="1">
          <reference field="2" count="3">
            <x v="0"/>
            <x v="1"/>
            <x v="2"/>
          </reference>
        </references>
      </pivotArea>
    </format>
    <format dxfId="321">
      <pivotArea grandRow="1" outline="0" collapsedLevelsAreSubtotals="1" fieldPosition="0"/>
    </format>
    <format dxfId="320">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 cacheId="24"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5" cacheId="3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47"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1">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1180">
      <pivotArea type="all" dataOnly="0" outline="0" fieldPosition="0"/>
    </format>
    <format dxfId="1179">
      <pivotArea field="1" type="button" dataOnly="0" labelOnly="1" outline="0" axis="axisPage" fieldPosition="0"/>
    </format>
    <format dxfId="1178">
      <pivotArea grandRow="1" outline="0" collapsedLevelsAreSubtotals="1" fieldPosition="0"/>
    </format>
    <format dxfId="1177">
      <pivotArea dataOnly="0" labelOnly="1" grandRow="1" outline="0" fieldPosition="0"/>
    </format>
    <format dxfId="1176">
      <pivotArea outline="0" collapsedLevelsAreSubtotals="1" fieldPosition="0"/>
    </format>
    <format dxfId="1175">
      <pivotArea dataOnly="0" labelOnly="1" fieldPosition="0">
        <references count="1">
          <reference field="0" count="0"/>
        </references>
      </pivotArea>
    </format>
    <format dxfId="1174">
      <pivotArea dataOnly="0" labelOnly="1" grandRow="1" outline="0" fieldPosition="0"/>
    </format>
    <format dxfId="1173">
      <pivotArea type="topRight" dataOnly="0" labelOnly="1" outline="0" fieldPosition="0"/>
    </format>
    <format dxfId="1172">
      <pivotArea type="all" dataOnly="0" outline="0" fieldPosition="0"/>
    </format>
    <format dxfId="1171">
      <pivotArea dataOnly="0" labelOnly="1" outline="0" fieldPosition="0">
        <references count="1">
          <reference field="1" count="0"/>
        </references>
      </pivotArea>
    </format>
    <format dxfId="1170">
      <pivotArea type="all" dataOnly="0" outline="0" fieldPosition="0"/>
    </format>
    <format dxfId="1169">
      <pivotArea collapsedLevelsAreSubtotals="1" fieldPosition="0">
        <references count="1">
          <reference field="0" count="0"/>
        </references>
      </pivotArea>
    </format>
    <format dxfId="1168">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3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36" firstHeaderRow="1" firstDataRow="1" firstDataCol="1" rowPageCount="1" colPageCount="1"/>
  <pivotFields count="46">
    <pivotField numFmtId="169" showAll="0"/>
    <pivotField axis="axisPage" multipleItemSelectionAllowed="1" showAll="0" defaultSubtotal="0">
      <items count="15">
        <item x="0"/>
        <item x="12"/>
        <item x="9"/>
        <item x="10"/>
        <item x="11"/>
        <item x="1"/>
        <item x="13"/>
        <item x="2"/>
        <item x="14"/>
        <item x="3"/>
        <item x="4"/>
        <item x="5"/>
        <item x="6"/>
        <item x="7"/>
        <item x="8"/>
      </items>
    </pivotField>
    <pivotField showAll="0"/>
    <pivotField showAll="0"/>
    <pivotField showAll="0"/>
    <pivotField axis="axisRow" dataField="1" showAll="0">
      <items count="18">
        <item x="5"/>
        <item x="7"/>
        <item x="6"/>
        <item x="10"/>
        <item x="9"/>
        <item x="2"/>
        <item x="1"/>
        <item x="11"/>
        <item x="4"/>
        <item x="8"/>
        <item x="12"/>
        <item x="0"/>
        <item x="15"/>
        <item x="13"/>
        <item x="14"/>
        <item x="16"/>
        <item x="3"/>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8">
    <i>
      <x/>
    </i>
    <i>
      <x v="1"/>
    </i>
    <i>
      <x v="2"/>
    </i>
    <i>
      <x v="3"/>
    </i>
    <i>
      <x v="4"/>
    </i>
    <i>
      <x v="5"/>
    </i>
    <i>
      <x v="6"/>
    </i>
    <i>
      <x v="7"/>
    </i>
    <i>
      <x v="8"/>
    </i>
    <i>
      <x v="9"/>
    </i>
    <i>
      <x v="10"/>
    </i>
    <i>
      <x v="11"/>
    </i>
    <i>
      <x v="12"/>
    </i>
    <i>
      <x v="13"/>
    </i>
    <i>
      <x v="14"/>
    </i>
    <i>
      <x v="15"/>
    </i>
    <i>
      <x v="16"/>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34"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5"/>
        <item x="2"/>
        <item x="1"/>
        <item x="20"/>
        <item x="22"/>
        <item x="14"/>
        <item x="10"/>
        <item x="16"/>
        <item x="17"/>
        <item x="6"/>
        <item x="18"/>
        <item x="9"/>
        <item x="12"/>
        <item x="4"/>
        <item x="13"/>
        <item x="0"/>
        <item x="7"/>
        <item x="19"/>
        <item x="11"/>
        <item x="8"/>
        <item x="15"/>
        <item x="3"/>
        <item x="21"/>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118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47"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1183">
      <pivotArea outline="0" collapsedLevelsAreSubtotals="1" fieldPosition="0"/>
    </format>
    <format dxfId="118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47"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87">
      <pivotArea field="0" type="button" dataOnly="0" labelOnly="1" outline="0" axis="axisPage" fieldPosition="0"/>
    </format>
    <format dxfId="1186">
      <pivotArea dataOnly="0" labelOnly="1" outline="0" fieldPosition="0">
        <references count="1">
          <reference field="0" count="0"/>
        </references>
      </pivotArea>
    </format>
    <format dxfId="1185">
      <pivotArea type="all" dataOnly="0" outline="0" fieldPosition="0"/>
    </format>
    <format dxfId="118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5" cacheId="4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91" firstHeaderRow="0" firstDataRow="1" firstDataCol="1" rowPageCount="2" colPageCount="1"/>
  <pivotFields count="31">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19"/>
  </rowFields>
  <rowItems count="7">
    <i>
      <x/>
    </i>
    <i r="1">
      <x/>
    </i>
    <i r="1">
      <x v="1"/>
    </i>
    <i>
      <x v="1"/>
    </i>
    <i r="1">
      <x/>
    </i>
    <i r="1">
      <x v="1"/>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3">
    <format dxfId="1210">
      <pivotArea type="all" dataOnly="0" outline="0" fieldPosition="0"/>
    </format>
    <format dxfId="1209">
      <pivotArea grandRow="1" outline="0" collapsedLevelsAreSubtotals="1" fieldPosition="0"/>
    </format>
    <format dxfId="1208">
      <pivotArea dataOnly="0" labelOnly="1" grandRow="1" outline="0" fieldPosition="0"/>
    </format>
    <format dxfId="1207">
      <pivotArea outline="0" collapsedLevelsAreSubtotals="1" fieldPosition="0"/>
    </format>
    <format dxfId="1206">
      <pivotArea dataOnly="0" labelOnly="1" fieldPosition="0">
        <references count="1">
          <reference field="0" count="0"/>
        </references>
      </pivotArea>
    </format>
    <format dxfId="1205">
      <pivotArea dataOnly="0" labelOnly="1" grandRow="1" outline="0" fieldPosition="0"/>
    </format>
    <format dxfId="1204">
      <pivotArea field="1" grandRow="1" outline="0" collapsedLevelsAreSubtotals="1" axis="axisRow" fieldPosition="0">
        <references count="1">
          <reference field="4294967294" count="1" selected="0">
            <x v="2"/>
          </reference>
        </references>
      </pivotArea>
    </format>
    <format dxfId="1203">
      <pivotArea field="0" type="button" dataOnly="0" labelOnly="1" outline="0" axis="axisPage" fieldPosition="0"/>
    </format>
    <format dxfId="1202">
      <pivotArea dataOnly="0" labelOnly="1" outline="0" fieldPosition="0">
        <references count="1">
          <reference field="0" count="0"/>
        </references>
      </pivotArea>
    </format>
    <format dxfId="1201">
      <pivotArea field="0" type="button" dataOnly="0" labelOnly="1" outline="0" axis="axisPage" fieldPosition="0"/>
    </format>
    <format dxfId="1200">
      <pivotArea dataOnly="0" labelOnly="1" outline="0" fieldPosition="0">
        <references count="1">
          <reference field="0" count="0"/>
        </references>
      </pivotArea>
    </format>
    <format dxfId="1199">
      <pivotArea collapsedLevelsAreSubtotals="1" fieldPosition="0">
        <references count="1">
          <reference field="1" count="1">
            <x v="0"/>
          </reference>
        </references>
      </pivotArea>
    </format>
    <format dxfId="1198">
      <pivotArea field="1" type="button" dataOnly="0" labelOnly="1" outline="0" axis="axisRow" fieldPosition="0"/>
    </format>
    <format dxfId="1197">
      <pivotArea dataOnly="0" labelOnly="1" fieldPosition="0">
        <references count="1">
          <reference field="1" count="1">
            <x v="0"/>
          </reference>
        </references>
      </pivotArea>
    </format>
    <format dxfId="1196">
      <pivotArea dataOnly="0" labelOnly="1" outline="0" fieldPosition="0">
        <references count="1">
          <reference field="4294967294" count="3">
            <x v="0"/>
            <x v="1"/>
            <x v="2"/>
          </reference>
        </references>
      </pivotArea>
    </format>
    <format dxfId="1195">
      <pivotArea type="all" dataOnly="0" outline="0" fieldPosition="0"/>
    </format>
    <format dxfId="1194">
      <pivotArea collapsedLevelsAreSubtotals="1" fieldPosition="0">
        <references count="3">
          <reference field="4294967294" count="1" selected="0">
            <x v="2"/>
          </reference>
          <reference field="1" count="1" selected="0">
            <x v="0"/>
          </reference>
          <reference field="19" count="1">
            <x v="1"/>
          </reference>
        </references>
      </pivotArea>
    </format>
    <format dxfId="1193">
      <pivotArea collapsedLevelsAreSubtotals="1" fieldPosition="0">
        <references count="2">
          <reference field="4294967294" count="1" selected="0">
            <x v="2"/>
          </reference>
          <reference field="1" count="1">
            <x v="1"/>
          </reference>
        </references>
      </pivotArea>
    </format>
    <format dxfId="1192">
      <pivotArea collapsedLevelsAreSubtotals="1" fieldPosition="0">
        <references count="3">
          <reference field="4294967294" count="1" selected="0">
            <x v="2"/>
          </reference>
          <reference field="1" count="1" selected="0">
            <x v="1"/>
          </reference>
          <reference field="19" count="1">
            <x v="0"/>
          </reference>
        </references>
      </pivotArea>
    </format>
    <format dxfId="1191">
      <pivotArea collapsedLevelsAreSubtotals="1" fieldPosition="0">
        <references count="3">
          <reference field="4294967294" count="1" selected="0">
            <x v="2"/>
          </reference>
          <reference field="1" count="1" selected="0">
            <x v="1"/>
          </reference>
          <reference field="19" count="1">
            <x v="1"/>
          </reference>
        </references>
      </pivotArea>
    </format>
    <format dxfId="1190">
      <pivotArea dataOnly="0" labelOnly="1" outline="0" fieldPosition="0">
        <references count="1">
          <reference field="4294967294" count="1">
            <x v="2"/>
          </reference>
        </references>
      </pivotArea>
    </format>
    <format dxfId="1189">
      <pivotArea dataOnly="0" labelOnly="1" outline="0" fieldPosition="0">
        <references count="1">
          <reference field="4294967294" count="1">
            <x v="1"/>
          </reference>
        </references>
      </pivotArea>
    </format>
    <format dxfId="1188">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67" firstHeaderRow="0" firstDataRow="1" firstDataCol="5" rowPageCount="1" colPageCount="1"/>
  <pivotFields count="31">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6"/>
        <item x="48"/>
        <item x="3"/>
        <item x="6"/>
        <item x="152"/>
        <item x="140"/>
        <item x="149"/>
        <item x="91"/>
        <item x="196"/>
        <item x="197"/>
        <item x="195"/>
        <item x="119"/>
        <item x="166"/>
        <item x="151"/>
        <item x="118"/>
        <item x="21"/>
        <item x="52"/>
        <item x="208"/>
        <item x="17"/>
        <item x="85"/>
        <item x="18"/>
        <item x="142"/>
        <item x="20"/>
        <item x="26"/>
        <item x="159"/>
        <item x="165"/>
        <item x="227"/>
        <item x="231"/>
        <item x="44"/>
        <item x="23"/>
        <item x="89"/>
        <item x="96"/>
        <item x="25"/>
        <item x="167"/>
        <item x="145"/>
        <item x="97"/>
        <item x="186"/>
        <item x="148"/>
        <item x="39"/>
        <item x="79"/>
        <item x="45"/>
        <item x="189"/>
        <item x="198"/>
        <item x="209"/>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69"/>
        <item x="13"/>
        <item x="128"/>
        <item x="7"/>
        <item x="193"/>
        <item x="194"/>
        <item x="63"/>
        <item x="178"/>
        <item x="94"/>
        <item x="163"/>
        <item x="129"/>
        <item x="130"/>
        <item x="134"/>
        <item x="122"/>
        <item x="58"/>
        <item x="220"/>
        <item x="225"/>
        <item x="55"/>
        <item x="95"/>
        <item x="93"/>
        <item x="100"/>
        <item x="103"/>
        <item x="104"/>
        <item x="98"/>
        <item x="105"/>
        <item x="102"/>
        <item x="40"/>
        <item x="47"/>
        <item x="111"/>
        <item x="87"/>
        <item x="84"/>
        <item x="83"/>
        <item x="49"/>
        <item x="86"/>
        <item x="157"/>
        <item x="50"/>
        <item x="57"/>
        <item x="101"/>
        <item x="90"/>
        <item x="228"/>
        <item x="183"/>
        <item x="216"/>
        <item x="238"/>
        <item x="184"/>
        <item x="156"/>
        <item x="235"/>
        <item x="237"/>
        <item x="51"/>
        <item x="14"/>
        <item x="61"/>
        <item x="136"/>
        <item x="212"/>
        <item x="211"/>
        <item x="239"/>
        <item x="56"/>
        <item x="206"/>
        <item x="54"/>
        <item x="221"/>
        <item x="99"/>
        <item x="218"/>
        <item x="187"/>
        <item x="190"/>
        <item x="137"/>
        <item x="53"/>
        <item x="222"/>
        <item x="226"/>
        <item x="241"/>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191"/>
        <item x="72"/>
        <item x="5"/>
        <item x="160"/>
        <item x="38"/>
        <item x="66"/>
        <item x="210"/>
        <item x="8"/>
        <item x="200"/>
        <item x="244"/>
        <item x="203"/>
        <item x="188"/>
        <item x="161"/>
        <item x="115"/>
        <item x="60"/>
        <item x="0"/>
        <item x="169"/>
        <item x="2"/>
        <item x="4"/>
        <item x="170"/>
        <item x="205"/>
        <item x="106"/>
        <item x="192"/>
        <item x="75"/>
        <item x="175"/>
        <item x="33"/>
        <item x="164"/>
        <item x="124"/>
        <item x="245"/>
        <item x="42"/>
        <item x="154"/>
        <item x="19"/>
        <item x="274"/>
        <item x="78"/>
        <item x="181"/>
        <item x="234"/>
        <item x="213"/>
        <item x="214"/>
        <item x="215"/>
        <item x="32"/>
        <item x="31"/>
        <item x="121"/>
        <item x="92"/>
        <item x="168"/>
        <item x="116"/>
        <item x="171"/>
        <item x="266"/>
        <item x="217"/>
        <item x="172"/>
        <item x="219"/>
        <item x="173"/>
        <item x="176"/>
        <item x="224"/>
        <item x="240"/>
        <item x="229"/>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 x="233"/>
        <item x="267"/>
      </items>
      <extLst>
        <ext xmlns:x14="http://schemas.microsoft.com/office/spreadsheetml/2009/9/main" uri="{2946ED86-A175-432a-8AC1-64E0C546D7DE}">
          <x14:pivotField fillDownLabels="1"/>
        </ext>
      </extLst>
    </pivotField>
    <pivotField name="CpPcode"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69"/>
        <item x="208"/>
        <item x="194"/>
        <item x="211"/>
        <item x="212"/>
        <item x="130"/>
        <item x="148"/>
        <item x="163"/>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extLst>
        <ext xmlns:x14="http://schemas.microsoft.com/office/spreadsheetml/2009/9/main" uri="{2946ED86-A175-432a-8AC1-64E0C546D7DE}">
          <x14:pivotField fillDownLabels="1"/>
        </ext>
      </extLst>
    </pivotField>
    <pivotField axis="axisRow" compact="0" outline="0" showAll="0" defaultSubtotal="0">
      <items count="203">
        <item x="29"/>
        <item x="124"/>
        <item x="17"/>
        <item x="101"/>
        <item x="132"/>
        <item x="74"/>
        <item x="85"/>
        <item x="77"/>
        <item x="78"/>
        <item x="149"/>
        <item x="79"/>
        <item x="30"/>
        <item x="25"/>
        <item x="6"/>
        <item x="46"/>
        <item x="50"/>
        <item x="120"/>
        <item x="104"/>
        <item x="91"/>
        <item x="3"/>
        <item x="96"/>
        <item x="20"/>
        <item x="130"/>
        <item x="122"/>
        <item x="125"/>
        <item x="127"/>
        <item x="126"/>
        <item x="121"/>
        <item x="76"/>
        <item x="190"/>
        <item x="133"/>
        <item x="86"/>
        <item x="147"/>
        <item x="62"/>
        <item x="151"/>
        <item x="72"/>
        <item x="69"/>
        <item x="73"/>
        <item x="177"/>
        <item x="172"/>
        <item x="113"/>
        <item x="179"/>
        <item x="43"/>
        <item x="114"/>
        <item x="129"/>
        <item x="117"/>
        <item x="40"/>
        <item x="48"/>
        <item x="42"/>
        <item x="45"/>
        <item x="161"/>
        <item x="33"/>
        <item x="201"/>
        <item x="110"/>
        <item x="146"/>
        <item x="39"/>
        <item x="44"/>
        <item x="51"/>
        <item x="142"/>
        <item x="108"/>
        <item x="59"/>
        <item x="105"/>
        <item x="148"/>
        <item x="47"/>
        <item x="80"/>
        <item x="54"/>
        <item x="53"/>
        <item x="55"/>
        <item x="144"/>
        <item x="15"/>
        <item x="14"/>
        <item x="2"/>
        <item x="90"/>
        <item x="4"/>
        <item x="9"/>
        <item x="0"/>
        <item x="135"/>
        <item x="1"/>
        <item x="178"/>
        <item x="5"/>
        <item x="11"/>
        <item x="19"/>
        <item x="174"/>
        <item x="23"/>
        <item x="10"/>
        <item x="57"/>
        <item x="12"/>
        <item x="60"/>
        <item x="13"/>
        <item x="71"/>
        <item x="56"/>
        <item x="128"/>
        <item x="7"/>
        <item x="8"/>
        <item x="31"/>
        <item x="34"/>
        <item x="136"/>
        <item x="61"/>
        <item x="123"/>
        <item x="35"/>
        <item x="115"/>
        <item x="36"/>
        <item x="118"/>
        <item x="100"/>
        <item x="32"/>
        <item x="22"/>
        <item x="92"/>
        <item x="141"/>
        <item x="24"/>
        <item x="26"/>
        <item x="155"/>
        <item x="191"/>
        <item x="99"/>
        <item x="98"/>
        <item x="164"/>
        <item x="94"/>
        <item x="154"/>
        <item x="75"/>
        <item x="107"/>
        <item x="106"/>
        <item x="158"/>
        <item x="112"/>
        <item x="159"/>
        <item x="111"/>
        <item x="84"/>
        <item x="131"/>
        <item x="150"/>
        <item x="163"/>
        <item x="49"/>
        <item x="58"/>
        <item x="109"/>
        <item x="165"/>
        <item x="52"/>
        <item x="162"/>
        <item x="166"/>
        <item x="186"/>
        <item x="188"/>
        <item x="68"/>
        <item x="157"/>
        <item x="97"/>
        <item x="63"/>
        <item x="66"/>
        <item x="67"/>
        <item x="64"/>
        <item x="83"/>
        <item x="160"/>
        <item x="93"/>
        <item x="181"/>
        <item x="81"/>
        <item x="171"/>
        <item x="182"/>
        <item x="95"/>
        <item x="140"/>
        <item x="183"/>
        <item x="184"/>
        <item x="21"/>
        <item x="180"/>
        <item x="145"/>
        <item x="119"/>
        <item x="37"/>
        <item x="82"/>
        <item x="153"/>
        <item x="87"/>
        <item x="88"/>
        <item x="70"/>
        <item x="152"/>
        <item x="170"/>
        <item x="89"/>
        <item x="175"/>
        <item x="41"/>
        <item x="38"/>
        <item x="27"/>
        <item x="168"/>
        <item x="169"/>
        <item x="65"/>
        <item x="18"/>
        <item x="28"/>
        <item x="116"/>
        <item x="156"/>
        <item x="103"/>
        <item x="137"/>
        <item x="199"/>
        <item x="139"/>
        <item x="143"/>
        <item x="176"/>
        <item x="187"/>
        <item x="167"/>
        <item x="200"/>
        <item x="193"/>
        <item x="192"/>
        <item x="196"/>
        <item x="185"/>
        <item x="189"/>
        <item x="138"/>
        <item x="195"/>
        <item x="102"/>
        <item x="134"/>
        <item x="194"/>
        <item x="197"/>
        <item x="202"/>
        <item x="16"/>
        <item x="198"/>
        <item x="17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2"/>
        <item x="1"/>
        <item x="4"/>
        <item x="6"/>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64">
    <i>
      <x v="2"/>
      <x v="136"/>
      <x v="200"/>
      <x/>
      <x v="2"/>
    </i>
    <i>
      <x v="3"/>
      <x v="47"/>
      <x v="49"/>
      <x/>
      <x v="1"/>
    </i>
    <i>
      <x v="4"/>
      <x v="144"/>
      <x v="19"/>
      <x/>
      <x v="3"/>
    </i>
    <i>
      <x v="5"/>
      <x v="157"/>
      <x v="13"/>
      <x/>
      <x v="3"/>
    </i>
    <i>
      <x v="7"/>
      <x v="161"/>
      <x v="53"/>
      <x/>
      <x/>
    </i>
    <i>
      <x v="13"/>
      <x v="137"/>
      <x v="20"/>
      <x/>
      <x/>
    </i>
    <i>
      <x v="17"/>
      <x v="106"/>
      <x v="155"/>
      <x v="1"/>
      <x v="2"/>
    </i>
    <i>
      <x v="18"/>
      <x v="119"/>
      <x v="128"/>
      <x v="1"/>
      <x v="1"/>
    </i>
    <i>
      <x v="20"/>
      <x v="103"/>
      <x v="2"/>
      <x/>
      <x v="6"/>
    </i>
    <i>
      <x v="22"/>
      <x v="39"/>
      <x v="175"/>
      <x/>
      <x v="3"/>
    </i>
    <i>
      <x v="24"/>
      <x v="142"/>
      <x v="21"/>
      <x/>
      <x v="3"/>
    </i>
    <i>
      <x v="25"/>
      <x v="116"/>
      <x v="109"/>
      <x v="1"/>
      <x v="2"/>
    </i>
    <i>
      <x v="31"/>
      <x v="25"/>
      <x v="83"/>
      <x/>
      <x v="3"/>
    </i>
    <i>
      <x v="32"/>
      <x v="108"/>
      <x v="148"/>
      <x v="1"/>
      <x/>
    </i>
    <i>
      <x v="33"/>
      <x v="129"/>
      <x v="31"/>
      <x/>
      <x/>
    </i>
    <i>
      <x v="34"/>
      <x v="158"/>
      <x v="12"/>
      <x/>
      <x v="6"/>
    </i>
    <i>
      <x v="36"/>
      <x v="134"/>
      <x v="45"/>
      <x/>
      <x v="4"/>
    </i>
    <i r="1">
      <x v="163"/>
      <x v="58"/>
      <x/>
      <x v="4"/>
    </i>
    <i r="1">
      <x v="164"/>
      <x v="68"/>
      <x/>
      <x v="4"/>
    </i>
    <i>
      <x v="38"/>
      <x v="214"/>
      <x v="161"/>
      <x/>
      <x v="4"/>
    </i>
    <i>
      <x v="39"/>
      <x v="194"/>
      <x v="7"/>
      <x/>
      <x/>
    </i>
    <i>
      <x v="40"/>
      <x v="40"/>
      <x v="170"/>
      <x v="1"/>
      <x/>
    </i>
    <i>
      <x v="41"/>
      <x v="115"/>
      <x v="117"/>
      <x v="1"/>
      <x v="2"/>
    </i>
    <i>
      <x v="42"/>
      <x v="49"/>
      <x v="48"/>
      <x/>
      <x/>
    </i>
    <i>
      <x v="43"/>
      <x v="173"/>
      <x v="110"/>
      <x v="1"/>
      <x v="4"/>
    </i>
    <i>
      <x v="45"/>
      <x v="192"/>
      <x v="114"/>
      <x/>
      <x v="4"/>
    </i>
    <i>
      <x v="46"/>
      <x v="15"/>
      <x v="69"/>
      <x/>
      <x/>
    </i>
    <i>
      <x v="47"/>
      <x v="16"/>
      <x v="72"/>
      <x/>
      <x v="2"/>
    </i>
    <i>
      <x v="48"/>
      <x v="114"/>
      <x v="115"/>
      <x v="1"/>
      <x v="2"/>
    </i>
    <i>
      <x v="50"/>
      <x v="167"/>
      <x v="62"/>
      <x/>
      <x v="4"/>
    </i>
    <i>
      <x v="52"/>
      <x v="209"/>
      <x v="156"/>
      <x/>
      <x/>
    </i>
    <i>
      <x v="53"/>
      <x v="210"/>
      <x v="157"/>
      <x/>
      <x v="5"/>
    </i>
    <i>
      <x v="54"/>
      <x v="10"/>
      <x v="84"/>
      <x/>
      <x/>
    </i>
    <i>
      <x v="55"/>
      <x v="74"/>
      <x v="35"/>
      <x/>
      <x/>
    </i>
    <i>
      <x v="59"/>
      <x v="118"/>
      <x v="129"/>
      <x v="1"/>
      <x v="1"/>
    </i>
    <i>
      <x v="60"/>
      <x v="128"/>
      <x v="171"/>
      <x/>
      <x v="4"/>
    </i>
    <i>
      <x v="62"/>
      <x v="12"/>
      <x v="86"/>
      <x/>
      <x/>
    </i>
    <i>
      <x v="63"/>
      <x v="11"/>
      <x v="80"/>
      <x/>
      <x/>
    </i>
    <i>
      <x v="64"/>
      <x v="162"/>
      <x v="176"/>
      <x/>
      <x v="3"/>
    </i>
    <i>
      <x v="65"/>
      <x v="149"/>
      <x/>
      <x/>
      <x v="3"/>
    </i>
    <i>
      <x v="66"/>
      <x v="135"/>
      <x v="11"/>
      <x/>
      <x v="3"/>
    </i>
    <i>
      <x v="67"/>
      <x v="46"/>
      <x v="51"/>
      <x/>
      <x v="3"/>
    </i>
    <i>
      <x v="68"/>
      <x v="68"/>
      <x v="141"/>
      <x/>
      <x/>
    </i>
    <i>
      <x v="69"/>
      <x v="66"/>
      <x v="143"/>
      <x/>
      <x v="1"/>
    </i>
    <i>
      <x v="70"/>
      <x v="67"/>
      <x v="140"/>
      <x/>
      <x/>
    </i>
    <i>
      <x v="74"/>
      <x v="24"/>
      <x v="108"/>
      <x/>
      <x/>
    </i>
    <i>
      <x v="75"/>
      <x v="112"/>
      <x v="139"/>
      <x v="1"/>
      <x v="2"/>
    </i>
    <i>
      <x v="77"/>
      <x v="28"/>
      <x v="99"/>
      <x/>
      <x v="3"/>
    </i>
    <i>
      <x v="78"/>
      <x v="26"/>
      <x v="103"/>
      <x/>
      <x v="2"/>
    </i>
    <i>
      <x v="79"/>
      <x v="37"/>
      <x v="101"/>
      <x/>
      <x/>
    </i>
    <i>
      <x v="80"/>
      <x v="36"/>
      <x v="95"/>
      <x/>
      <x/>
    </i>
    <i>
      <x v="81"/>
      <x v="183"/>
      <x v="43"/>
      <x/>
      <x/>
    </i>
    <i>
      <x v="82"/>
      <x v="188"/>
      <x v="174"/>
      <x/>
      <x v="1"/>
    </i>
    <i>
      <x v="83"/>
      <x v="13"/>
      <x v="88"/>
      <x/>
      <x/>
    </i>
    <i>
      <x v="84"/>
      <x v="59"/>
      <x v="61"/>
      <x/>
      <x v="1"/>
    </i>
    <i>
      <x v="85"/>
      <x v="7"/>
      <x v="92"/>
      <x/>
      <x/>
    </i>
    <i>
      <x v="90"/>
      <x v="122"/>
      <x v="124"/>
      <x/>
      <x/>
    </i>
    <i>
      <x v="91"/>
      <x v="195"/>
      <x v="125"/>
      <x/>
      <x/>
    </i>
    <i>
      <x v="92"/>
      <x v="121"/>
      <x v="119"/>
      <x/>
      <x v="1"/>
    </i>
    <i>
      <x v="93"/>
      <x v="193"/>
      <x v="118"/>
      <x/>
      <x v="1"/>
    </i>
    <i>
      <x v="94"/>
      <x v="123"/>
      <x v="123"/>
      <x/>
      <x v="4"/>
    </i>
    <i>
      <x v="97"/>
      <x v="203"/>
      <x v="39"/>
      <x/>
      <x/>
    </i>
    <i>
      <x v="98"/>
      <x v="218"/>
      <x v="38"/>
      <x/>
      <x v="5"/>
    </i>
    <i>
      <x v="99"/>
      <x v="63"/>
      <x v="57"/>
      <x/>
      <x/>
    </i>
    <i>
      <x v="108"/>
      <x v="17"/>
      <x v="55"/>
      <x/>
      <x v="3"/>
    </i>
    <i>
      <x v="109"/>
      <x v="18"/>
      <x v="56"/>
      <x/>
      <x v="3"/>
    </i>
    <i>
      <x v="114"/>
      <x v="85"/>
      <x v="14"/>
      <x/>
      <x v="6"/>
    </i>
    <i>
      <x v="117"/>
      <x v="53"/>
      <x v="63"/>
      <x/>
      <x/>
    </i>
    <i>
      <x v="123"/>
      <x v="201"/>
      <x v="166"/>
      <x/>
      <x/>
    </i>
    <i>
      <x v="124"/>
      <x v="226"/>
      <x v="191"/>
      <x/>
      <x v="5"/>
    </i>
    <i>
      <x v="127"/>
      <x v="222"/>
      <x v="153"/>
      <x/>
      <x/>
    </i>
    <i>
      <x v="128"/>
      <x v="225"/>
      <x v="154"/>
      <x/>
      <x v="5"/>
    </i>
    <i>
      <x v="129"/>
      <x v="48"/>
      <x v="47"/>
      <x/>
      <x v="3"/>
    </i>
    <i>
      <x v="131"/>
      <x v="58"/>
      <x v="85"/>
      <x/>
      <x v="4"/>
    </i>
    <i>
      <x v="133"/>
      <x v="199"/>
      <x v="134"/>
      <x/>
      <x/>
    </i>
    <i>
      <x v="134"/>
      <x v="196"/>
      <x v="131"/>
      <x/>
      <x/>
    </i>
    <i>
      <x v="135"/>
      <x v="223"/>
      <x v="135"/>
      <x/>
      <x/>
    </i>
    <i>
      <x v="136"/>
      <x v="198"/>
      <x v="132"/>
      <x/>
      <x v="5"/>
    </i>
    <i>
      <x v="141"/>
      <x v="202"/>
      <x v="149"/>
      <x/>
      <x/>
    </i>
    <i>
      <x v="145"/>
      <x v="159"/>
      <x v="15"/>
      <x/>
      <x v="6"/>
    </i>
    <i>
      <x v="146"/>
      <x v="207"/>
      <x v="82"/>
      <x/>
      <x/>
    </i>
    <i>
      <x v="148"/>
      <x v="224"/>
      <x v="136"/>
      <x/>
      <x/>
    </i>
    <i>
      <x v="149"/>
      <x v="21"/>
      <x v="179"/>
      <x/>
      <x v="2"/>
    </i>
    <i>
      <x v="150"/>
      <x v="51"/>
      <x v="59"/>
      <x/>
      <x v="1"/>
    </i>
    <i>
      <x v="151"/>
      <x v="97"/>
      <x v="17"/>
      <x/>
      <x v="2"/>
    </i>
    <i>
      <x v="153"/>
      <x v="217"/>
      <x v="168"/>
      <x v="1"/>
      <x v="4"/>
    </i>
    <i>
      <x v="154"/>
      <x v="75"/>
      <x v="37"/>
      <x/>
      <x/>
    </i>
    <i>
      <x v="156"/>
      <x v="30"/>
      <x v="64"/>
      <x/>
      <x v="3"/>
    </i>
    <i>
      <x v="157"/>
      <x v="130"/>
      <x v="28"/>
      <x/>
      <x/>
    </i>
    <i>
      <x v="160"/>
      <x v="120"/>
      <x v="130"/>
      <x v="1"/>
      <x v="1"/>
    </i>
    <i>
      <x v="162"/>
      <x v="1"/>
      <x v="77"/>
      <x/>
      <x/>
    </i>
    <i>
      <x v="163"/>
      <x v="69"/>
      <x v="142"/>
      <x/>
      <x/>
    </i>
    <i>
      <x v="164"/>
      <x v="133"/>
      <x v="100"/>
      <x/>
      <x v="2"/>
    </i>
    <i>
      <x v="165"/>
      <x v="117"/>
      <x v="145"/>
      <x v="1"/>
      <x v="1"/>
    </i>
    <i>
      <x v="166"/>
      <x v="175"/>
      <x v="177"/>
      <x/>
      <x v="2"/>
    </i>
    <i>
      <x v="168"/>
      <x v="160"/>
      <x v="53"/>
      <x/>
      <x/>
    </i>
    <i>
      <x v="170"/>
      <x v="132"/>
      <x v="158"/>
      <x v="1"/>
      <x v="2"/>
    </i>
    <i>
      <x v="171"/>
      <x v="29"/>
      <x v="106"/>
      <x/>
      <x v="3"/>
    </i>
    <i>
      <x v="172"/>
      <x v="22"/>
      <x v="105"/>
      <x/>
      <x/>
    </i>
    <i>
      <x v="173"/>
      <x v="27"/>
      <x v="102"/>
      <x/>
      <x v="3"/>
    </i>
    <i>
      <x v="174"/>
      <x v="23"/>
      <x v="98"/>
      <x/>
      <x v="3"/>
    </i>
    <i>
      <x v="175"/>
      <x v="150"/>
      <x v="1"/>
      <x/>
      <x v="6"/>
    </i>
    <i>
      <x v="176"/>
      <x v="44"/>
      <x v="46"/>
      <x/>
      <x/>
    </i>
    <i>
      <x v="180"/>
      <x v="190"/>
      <x v="178"/>
      <x/>
      <x v="2"/>
    </i>
    <i>
      <x v="181"/>
      <x v="70"/>
      <x v="137"/>
      <x/>
      <x/>
    </i>
    <i>
      <x v="182"/>
      <x v="5"/>
      <x v="79"/>
      <x/>
      <x/>
    </i>
    <i>
      <x v="183"/>
      <x v="6"/>
      <x v="91"/>
      <x/>
      <x v="3"/>
    </i>
    <i>
      <x v="184"/>
      <x v="38"/>
      <x v="159"/>
      <x/>
      <x/>
    </i>
    <i>
      <x v="185"/>
      <x v="64"/>
      <x v="33"/>
      <x/>
      <x/>
    </i>
    <i>
      <x v="186"/>
      <x v="65"/>
      <x v="33"/>
      <x/>
      <x v="1"/>
    </i>
    <i>
      <x v="187"/>
      <x v="8"/>
      <x v="93"/>
      <x/>
      <x/>
    </i>
    <i>
      <x v="189"/>
      <x v="76"/>
      <x v="29"/>
      <x/>
      <x v="2"/>
    </i>
    <i>
      <x v="191"/>
      <x v="172"/>
      <x v="116"/>
      <x/>
      <x v="4"/>
    </i>
    <i>
      <x v="192"/>
      <x v="52"/>
      <x v="44"/>
      <x/>
      <x v="3"/>
    </i>
    <i>
      <x v="195"/>
      <x/>
      <x v="75"/>
      <x/>
      <x/>
    </i>
    <i>
      <x v="196"/>
      <x v="3"/>
      <x v="76"/>
      <x/>
      <x v="6"/>
    </i>
    <i>
      <x v="197"/>
      <x v="2"/>
      <x v="71"/>
      <x/>
      <x/>
    </i>
    <i>
      <x v="198"/>
      <x v="4"/>
      <x v="73"/>
      <x/>
      <x/>
    </i>
    <i>
      <x v="199"/>
      <x v="34"/>
      <x v="96"/>
      <x/>
      <x v="3"/>
    </i>
    <i>
      <x v="203"/>
      <x v="72"/>
      <x v="89"/>
      <x/>
      <x v="4"/>
    </i>
    <i>
      <x v="204"/>
      <x v="35"/>
      <x v="107"/>
      <x/>
      <x v="3"/>
    </i>
    <i>
      <x v="207"/>
      <x v="152"/>
      <x v="3"/>
      <x/>
      <x/>
    </i>
    <i>
      <x v="208"/>
      <x v="109"/>
      <x v="111"/>
      <x v="1"/>
      <x v="2"/>
    </i>
    <i>
      <x v="212"/>
      <x v="50"/>
      <x v="52"/>
      <x/>
      <x v="3"/>
    </i>
    <i>
      <x v="213"/>
      <x v="99"/>
      <x v="5"/>
      <x/>
      <x/>
    </i>
    <i>
      <x v="215"/>
      <x v="213"/>
      <x v="150"/>
      <x/>
      <x/>
    </i>
    <i>
      <x v="217"/>
      <x v="228"/>
      <x v="172"/>
      <x/>
      <x v="4"/>
    </i>
    <i>
      <x v="218"/>
      <x v="229"/>
      <x v="173"/>
      <x/>
      <x v="4"/>
    </i>
    <i>
      <x v="222"/>
      <x v="113"/>
      <x v="144"/>
      <x v="1"/>
      <x/>
    </i>
    <i>
      <x v="223"/>
      <x v="20"/>
      <x v="196"/>
      <x/>
      <x v="3"/>
    </i>
    <i>
      <x v="225"/>
      <x v="231"/>
      <x v="180"/>
      <x/>
      <x/>
    </i>
    <i>
      <x v="226"/>
      <x v="230"/>
      <x v="181"/>
      <x/>
      <x/>
    </i>
    <i>
      <x v="228"/>
      <x v="233"/>
      <x v="193"/>
      <x/>
      <x/>
    </i>
    <i>
      <x v="230"/>
      <x v="235"/>
      <x v="182"/>
      <x v="1"/>
      <x/>
    </i>
    <i>
      <x v="231"/>
      <x v="236"/>
      <x v="183"/>
      <x v="1"/>
      <x/>
    </i>
    <i>
      <x v="233"/>
      <x v="238"/>
      <x v="185"/>
      <x/>
      <x v="4"/>
    </i>
    <i>
      <x v="236"/>
      <x v="245"/>
      <x v="188"/>
      <x/>
      <x v="4"/>
    </i>
    <i>
      <x v="237"/>
      <x v="242"/>
      <x v="192"/>
      <x/>
      <x v="4"/>
    </i>
    <i>
      <x v="238"/>
      <x v="243"/>
      <x v="171"/>
      <x/>
      <x v="4"/>
    </i>
    <i>
      <x v="240"/>
      <x v="248"/>
      <x v="190"/>
      <x/>
      <x v="4"/>
    </i>
    <i>
      <x v="242"/>
      <x v="250"/>
      <x v="195"/>
      <x/>
      <x/>
    </i>
    <i>
      <x v="244"/>
      <x v="252"/>
      <x v="195"/>
      <x/>
      <x v="6"/>
    </i>
    <i>
      <x v="245"/>
      <x v="253"/>
      <x v="195"/>
      <x/>
      <x v="2"/>
    </i>
    <i>
      <x v="250"/>
      <x v="258"/>
      <x v="171"/>
      <x/>
      <x v="5"/>
    </i>
    <i>
      <x v="262"/>
      <x v="270"/>
      <x v="199"/>
      <x/>
      <x v="4"/>
    </i>
    <i>
      <x v="263"/>
      <x v="271"/>
      <x v="157"/>
      <x/>
      <x/>
    </i>
    <i>
      <x v="264"/>
      <x v="272"/>
      <x v="171"/>
      <x/>
      <x v="4"/>
    </i>
    <i>
      <x v="265"/>
      <x v="273"/>
      <x v="161"/>
      <x/>
      <x/>
    </i>
    <i>
      <x v="266"/>
      <x v="274"/>
      <x v="201"/>
      <x/>
      <x v="4"/>
    </i>
    <i>
      <x v="267"/>
      <x v="275"/>
      <x v="171"/>
      <x v="1"/>
      <x/>
    </i>
    <i>
      <x v="268"/>
      <x v="276"/>
      <x v="171"/>
      <x/>
      <x/>
    </i>
    <i>
      <x v="269"/>
      <x v="277"/>
      <x v="198"/>
      <x/>
      <x v="5"/>
    </i>
    <i>
      <x v="270"/>
      <x v="279"/>
      <x v="171"/>
      <x/>
      <x v="4"/>
    </i>
    <i>
      <x v="271"/>
      <x v="280"/>
      <x v="171"/>
      <x/>
      <x v="4"/>
    </i>
    <i>
      <x v="272"/>
      <x v="281"/>
      <x v="171"/>
      <x/>
      <x v="4"/>
    </i>
    <i>
      <x v="273"/>
      <x v="278"/>
      <x v="171"/>
      <x/>
      <x v="4"/>
    </i>
    <i>
      <x v="274"/>
      <x v="9"/>
      <x v="74"/>
      <x/>
      <x/>
    </i>
    <i>
      <x v="275"/>
      <x v="283"/>
      <x v="171"/>
      <x/>
      <x v="6"/>
    </i>
    <i>
      <x v="276"/>
      <x v="73"/>
      <x v="36"/>
      <x/>
      <x/>
    </i>
    <i>
      <x v="279"/>
      <x v="286"/>
      <x v="171"/>
      <x/>
      <x v="4"/>
    </i>
    <i>
      <x v="280"/>
      <x v="285"/>
      <x v="171"/>
      <x/>
      <x v="4"/>
    </i>
    <i>
      <x v="281"/>
      <x v="246"/>
      <x v="197"/>
      <x/>
      <x v="5"/>
    </i>
    <i>
      <x v="282"/>
      <x v="211"/>
      <x v="147"/>
      <x/>
      <x/>
    </i>
    <i>
      <x v="283"/>
      <x v="241"/>
      <x v="187"/>
      <x/>
      <x/>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47"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96" firstHeaderRow="0" firstDataRow="1" firstDataCol="6" rowPageCount="2" colPageCount="1"/>
  <pivotFields count="31">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5"/>
        <item x="2"/>
        <item x="1"/>
        <item x="20"/>
        <item x="14"/>
        <item x="10"/>
        <item x="16"/>
        <item x="17"/>
        <item x="6"/>
        <item x="18"/>
        <item x="9"/>
        <item x="12"/>
        <item x="4"/>
        <item x="13"/>
        <item x="0"/>
        <item x="7"/>
        <item x="19"/>
        <item x="11"/>
        <item x="8"/>
        <item x="15"/>
        <item x="3"/>
        <item x="22"/>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84">
        <item x="150"/>
        <item x="158"/>
        <item x="16"/>
        <item x="48"/>
        <item x="3"/>
        <item x="6"/>
        <item x="152"/>
        <item x="140"/>
        <item x="149"/>
        <item x="91"/>
        <item x="196"/>
        <item x="197"/>
        <item x="195"/>
        <item x="119"/>
        <item x="166"/>
        <item x="151"/>
        <item x="118"/>
        <item x="21"/>
        <item x="52"/>
        <item x="17"/>
        <item x="85"/>
        <item x="18"/>
        <item x="142"/>
        <item x="20"/>
        <item x="26"/>
        <item x="159"/>
        <item x="165"/>
        <item x="227"/>
        <item x="231"/>
        <item x="44"/>
        <item x="23"/>
        <item x="89"/>
        <item x="96"/>
        <item x="25"/>
        <item x="167"/>
        <item x="145"/>
        <item x="97"/>
        <item x="186"/>
        <item x="39"/>
        <item x="79"/>
        <item x="45"/>
        <item x="189"/>
        <item x="198"/>
        <item x="15"/>
        <item x="108"/>
        <item x="117"/>
        <item x="46"/>
        <item x="180"/>
        <item x="174"/>
        <item x="232"/>
        <item x="177"/>
        <item x="10"/>
        <item x="76"/>
        <item x="74"/>
        <item x="182"/>
        <item x="43"/>
        <item x="62"/>
        <item x="139"/>
        <item x="138"/>
        <item x="12"/>
        <item x="11"/>
        <item x="28"/>
        <item x="29"/>
        <item x="30"/>
        <item x="34"/>
        <item x="70"/>
        <item x="68"/>
        <item x="67"/>
        <item x="135"/>
        <item x="112"/>
        <item x="202"/>
        <item x="24"/>
        <item x="120"/>
        <item x="64"/>
        <item x="36"/>
        <item x="123"/>
        <item x="37"/>
        <item x="35"/>
        <item x="141"/>
        <item x="13"/>
        <item x="128"/>
        <item x="7"/>
        <item x="193"/>
        <item x="194"/>
        <item x="63"/>
        <item x="178"/>
        <item x="94"/>
        <item x="129"/>
        <item x="134"/>
        <item x="122"/>
        <item x="58"/>
        <item x="220"/>
        <item x="225"/>
        <item x="55"/>
        <item x="95"/>
        <item x="93"/>
        <item x="100"/>
        <item x="103"/>
        <item x="104"/>
        <item x="98"/>
        <item x="105"/>
        <item x="102"/>
        <item x="40"/>
        <item x="47"/>
        <item x="111"/>
        <item x="87"/>
        <item x="84"/>
        <item x="83"/>
        <item x="49"/>
        <item x="86"/>
        <item x="157"/>
        <item x="50"/>
        <item x="57"/>
        <item x="101"/>
        <item x="90"/>
        <item x="228"/>
        <item x="183"/>
        <item x="216"/>
        <item x="184"/>
        <item x="156"/>
        <item x="51"/>
        <item x="14"/>
        <item x="61"/>
        <item x="136"/>
        <item x="212"/>
        <item x="211"/>
        <item x="56"/>
        <item x="206"/>
        <item x="54"/>
        <item x="221"/>
        <item x="99"/>
        <item x="218"/>
        <item x="187"/>
        <item x="190"/>
        <item x="137"/>
        <item x="53"/>
        <item x="222"/>
        <item x="226"/>
        <item x="126"/>
        <item x="131"/>
        <item x="127"/>
        <item x="80"/>
        <item x="223"/>
        <item x="77"/>
        <item x="201"/>
        <item x="88"/>
        <item x="110"/>
        <item x="81"/>
        <item x="82"/>
        <item x="132"/>
        <item x="59"/>
        <item x="1"/>
        <item x="71"/>
        <item x="143"/>
        <item x="204"/>
        <item x="144"/>
        <item x="107"/>
        <item x="133"/>
        <item x="65"/>
        <item x="147"/>
        <item x="114"/>
        <item x="22"/>
        <item x="146"/>
        <item x="153"/>
        <item x="155"/>
        <item x="41"/>
        <item x="113"/>
        <item x="162"/>
        <item x="109"/>
        <item x="72"/>
        <item x="5"/>
        <item x="160"/>
        <item x="38"/>
        <item x="66"/>
        <item x="210"/>
        <item x="8"/>
        <item x="200"/>
        <item x="244"/>
        <item x="203"/>
        <item x="188"/>
        <item x="161"/>
        <item x="115"/>
        <item x="60"/>
        <item x="0"/>
        <item x="169"/>
        <item x="2"/>
        <item x="4"/>
        <item x="170"/>
        <item x="106"/>
        <item x="192"/>
        <item x="75"/>
        <item x="175"/>
        <item x="33"/>
        <item x="164"/>
        <item x="124"/>
        <item x="245"/>
        <item x="42"/>
        <item x="154"/>
        <item x="19"/>
        <item x="274"/>
        <item x="78"/>
        <item x="181"/>
        <item x="234"/>
        <item x="69"/>
        <item x="191"/>
        <item x="205"/>
        <item x="208"/>
        <item x="209"/>
        <item x="235"/>
        <item x="239"/>
        <item x="130"/>
        <item x="237"/>
        <item x="148"/>
        <item x="241"/>
        <item x="163"/>
        <item x="238"/>
        <item x="213"/>
        <item x="214"/>
        <item x="215"/>
        <item x="32"/>
        <item x="31"/>
        <item x="121"/>
        <item x="92"/>
        <item x="168"/>
        <item x="116"/>
        <item x="171"/>
        <item x="266"/>
        <item x="217"/>
        <item x="172"/>
        <item x="219"/>
        <item x="173"/>
        <item x="176"/>
        <item x="224"/>
        <item x="240"/>
        <item x="229"/>
        <item x="246"/>
        <item x="247"/>
        <item x="242"/>
        <item x="243"/>
        <item x="249"/>
        <item x="250"/>
        <item x="230"/>
        <item x="179"/>
        <item x="236"/>
        <item x="207"/>
        <item x="125"/>
        <item x="251"/>
        <item x="252"/>
        <item x="253"/>
        <item x="254"/>
        <item x="255"/>
        <item x="256"/>
        <item x="257"/>
        <item x="258"/>
        <item x="259"/>
        <item x="260"/>
        <item x="262"/>
        <item x="263"/>
        <item x="264"/>
        <item x="265"/>
        <item x="272"/>
        <item x="277"/>
        <item x="278"/>
        <item x="279"/>
        <item x="280"/>
        <item x="281"/>
        <item x="261"/>
        <item x="185"/>
        <item x="199"/>
        <item x="283"/>
        <item x="269"/>
        <item x="270"/>
        <item x="271"/>
        <item x="268"/>
        <item x="9"/>
        <item x="27"/>
        <item x="73"/>
        <item x="273"/>
        <item x="275"/>
        <item x="282"/>
        <item x="276"/>
        <item x="248"/>
        <item x="233"/>
        <item x="267"/>
      </items>
    </pivotField>
    <pivotField axis="axisRow" compact="0" outline="0" showAll="0" defaultSubtotal="0">
      <items count="287">
        <item x="0"/>
        <item x="1"/>
        <item x="2"/>
        <item x="169"/>
        <item x="4"/>
        <item x="5"/>
        <item x="160"/>
        <item x="7"/>
        <item x="8"/>
        <item x="9"/>
        <item x="10"/>
        <item x="11"/>
        <item x="12"/>
        <item x="13"/>
        <item x="14"/>
        <item x="15"/>
        <item x="108"/>
        <item x="40"/>
        <item x="47"/>
        <item x="19"/>
        <item x="168"/>
        <item x="126"/>
        <item x="22"/>
        <item x="153"/>
        <item x="24"/>
        <item x="23"/>
        <item x="123"/>
        <item x="146"/>
        <item x="36"/>
        <item x="114"/>
        <item x="88"/>
        <item x="31"/>
        <item x="32"/>
        <item x="33"/>
        <item x="170"/>
        <item x="175"/>
        <item x="35"/>
        <item x="37"/>
        <item x="38"/>
        <item x="18"/>
        <item x="39"/>
        <item x="42"/>
        <item x="43"/>
        <item x="44"/>
        <item x="41"/>
        <item x="46"/>
        <item x="34"/>
        <item x="48"/>
        <item x="51"/>
        <item x="45"/>
        <item x="277"/>
        <item x="131"/>
        <item x="161"/>
        <item x="50"/>
        <item x="57"/>
        <item x="58"/>
        <item x="59"/>
        <item x="60"/>
        <item x="61"/>
        <item x="128"/>
        <item x="63"/>
        <item x="64"/>
        <item x="65"/>
        <item x="55"/>
        <item x="66"/>
        <item x="213"/>
        <item x="68"/>
        <item x="67"/>
        <item x="70"/>
        <item x="71"/>
        <item x="72"/>
        <item x="74"/>
        <item x="75"/>
        <item x="73"/>
        <item x="76"/>
        <item x="77"/>
        <item x="247"/>
        <item x="80"/>
        <item x="81"/>
        <item x="82"/>
        <item x="83"/>
        <item x="84"/>
        <item x="85"/>
        <item x="86"/>
        <item x="87"/>
        <item x="49"/>
        <item x="91"/>
        <item x="93"/>
        <item x="95"/>
        <item x="98"/>
        <item x="100"/>
        <item x="102"/>
        <item x="103"/>
        <item x="104"/>
        <item x="105"/>
        <item x="106"/>
        <item x="107"/>
        <item x="127"/>
        <item x="109"/>
        <item x="78"/>
        <item x="111"/>
        <item x="112"/>
        <item x="113"/>
        <item x="17"/>
        <item x="115"/>
        <item x="116"/>
        <item x="21"/>
        <item x="118"/>
        <item x="89"/>
        <item x="248"/>
        <item x="121"/>
        <item x="122"/>
        <item x="120"/>
        <item x="92"/>
        <item x="117"/>
        <item x="79"/>
        <item x="26"/>
        <item x="207"/>
        <item x="62"/>
        <item x="52"/>
        <item x="132"/>
        <item x="129"/>
        <item x="94"/>
        <item x="134"/>
        <item x="135"/>
        <item x="136"/>
        <item x="137"/>
        <item x="138"/>
        <item x="139"/>
        <item x="96"/>
        <item x="110"/>
        <item x="142"/>
        <item x="147"/>
        <item x="143"/>
        <item x="145"/>
        <item x="30"/>
        <item x="16"/>
        <item x="119"/>
        <item x="149"/>
        <item x="150"/>
        <item x="151"/>
        <item x="152"/>
        <item x="20"/>
        <item x="154"/>
        <item x="3"/>
        <item x="156"/>
        <item x="157"/>
        <item x="158"/>
        <item x="159"/>
        <item x="29"/>
        <item x="155"/>
        <item x="162"/>
        <item x="124"/>
        <item x="164"/>
        <item x="165"/>
        <item x="166"/>
        <item x="167"/>
        <item x="6"/>
        <item x="25"/>
        <item x="53"/>
        <item x="133"/>
        <item x="140"/>
        <item x="28"/>
        <item x="176"/>
        <item x="178"/>
        <item x="180"/>
        <item x="181"/>
        <item x="183"/>
        <item x="184"/>
        <item x="185"/>
        <item x="186"/>
        <item x="190"/>
        <item x="191"/>
        <item x="192"/>
        <item x="193"/>
        <item x="144"/>
        <item x="195"/>
        <item x="196"/>
        <item x="197"/>
        <item x="198"/>
        <item x="199"/>
        <item x="200"/>
        <item x="201"/>
        <item x="141"/>
        <item x="203"/>
        <item x="204"/>
        <item x="205"/>
        <item x="206"/>
        <item x="214"/>
        <item x="54"/>
        <item x="56"/>
        <item x="215"/>
        <item x="90"/>
        <item x="219"/>
        <item x="221"/>
        <item x="223"/>
        <item x="97"/>
        <item x="99"/>
        <item x="101"/>
        <item x="225"/>
        <item x="174"/>
        <item x="235"/>
        <item x="179"/>
        <item x="236"/>
        <item x="187"/>
        <item x="237"/>
        <item x="189"/>
        <item x="209"/>
        <item x="224"/>
        <item x="226"/>
        <item x="228"/>
        <item x="229"/>
        <item x="230"/>
        <item x="234"/>
        <item x="69"/>
        <item x="208"/>
        <item x="194"/>
        <item x="211"/>
        <item x="212"/>
        <item x="238"/>
        <item x="242"/>
        <item x="244"/>
        <item x="130"/>
        <item x="240"/>
        <item x="148"/>
        <item x="163"/>
        <item x="241"/>
        <item x="216"/>
        <item x="217"/>
        <item x="218"/>
        <item x="269"/>
        <item x="171"/>
        <item x="220"/>
        <item x="172"/>
        <item x="222"/>
        <item x="173"/>
        <item x="177"/>
        <item x="227"/>
        <item x="243"/>
        <item x="232"/>
        <item x="231"/>
        <item x="270"/>
        <item x="245"/>
        <item x="246"/>
        <item x="249"/>
        <item x="250"/>
        <item x="251"/>
        <item x="252"/>
        <item x="253"/>
        <item x="233"/>
        <item x="182"/>
        <item x="239"/>
        <item x="210"/>
        <item x="125"/>
        <item x="254"/>
        <item x="255"/>
        <item x="256"/>
        <item x="257"/>
        <item x="258"/>
        <item x="259"/>
        <item x="260"/>
        <item x="261"/>
        <item x="262"/>
        <item x="263"/>
        <item x="265"/>
        <item x="266"/>
        <item x="267"/>
        <item x="268"/>
        <item x="275"/>
        <item x="280"/>
        <item x="281"/>
        <item x="282"/>
        <item x="283"/>
        <item x="284"/>
        <item x="264"/>
        <item x="188"/>
        <item x="202"/>
        <item x="286"/>
        <item x="271"/>
        <item x="272"/>
        <item x="273"/>
        <item x="274"/>
        <item x="276"/>
        <item x="27"/>
        <item x="278"/>
        <item x="279"/>
        <item x="285"/>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compact="0" outline="0" showAll="0" defaultSubtotal="0"/>
    <pivotField compact="0" outline="0" showAll="0" defaultSubtotal="0">
      <items count="4">
        <item x="2"/>
        <item x="1"/>
        <item x="0"/>
        <item x="3"/>
      </items>
    </pivotField>
    <pivotField compact="0" outline="0" showAll="0" defaultSubtotal="0"/>
    <pivotField axis="axisRow" compact="0" outline="0" showAll="0" defaultSubtotal="0">
      <items count="7">
        <item x="0"/>
        <item h="1" x="5"/>
        <item h="1" x="2"/>
        <item h="1" x="1"/>
        <item n=" " h="1" x="4"/>
        <item h="1" x="6"/>
        <item h="1" x="3"/>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88">
    <i>
      <x/>
      <x/>
      <x v="7"/>
      <x v="161"/>
      <x/>
      <x/>
    </i>
    <i r="2">
      <x v="40"/>
      <x v="49"/>
      <x/>
      <x/>
    </i>
    <i r="2">
      <x v="157"/>
      <x v="160"/>
      <x/>
      <x/>
    </i>
    <i r="2">
      <x v="165"/>
      <x v="44"/>
      <x/>
      <x/>
    </i>
    <i t="default" r="1">
      <x/>
    </i>
    <i r="1">
      <x v="1"/>
      <x v="38"/>
      <x v="40"/>
      <x/>
      <x v="1"/>
    </i>
    <i t="default" r="1">
      <x v="1"/>
    </i>
    <i r="1">
      <x v="2"/>
      <x v="13"/>
      <x v="137"/>
      <x/>
      <x/>
    </i>
    <i r="2">
      <x v="32"/>
      <x v="129"/>
      <x/>
      <x/>
    </i>
    <i r="2">
      <x v="194"/>
      <x v="152"/>
      <x/>
      <x/>
    </i>
    <i r="2">
      <x v="200"/>
      <x v="99"/>
      <x/>
      <x/>
    </i>
    <i r="2">
      <x v="212"/>
      <x v="224"/>
      <x/>
      <x/>
    </i>
    <i r="2">
      <x v="242"/>
      <x v="250"/>
      <x/>
      <x/>
    </i>
    <i r="2">
      <x v="268"/>
      <x v="276"/>
      <x/>
      <x/>
    </i>
    <i t="default" r="1">
      <x v="2"/>
    </i>
    <i r="1">
      <x v="8"/>
      <x v="78"/>
      <x v="183"/>
      <x/>
      <x/>
    </i>
    <i r="2">
      <x v="86"/>
      <x v="122"/>
      <x/>
      <x/>
    </i>
    <i r="2">
      <x v="93"/>
      <x v="63"/>
      <x/>
      <x/>
    </i>
    <i r="2">
      <x v="214"/>
      <x v="225"/>
      <x/>
      <x/>
    </i>
    <i t="default" r="1">
      <x v="8"/>
    </i>
    <i r="1">
      <x v="10"/>
      <x v="52"/>
      <x v="74"/>
      <x/>
      <x/>
    </i>
    <i r="2">
      <x v="143"/>
      <x v="75"/>
      <x/>
      <x/>
    </i>
    <i r="2">
      <x v="228"/>
      <x v="233"/>
      <x/>
      <x/>
    </i>
    <i r="2">
      <x v="276"/>
      <x v="73"/>
      <x/>
      <x/>
    </i>
    <i t="default" r="1">
      <x v="10"/>
    </i>
    <i r="1">
      <x v="11"/>
      <x v="146"/>
      <x v="130"/>
      <x/>
      <x/>
    </i>
    <i t="default" r="1">
      <x v="11"/>
    </i>
    <i r="1">
      <x v="12"/>
      <x v="65"/>
      <x v="68"/>
      <x/>
      <x/>
    </i>
    <i r="2">
      <x v="67"/>
      <x v="67"/>
      <x/>
      <x/>
    </i>
    <i r="2">
      <x v="111"/>
      <x v="53"/>
      <x/>
      <x/>
    </i>
    <i r="2">
      <x v="152"/>
      <x v="69"/>
      <x/>
      <x/>
    </i>
    <i r="2">
      <x v="169"/>
      <x v="70"/>
      <x/>
      <x/>
    </i>
    <i t="default" r="1">
      <x v="12"/>
    </i>
    <i r="1">
      <x v="14"/>
      <x v="43"/>
      <x v="15"/>
      <x/>
      <x/>
    </i>
    <i r="2">
      <x v="51"/>
      <x v="10"/>
      <x/>
      <x/>
    </i>
    <i r="2">
      <x v="59"/>
      <x v="12"/>
      <x/>
      <x/>
    </i>
    <i r="2">
      <x v="60"/>
      <x v="11"/>
      <x/>
      <x/>
    </i>
    <i r="2">
      <x v="79"/>
      <x v="13"/>
      <x/>
      <x/>
    </i>
    <i r="2">
      <x v="81"/>
      <x v="7"/>
      <x/>
      <x/>
    </i>
    <i r="2">
      <x v="151"/>
      <x v="1"/>
      <x/>
      <x/>
    </i>
    <i r="2">
      <x v="170"/>
      <x v="5"/>
      <x/>
      <x/>
    </i>
    <i r="2">
      <x v="175"/>
      <x v="8"/>
      <x/>
      <x/>
    </i>
    <i r="2">
      <x v="183"/>
      <x/>
      <x/>
      <x/>
    </i>
    <i r="2">
      <x v="185"/>
      <x v="2"/>
      <x/>
      <x/>
    </i>
    <i r="2">
      <x v="186"/>
      <x v="4"/>
      <x/>
      <x/>
    </i>
    <i r="2">
      <x v="274"/>
      <x v="9"/>
      <x/>
      <x/>
    </i>
    <i t="default" r="1">
      <x v="14"/>
    </i>
    <i r="1">
      <x v="17"/>
      <x v="225"/>
      <x v="231"/>
      <x/>
      <x/>
    </i>
    <i t="default" r="1">
      <x v="17"/>
    </i>
    <i r="1">
      <x v="18"/>
      <x v="173"/>
      <x v="64"/>
      <x/>
      <x/>
    </i>
    <i t="default" r="1">
      <x v="18"/>
    </i>
    <i r="1">
      <x v="19"/>
      <x v="230"/>
      <x v="235"/>
      <x/>
      <x v="1"/>
    </i>
    <i r="2">
      <x v="231"/>
      <x v="236"/>
      <x/>
      <x v="1"/>
    </i>
    <i t="default" r="1">
      <x v="19"/>
    </i>
    <i r="1">
      <x v="20"/>
      <x v="31"/>
      <x v="108"/>
      <x/>
      <x v="1"/>
    </i>
    <i r="2">
      <x v="71"/>
      <x v="24"/>
      <x/>
      <x/>
    </i>
    <i r="2">
      <x v="76"/>
      <x v="37"/>
      <x/>
      <x/>
    </i>
    <i r="2">
      <x v="77"/>
      <x v="36"/>
      <x/>
      <x/>
    </i>
    <i r="2">
      <x v="161"/>
      <x v="22"/>
      <x/>
      <x/>
    </i>
    <i r="2">
      <x v="172"/>
      <x v="38"/>
      <x/>
      <x/>
    </i>
    <i r="2">
      <x v="222"/>
      <x v="113"/>
      <x/>
      <x v="1"/>
    </i>
    <i r="2">
      <x v="267"/>
      <x v="275"/>
      <x/>
      <x v="1"/>
    </i>
    <i t="default" r="1">
      <x v="20"/>
    </i>
    <i t="default">
      <x/>
    </i>
    <i>
      <x v="1"/>
      <x v="3"/>
      <x v="226"/>
      <x v="230"/>
      <x/>
      <x/>
    </i>
    <i t="default" r="1">
      <x v="3"/>
    </i>
    <i r="1">
      <x v="6"/>
      <x v="49"/>
      <x v="201"/>
      <x/>
      <x/>
    </i>
    <i r="2">
      <x v="117"/>
      <x v="193"/>
      <x/>
      <x/>
    </i>
    <i r="2">
      <x v="131"/>
      <x v="194"/>
      <x/>
      <x/>
    </i>
    <i r="2">
      <x v="202"/>
      <x v="205"/>
      <x/>
      <x/>
    </i>
    <i r="2">
      <x v="263"/>
      <x v="271"/>
      <x/>
      <x/>
    </i>
    <i r="2">
      <x v="282"/>
      <x v="203"/>
      <x/>
      <x/>
    </i>
    <i r="2">
      <x v="283"/>
      <x v="241"/>
      <x/>
      <x/>
    </i>
    <i t="default" r="1">
      <x v="6"/>
    </i>
    <i r="1">
      <x v="9"/>
      <x v="91"/>
      <x v="195"/>
      <x/>
      <x/>
    </i>
    <i t="default" r="1">
      <x v="9"/>
    </i>
    <i r="1">
      <x v="13"/>
      <x v="208"/>
      <x v="219"/>
      <x/>
      <x/>
    </i>
    <i r="2">
      <x v="265"/>
      <x v="273"/>
      <x/>
      <x/>
    </i>
    <i t="default" r="1">
      <x v="13"/>
    </i>
    <i r="1">
      <x v="15"/>
      <x v="124"/>
      <x v="191"/>
      <x/>
      <x/>
    </i>
    <i r="2">
      <x v="125"/>
      <x v="188"/>
      <x/>
      <x/>
    </i>
    <i r="2">
      <x v="209"/>
      <x v="220"/>
      <x/>
      <x/>
    </i>
    <i r="2">
      <x v="213"/>
      <x v="221"/>
      <x/>
      <x/>
    </i>
    <i t="default" r="1">
      <x v="15"/>
    </i>
    <i r="1">
      <x v="16"/>
      <x v="136"/>
      <x v="199"/>
      <x/>
      <x/>
    </i>
    <i t="default" r="1">
      <x v="16"/>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1123">
      <pivotArea outline="0" collapsedLevelsAreSubtotals="1" fieldPosition="0"/>
    </format>
    <format dxfId="1122">
      <pivotArea dataOnly="0" labelOnly="1" outline="0" fieldPosition="0">
        <references count="1">
          <reference field="4294967294" count="2">
            <x v="0"/>
            <x v="1"/>
          </reference>
        </references>
      </pivotArea>
    </format>
    <format dxfId="1121">
      <pivotArea grandRow="1" outline="0" collapsedLevelsAreSubtotals="1" fieldPosition="0"/>
    </format>
    <format dxfId="1120">
      <pivotArea dataOnly="0" labelOnly="1" grandRow="1" outline="0" fieldPosition="0"/>
    </format>
    <format dxfId="1119">
      <pivotArea grandRow="1" outline="0" collapsedLevelsAreSubtotals="1" fieldPosition="0"/>
    </format>
    <format dxfId="1118">
      <pivotArea dataOnly="0" labelOnly="1" grandRow="1" outline="0" fieldPosition="0"/>
    </format>
    <format dxfId="1117">
      <pivotArea field="24" type="button" dataOnly="0" labelOnly="1" outline="0" axis="axisRow" fieldPosition="4"/>
    </format>
    <format dxfId="1116">
      <pivotArea field="24" type="button" dataOnly="0" labelOnly="1" outline="0" axis="axisRow" fieldPosition="4"/>
    </format>
    <format dxfId="1115">
      <pivotArea field="1" type="button" dataOnly="0" labelOnly="1" outline="0" axis="axisRow" fieldPosition="0"/>
    </format>
    <format dxfId="1114">
      <pivotArea field="5" type="button" dataOnly="0" labelOnly="1" outline="0" axis="axisRow" fieldPosition="1"/>
    </format>
    <format dxfId="1113">
      <pivotArea field="11" type="button" dataOnly="0" labelOnly="1" outline="0" axis="axisRow" fieldPosition="2"/>
    </format>
    <format dxfId="1112">
      <pivotArea field="12" type="button" dataOnly="0" labelOnly="1" outline="0" axis="axisRow" fieldPosition="3"/>
    </format>
    <format dxfId="1111">
      <pivotArea field="22" type="button" dataOnly="0" labelOnly="1" outline="0"/>
    </format>
    <format dxfId="1110">
      <pivotArea dataOnly="0" labelOnly="1" outline="0" fieldPosition="0">
        <references count="1">
          <reference field="4294967294" count="2">
            <x v="0"/>
            <x v="1"/>
          </reference>
        </references>
      </pivotArea>
    </format>
    <format dxfId="1109">
      <pivotArea field="1" type="button" dataOnly="0" labelOnly="1" outline="0" axis="axisRow" fieldPosition="0"/>
    </format>
    <format dxfId="1108">
      <pivotArea field="5" type="button" dataOnly="0" labelOnly="1" outline="0" axis="axisRow" fieldPosition="1"/>
    </format>
    <format dxfId="1107">
      <pivotArea field="11" type="button" dataOnly="0" labelOnly="1" outline="0" axis="axisRow" fieldPosition="2"/>
    </format>
    <format dxfId="1106">
      <pivotArea field="12" type="button" dataOnly="0" labelOnly="1" outline="0" axis="axisRow" fieldPosition="3"/>
    </format>
    <format dxfId="1105">
      <pivotArea field="22" type="button" dataOnly="0" labelOnly="1" outline="0"/>
    </format>
    <format dxfId="1104">
      <pivotArea dataOnly="0" labelOnly="1" outline="0" fieldPosition="0">
        <references count="1">
          <reference field="4294967294" count="2">
            <x v="0"/>
            <x v="1"/>
          </reference>
        </references>
      </pivotArea>
    </format>
    <format dxfId="1103">
      <pivotArea dataOnly="0" labelOnly="1" outline="0" fieldPosition="0">
        <references count="3">
          <reference field="1" count="1" selected="0">
            <x v="0"/>
          </reference>
          <reference field="5" count="1" selected="0">
            <x v="0"/>
          </reference>
          <reference field="11" count="6">
            <x v="64"/>
            <x v="120"/>
            <x v="139"/>
            <x v="157"/>
            <x v="165"/>
            <x v="180"/>
          </reference>
        </references>
      </pivotArea>
    </format>
    <format dxfId="1102">
      <pivotArea dataOnly="0" labelOnly="1" outline="0" fieldPosition="0">
        <references count="3">
          <reference field="1" count="1" selected="0">
            <x v="0"/>
          </reference>
          <reference field="5" count="1" selected="0">
            <x v="14"/>
          </reference>
          <reference field="11" count="5">
            <x v="43"/>
            <x v="44"/>
            <x v="51"/>
            <x v="59"/>
            <x v="60"/>
          </reference>
        </references>
      </pivotArea>
    </format>
    <format dxfId="1101">
      <pivotArea dataOnly="0" labelOnly="1" outline="0" fieldPosition="0">
        <references count="3">
          <reference field="1" count="1" selected="0">
            <x v="0"/>
          </reference>
          <reference field="5" count="1" selected="0">
            <x v="20"/>
          </reference>
          <reference field="11" count="15">
            <x v="71"/>
            <x v="72"/>
            <x v="74"/>
            <x v="75"/>
            <x v="76"/>
            <x v="77"/>
            <x v="145"/>
            <x v="159"/>
            <x v="160"/>
            <x v="161"/>
            <x v="162"/>
            <x v="163"/>
            <x v="172"/>
            <x v="187"/>
            <x v="191"/>
          </reference>
        </references>
      </pivotArea>
    </format>
    <format dxfId="1100">
      <pivotArea field="1" type="button" dataOnly="0" labelOnly="1" outline="0" axis="axisRow" fieldPosition="0"/>
    </format>
    <format dxfId="1099">
      <pivotArea field="5" type="button" dataOnly="0" labelOnly="1" outline="0" axis="axisRow" fieldPosition="1"/>
    </format>
    <format dxfId="1098">
      <pivotArea field="11" type="button" dataOnly="0" labelOnly="1" outline="0" axis="axisRow" fieldPosition="2"/>
    </format>
    <format dxfId="1097">
      <pivotArea field="12" type="button" dataOnly="0" labelOnly="1" outline="0" axis="axisRow" fieldPosition="3"/>
    </format>
    <format dxfId="1096">
      <pivotArea field="19" type="button" dataOnly="0" labelOnly="1" outline="0" axis="axisRow" fieldPosition="5"/>
    </format>
    <format dxfId="1095">
      <pivotArea type="all" dataOnly="0" outline="0" fieldPosition="0"/>
    </format>
    <format dxfId="1094">
      <pivotArea type="all" dataOnly="0" outline="0" fieldPosition="0"/>
    </format>
    <format dxfId="1093">
      <pivotArea outline="0" collapsedLevelsAreSubtotals="1" fieldPosition="0"/>
    </format>
    <format dxfId="1092">
      <pivotArea dataOnly="0" labelOnly="1" outline="0" fieldPosition="0">
        <references count="1">
          <reference field="1" count="0"/>
        </references>
      </pivotArea>
    </format>
    <format dxfId="1091">
      <pivotArea dataOnly="0" labelOnly="1" outline="0" fieldPosition="0">
        <references count="1">
          <reference field="1" count="0" defaultSubtotal="1"/>
        </references>
      </pivotArea>
    </format>
    <format dxfId="1090">
      <pivotArea dataOnly="0" labelOnly="1" grandRow="1" outline="0" fieldPosition="0"/>
    </format>
    <format dxfId="1089">
      <pivotArea dataOnly="0" labelOnly="1" outline="0" fieldPosition="0">
        <references count="2">
          <reference field="1" count="1" selected="0">
            <x v="0"/>
          </reference>
          <reference field="5" count="13">
            <x v="0"/>
            <x v="1"/>
            <x v="2"/>
            <x v="5"/>
            <x v="8"/>
            <x v="10"/>
            <x v="11"/>
            <x v="12"/>
            <x v="14"/>
            <x v="17"/>
            <x v="18"/>
            <x v="19"/>
            <x v="20"/>
          </reference>
        </references>
      </pivotArea>
    </format>
    <format dxfId="1088">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087">
      <pivotArea dataOnly="0" labelOnly="1" outline="0" fieldPosition="0">
        <references count="2">
          <reference field="1" count="1" selected="0">
            <x v="1"/>
          </reference>
          <reference field="5" count="6">
            <x v="3"/>
            <x v="6"/>
            <x v="9"/>
            <x v="13"/>
            <x v="15"/>
            <x v="16"/>
          </reference>
        </references>
      </pivotArea>
    </format>
    <format dxfId="1086">
      <pivotArea dataOnly="0" labelOnly="1" outline="0" fieldPosition="0">
        <references count="2">
          <reference field="1" count="1" selected="0">
            <x v="1"/>
          </reference>
          <reference field="5" count="6" defaultSubtotal="1">
            <x v="3"/>
            <x v="6"/>
            <x v="9"/>
            <x v="13"/>
            <x v="15"/>
            <x v="16"/>
          </reference>
        </references>
      </pivotArea>
    </format>
    <format dxfId="1085">
      <pivotArea dataOnly="0" labelOnly="1" outline="0" fieldPosition="0">
        <references count="3">
          <reference field="1" count="1" selected="0">
            <x v="0"/>
          </reference>
          <reference field="5" count="1" selected="0">
            <x v="0"/>
          </reference>
          <reference field="11" count="11">
            <x v="3"/>
            <x v="7"/>
            <x v="35"/>
            <x v="40"/>
            <x v="64"/>
            <x v="120"/>
            <x v="139"/>
            <x v="157"/>
            <x v="165"/>
            <x v="180"/>
            <x v="199"/>
          </reference>
        </references>
      </pivotArea>
    </format>
    <format dxfId="1084">
      <pivotArea dataOnly="0" labelOnly="1" outline="0" fieldPosition="0">
        <references count="3">
          <reference field="1" count="1" selected="0">
            <x v="0"/>
          </reference>
          <reference field="5" count="1" selected="0">
            <x v="1"/>
          </reference>
          <reference field="11" count="6">
            <x v="21"/>
            <x v="38"/>
            <x v="55"/>
            <x v="61"/>
            <x v="155"/>
            <x v="204"/>
          </reference>
        </references>
      </pivotArea>
    </format>
    <format dxfId="1083">
      <pivotArea dataOnly="0" labelOnly="1" outline="0" fieldPosition="0">
        <references count="3">
          <reference field="1" count="1" selected="0">
            <x v="0"/>
          </reference>
          <reference field="5" count="1" selected="0">
            <x v="2"/>
          </reference>
          <reference field="11" count="26">
            <x v="1"/>
            <x v="2"/>
            <x v="4"/>
            <x v="5"/>
            <x v="13"/>
            <x v="19"/>
            <x v="23"/>
            <x v="32"/>
            <x v="33"/>
            <x v="62"/>
            <x v="63"/>
            <x v="108"/>
            <x v="135"/>
            <x v="140"/>
            <x v="164"/>
            <x v="167"/>
            <x v="194"/>
            <x v="200"/>
            <x v="212"/>
            <x v="216"/>
            <x v="234"/>
            <x v="241"/>
            <x v="242"/>
            <x v="243"/>
            <x v="244"/>
            <x v="245"/>
          </reference>
        </references>
      </pivotArea>
    </format>
    <format dxfId="1082">
      <pivotArea dataOnly="0" labelOnly="1" outline="0" fieldPosition="0">
        <references count="3">
          <reference field="1" count="1" selected="0">
            <x v="0"/>
          </reference>
          <reference field="5" count="1" selected="0">
            <x v="5"/>
          </reference>
          <reference field="11" count="1">
            <x v="53"/>
          </reference>
        </references>
      </pivotArea>
    </format>
    <format dxfId="1081">
      <pivotArea dataOnly="0" labelOnly="1" outline="0" fieldPosition="0">
        <references count="3">
          <reference field="1" count="1" selected="0">
            <x v="0"/>
          </reference>
          <reference field="5" count="1" selected="0">
            <x v="8"/>
          </reference>
          <reference field="11" count="11">
            <x v="18"/>
            <x v="35"/>
            <x v="56"/>
            <x v="78"/>
            <x v="86"/>
            <x v="87"/>
            <x v="88"/>
            <x v="93"/>
            <x v="203"/>
            <x v="210"/>
            <x v="214"/>
          </reference>
        </references>
      </pivotArea>
    </format>
    <format dxfId="1080">
      <pivotArea dataOnly="0" labelOnly="1" outline="0" fieldPosition="0">
        <references count="3">
          <reference field="1" count="1" selected="0">
            <x v="0"/>
          </reference>
          <reference field="5" count="1" selected="0">
            <x v="10"/>
          </reference>
          <reference field="11" count="5">
            <x v="52"/>
            <x v="143"/>
            <x v="227"/>
            <x v="228"/>
            <x v="229"/>
          </reference>
        </references>
      </pivotArea>
    </format>
    <format dxfId="1079">
      <pivotArea dataOnly="0" labelOnly="1" outline="0" fieldPosition="0">
        <references count="3">
          <reference field="1" count="1" selected="0">
            <x v="0"/>
          </reference>
          <reference field="5" count="1" selected="0">
            <x v="11"/>
          </reference>
          <reference field="11" count="4">
            <x v="146"/>
            <x v="177"/>
            <x v="217"/>
            <x v="218"/>
          </reference>
        </references>
      </pivotArea>
    </format>
    <format dxfId="1078">
      <pivotArea dataOnly="0" labelOnly="1" outline="0" fieldPosition="0">
        <references count="3">
          <reference field="1" count="1" selected="0">
            <x v="0"/>
          </reference>
          <reference field="5" count="1" selected="0">
            <x v="12"/>
          </reference>
          <reference field="11" count="20">
            <x v="24"/>
            <x v="35"/>
            <x v="39"/>
            <x v="47"/>
            <x v="65"/>
            <x v="66"/>
            <x v="67"/>
            <x v="73"/>
            <x v="80"/>
            <x v="84"/>
            <x v="85"/>
            <x v="111"/>
            <x v="122"/>
            <x v="149"/>
            <x v="152"/>
            <x v="154"/>
            <x v="158"/>
            <x v="169"/>
            <x v="182"/>
            <x v="232"/>
          </reference>
        </references>
      </pivotArea>
    </format>
    <format dxfId="1077">
      <pivotArea dataOnly="0" labelOnly="1" outline="0" fieldPosition="0">
        <references count="3">
          <reference field="1" count="1" selected="0">
            <x v="0"/>
          </reference>
          <reference field="5" count="1" selected="0">
            <x v="14"/>
          </reference>
          <reference field="11" count="21">
            <x v="43"/>
            <x v="44"/>
            <x v="51"/>
            <x v="59"/>
            <x v="60"/>
            <x v="79"/>
            <x v="81"/>
            <x v="102"/>
            <x v="103"/>
            <x v="138"/>
            <x v="151"/>
            <x v="153"/>
            <x v="170"/>
            <x v="171"/>
            <x v="175"/>
            <x v="183"/>
            <x v="184"/>
            <x v="185"/>
            <x v="186"/>
            <x v="198"/>
            <x v="223"/>
          </reference>
        </references>
      </pivotArea>
    </format>
    <format dxfId="1076">
      <pivotArea dataOnly="0" labelOnly="1" outline="0" fieldPosition="0">
        <references count="3">
          <reference field="1" count="1" selected="0">
            <x v="0"/>
          </reference>
          <reference field="5" count="1" selected="0">
            <x v="17"/>
          </reference>
          <reference field="11" count="3">
            <x v="190"/>
            <x v="207"/>
            <x v="225"/>
          </reference>
        </references>
      </pivotArea>
    </format>
    <format dxfId="1075">
      <pivotArea dataOnly="0" labelOnly="1" outline="0" fieldPosition="0">
        <references count="3">
          <reference field="1" count="1" selected="0">
            <x v="0"/>
          </reference>
          <reference field="5" count="1" selected="0">
            <x v="18"/>
          </reference>
          <reference field="11" count="4">
            <x v="35"/>
            <x v="57"/>
            <x v="173"/>
            <x v="174"/>
          </reference>
        </references>
      </pivotArea>
    </format>
    <format dxfId="1074">
      <pivotArea dataOnly="0" labelOnly="1" outline="0" fieldPosition="0">
        <references count="3">
          <reference field="1" count="1" selected="0">
            <x v="0"/>
          </reference>
          <reference field="5" count="1" selected="0">
            <x v="19"/>
          </reference>
          <reference field="11" count="3">
            <x v="179"/>
            <x v="230"/>
            <x v="231"/>
          </reference>
        </references>
      </pivotArea>
    </format>
    <format dxfId="1073">
      <pivotArea dataOnly="0" labelOnly="1" outline="0" fieldPosition="0">
        <references count="3">
          <reference field="1" count="1" selected="0">
            <x v="0"/>
          </reference>
          <reference field="5" count="1" selected="0">
            <x v="20"/>
          </reference>
          <reference field="11" count="23">
            <x v="17"/>
            <x v="30"/>
            <x v="31"/>
            <x v="41"/>
            <x v="45"/>
            <x v="71"/>
            <x v="72"/>
            <x v="74"/>
            <x v="75"/>
            <x v="76"/>
            <x v="77"/>
            <x v="145"/>
            <x v="159"/>
            <x v="160"/>
            <x v="161"/>
            <x v="162"/>
            <x v="163"/>
            <x v="172"/>
            <x v="187"/>
            <x v="191"/>
            <x v="195"/>
            <x v="222"/>
            <x v="224"/>
          </reference>
        </references>
      </pivotArea>
    </format>
    <format dxfId="1072">
      <pivotArea dataOnly="0" labelOnly="1" outline="0" fieldPosition="0">
        <references count="3">
          <reference field="1" count="1" selected="0">
            <x v="1"/>
          </reference>
          <reference field="5" count="1" selected="0">
            <x v="3"/>
          </reference>
          <reference field="11" count="3">
            <x v="142"/>
            <x v="226"/>
            <x v="239"/>
          </reference>
        </references>
      </pivotArea>
    </format>
    <format dxfId="1071">
      <pivotArea dataOnly="0" labelOnly="1" outline="0" fieldPosition="0">
        <references count="3">
          <reference field="1" count="1" selected="0">
            <x v="1"/>
          </reference>
          <reference field="5" count="1" selected="0">
            <x v="6"/>
          </reference>
          <reference field="11" count="9">
            <x v="48"/>
            <x v="49"/>
            <x v="50"/>
            <x v="117"/>
            <x v="131"/>
            <x v="202"/>
            <x v="215"/>
            <x v="233"/>
            <x v="240"/>
          </reference>
        </references>
      </pivotArea>
    </format>
    <format dxfId="1070">
      <pivotArea dataOnly="0" labelOnly="1" outline="0" fieldPosition="0">
        <references count="3">
          <reference field="1" count="1" selected="0">
            <x v="1"/>
          </reference>
          <reference field="5" count="1" selected="0">
            <x v="9"/>
          </reference>
          <reference field="11" count="3">
            <x v="91"/>
            <x v="92"/>
            <x v="238"/>
          </reference>
        </references>
      </pivotArea>
    </format>
    <format dxfId="1069">
      <pivotArea dataOnly="0" labelOnly="1" outline="0" fieldPosition="0">
        <references count="3">
          <reference field="1" count="1" selected="0">
            <x v="1"/>
          </reference>
          <reference field="5" count="1" selected="0">
            <x v="13"/>
          </reference>
          <reference field="11" count="6">
            <x v="36"/>
            <x v="37"/>
            <x v="114"/>
            <x v="130"/>
            <x v="208"/>
            <x v="211"/>
          </reference>
        </references>
      </pivotArea>
    </format>
    <format dxfId="1068">
      <pivotArea dataOnly="0" labelOnly="1" outline="0" fieldPosition="0">
        <references count="3">
          <reference field="1" count="1" selected="0">
            <x v="1"/>
          </reference>
          <reference field="5" count="1" selected="0">
            <x v="15"/>
          </reference>
          <reference field="11" count="7">
            <x v="124"/>
            <x v="125"/>
            <x v="126"/>
            <x v="209"/>
            <x v="213"/>
            <x v="235"/>
            <x v="236"/>
          </reference>
        </references>
      </pivotArea>
    </format>
    <format dxfId="1067">
      <pivotArea dataOnly="0" labelOnly="1" outline="0" fieldPosition="0">
        <references count="3">
          <reference field="1" count="1" selected="0">
            <x v="1"/>
          </reference>
          <reference field="5" count="1" selected="0">
            <x v="16"/>
          </reference>
          <reference field="11" count="3">
            <x v="136"/>
            <x v="137"/>
            <x v="237"/>
          </reference>
        </references>
      </pivotArea>
    </format>
    <format dxfId="1066">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65">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64">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063">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062">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061">
      <pivotArea dataOnly="0" labelOnly="1" outline="0" fieldPosition="0">
        <references count="4">
          <reference field="1" count="1" selected="0">
            <x v="0"/>
          </reference>
          <reference field="5" count="1" selected="0">
            <x v="0"/>
          </reference>
          <reference field="11" count="1" selected="0">
            <x v="120"/>
          </reference>
          <reference field="12" count="1">
            <x v="48"/>
          </reference>
        </references>
      </pivotArea>
    </format>
    <format dxfId="1060">
      <pivotArea dataOnly="0" labelOnly="1" outline="0" fieldPosition="0">
        <references count="4">
          <reference field="1" count="1" selected="0">
            <x v="0"/>
          </reference>
          <reference field="5" count="1" selected="0">
            <x v="0"/>
          </reference>
          <reference field="11" count="1" selected="0">
            <x v="139"/>
          </reference>
          <reference field="12" count="1">
            <x v="51"/>
          </reference>
        </references>
      </pivotArea>
    </format>
    <format dxfId="1059">
      <pivotArea dataOnly="0" labelOnly="1" outline="0" fieldPosition="0">
        <references count="4">
          <reference field="1" count="1" selected="0">
            <x v="0"/>
          </reference>
          <reference field="5" count="1" selected="0">
            <x v="0"/>
          </reference>
          <reference field="11" count="1" selected="0">
            <x v="157"/>
          </reference>
          <reference field="12" count="1">
            <x v="160"/>
          </reference>
        </references>
      </pivotArea>
    </format>
    <format dxfId="1058">
      <pivotArea dataOnly="0" labelOnly="1" outline="0" fieldPosition="0">
        <references count="4">
          <reference field="1" count="1" selected="0">
            <x v="0"/>
          </reference>
          <reference field="5" count="1" selected="0">
            <x v="0"/>
          </reference>
          <reference field="11" count="1" selected="0">
            <x v="165"/>
          </reference>
          <reference field="12" count="1">
            <x v="44"/>
          </reference>
        </references>
      </pivotArea>
    </format>
    <format dxfId="1057">
      <pivotArea dataOnly="0" labelOnly="1" outline="0" fieldPosition="0">
        <references count="4">
          <reference field="1" count="1" selected="0">
            <x v="0"/>
          </reference>
          <reference field="5" count="1" selected="0">
            <x v="0"/>
          </reference>
          <reference field="11" count="1" selected="0">
            <x v="180"/>
          </reference>
          <reference field="12" count="1">
            <x v="52"/>
          </reference>
        </references>
      </pivotArea>
    </format>
    <format dxfId="1056">
      <pivotArea dataOnly="0" labelOnly="1" outline="0" fieldPosition="0">
        <references count="4">
          <reference field="1" count="1" selected="0">
            <x v="0"/>
          </reference>
          <reference field="5" count="1" selected="0">
            <x v="0"/>
          </reference>
          <reference field="11" count="1" selected="0">
            <x v="199"/>
          </reference>
          <reference field="12" count="1">
            <x v="50"/>
          </reference>
        </references>
      </pivotArea>
    </format>
    <format dxfId="1055">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54">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053">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052">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051">
      <pivotArea dataOnly="0" labelOnly="1" outline="0" fieldPosition="0">
        <references count="4">
          <reference field="1" count="1" selected="0">
            <x v="0"/>
          </reference>
          <reference field="5" count="1" selected="0">
            <x v="1"/>
          </reference>
          <reference field="11" count="1" selected="0">
            <x v="155"/>
          </reference>
          <reference field="12" count="1">
            <x v="175"/>
          </reference>
        </references>
      </pivotArea>
    </format>
    <format dxfId="1050">
      <pivotArea dataOnly="0" labelOnly="1" outline="0" fieldPosition="0">
        <references count="4">
          <reference field="1" count="1" selected="0">
            <x v="0"/>
          </reference>
          <reference field="5" count="1" selected="0">
            <x v="1"/>
          </reference>
          <reference field="11" count="1" selected="0">
            <x v="204"/>
          </reference>
          <reference field="12" count="1">
            <x v="216"/>
          </reference>
        </references>
      </pivotArea>
    </format>
    <format dxfId="1049">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48">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47">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46">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45">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44">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43">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42">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041">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040">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039">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038">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037">
      <pivotArea dataOnly="0" labelOnly="1" outline="0" fieldPosition="0">
        <references count="4">
          <reference field="1" count="1" selected="0">
            <x v="0"/>
          </reference>
          <reference field="5" count="1" selected="0">
            <x v="2"/>
          </reference>
          <reference field="11" count="1" selected="0">
            <x v="135"/>
          </reference>
          <reference field="12" count="1">
            <x v="159"/>
          </reference>
        </references>
      </pivotArea>
    </format>
    <format dxfId="1036">
      <pivotArea dataOnly="0" labelOnly="1" outline="0" fieldPosition="0">
        <references count="4">
          <reference field="1" count="1" selected="0">
            <x v="0"/>
          </reference>
          <reference field="5" count="1" selected="0">
            <x v="2"/>
          </reference>
          <reference field="11" count="1" selected="0">
            <x v="140"/>
          </reference>
          <reference field="12" count="1">
            <x v="97"/>
          </reference>
        </references>
      </pivotArea>
    </format>
    <format dxfId="1035">
      <pivotArea dataOnly="0" labelOnly="1" outline="0" fieldPosition="0">
        <references count="4">
          <reference field="1" count="1" selected="0">
            <x v="0"/>
          </reference>
          <reference field="5" count="1" selected="0">
            <x v="2"/>
          </reference>
          <reference field="11" count="1" selected="0">
            <x v="164"/>
          </reference>
          <reference field="12" count="1">
            <x v="150"/>
          </reference>
        </references>
      </pivotArea>
    </format>
    <format dxfId="1034">
      <pivotArea dataOnly="0" labelOnly="1" outline="0" fieldPosition="0">
        <references count="4">
          <reference field="1" count="1" selected="0">
            <x v="0"/>
          </reference>
          <reference field="5" count="1" selected="0">
            <x v="2"/>
          </reference>
          <reference field="11" count="1" selected="0">
            <x v="167"/>
          </reference>
          <reference field="12" count="1">
            <x v="151"/>
          </reference>
        </references>
      </pivotArea>
    </format>
    <format dxfId="1033">
      <pivotArea dataOnly="0" labelOnly="1" outline="0" fieldPosition="0">
        <references count="4">
          <reference field="1" count="1" selected="0">
            <x v="0"/>
          </reference>
          <reference field="5" count="1" selected="0">
            <x v="2"/>
          </reference>
          <reference field="11" count="1" selected="0">
            <x v="194"/>
          </reference>
          <reference field="12" count="1">
            <x v="152"/>
          </reference>
        </references>
      </pivotArea>
    </format>
    <format dxfId="1032">
      <pivotArea dataOnly="0" labelOnly="1" outline="0" fieldPosition="0">
        <references count="4">
          <reference field="1" count="1" selected="0">
            <x v="0"/>
          </reference>
          <reference field="5" count="1" selected="0">
            <x v="2"/>
          </reference>
          <reference field="11" count="1" selected="0">
            <x v="200"/>
          </reference>
          <reference field="12" count="1">
            <x v="99"/>
          </reference>
        </references>
      </pivotArea>
    </format>
    <format dxfId="1031">
      <pivotArea dataOnly="0" labelOnly="1" outline="0" fieldPosition="0">
        <references count="4">
          <reference field="1" count="1" selected="0">
            <x v="0"/>
          </reference>
          <reference field="5" count="1" selected="0">
            <x v="2"/>
          </reference>
          <reference field="11" count="1" selected="0">
            <x v="212"/>
          </reference>
          <reference field="12" count="1">
            <x v="224"/>
          </reference>
        </references>
      </pivotArea>
    </format>
    <format dxfId="1030">
      <pivotArea dataOnly="0" labelOnly="1" outline="0" fieldPosition="0">
        <references count="4">
          <reference field="1" count="1" selected="0">
            <x v="0"/>
          </reference>
          <reference field="5" count="1" selected="0">
            <x v="2"/>
          </reference>
          <reference field="11" count="1" selected="0">
            <x v="216"/>
          </reference>
          <reference field="12" count="1">
            <x v="227"/>
          </reference>
        </references>
      </pivotArea>
    </format>
    <format dxfId="1029">
      <pivotArea dataOnly="0" labelOnly="1" outline="0" fieldPosition="0">
        <references count="4">
          <reference field="1" count="1" selected="0">
            <x v="0"/>
          </reference>
          <reference field="5" count="1" selected="0">
            <x v="2"/>
          </reference>
          <reference field="11" count="1" selected="0">
            <x v="234"/>
          </reference>
          <reference field="12" count="1">
            <x v="239"/>
          </reference>
        </references>
      </pivotArea>
    </format>
    <format dxfId="1028">
      <pivotArea dataOnly="0" labelOnly="1" outline="0" fieldPosition="0">
        <references count="4">
          <reference field="1" count="1" selected="0">
            <x v="0"/>
          </reference>
          <reference field="5" count="1" selected="0">
            <x v="2"/>
          </reference>
          <reference field="11" count="1" selected="0">
            <x v="241"/>
          </reference>
          <reference field="12" count="1">
            <x v="249"/>
          </reference>
        </references>
      </pivotArea>
    </format>
    <format dxfId="1027">
      <pivotArea dataOnly="0" labelOnly="1" outline="0" fieldPosition="0">
        <references count="4">
          <reference field="1" count="1" selected="0">
            <x v="0"/>
          </reference>
          <reference field="5" count="1" selected="0">
            <x v="2"/>
          </reference>
          <reference field="11" count="1" selected="0">
            <x v="242"/>
          </reference>
          <reference field="12" count="1">
            <x v="250"/>
          </reference>
        </references>
      </pivotArea>
    </format>
    <format dxfId="1026">
      <pivotArea dataOnly="0" labelOnly="1" outline="0" fieldPosition="0">
        <references count="4">
          <reference field="1" count="1" selected="0">
            <x v="0"/>
          </reference>
          <reference field="5" count="1" selected="0">
            <x v="2"/>
          </reference>
          <reference field="11" count="1" selected="0">
            <x v="243"/>
          </reference>
          <reference field="12" count="1">
            <x v="251"/>
          </reference>
        </references>
      </pivotArea>
    </format>
    <format dxfId="1025">
      <pivotArea dataOnly="0" labelOnly="1" outline="0" fieldPosition="0">
        <references count="4">
          <reference field="1" count="1" selected="0">
            <x v="0"/>
          </reference>
          <reference field="5" count="1" selected="0">
            <x v="2"/>
          </reference>
          <reference field="11" count="1" selected="0">
            <x v="244"/>
          </reference>
          <reference field="12" count="1">
            <x v="252"/>
          </reference>
        </references>
      </pivotArea>
    </format>
    <format dxfId="1024">
      <pivotArea dataOnly="0" labelOnly="1" outline="0" fieldPosition="0">
        <references count="4">
          <reference field="1" count="1" selected="0">
            <x v="0"/>
          </reference>
          <reference field="5" count="1" selected="0">
            <x v="2"/>
          </reference>
          <reference field="11" count="1" selected="0">
            <x v="245"/>
          </reference>
          <reference field="12" count="1">
            <x v="253"/>
          </reference>
        </references>
      </pivotArea>
    </format>
    <format dxfId="1023">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022">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21">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020">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019">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018">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017">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016">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015">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014">
      <pivotArea dataOnly="0" labelOnly="1" outline="0" fieldPosition="0">
        <references count="4">
          <reference field="1" count="1" selected="0">
            <x v="0"/>
          </reference>
          <reference field="5" count="1" selected="0">
            <x v="8"/>
          </reference>
          <reference field="11" count="1" selected="0">
            <x v="203"/>
          </reference>
          <reference field="12" count="1">
            <x v="214"/>
          </reference>
        </references>
      </pivotArea>
    </format>
    <format dxfId="1013">
      <pivotArea dataOnly="0" labelOnly="1" outline="0" fieldPosition="0">
        <references count="4">
          <reference field="1" count="1" selected="0">
            <x v="0"/>
          </reference>
          <reference field="5" count="1" selected="0">
            <x v="8"/>
          </reference>
          <reference field="11" count="1" selected="0">
            <x v="210"/>
          </reference>
          <reference field="12" count="1">
            <x v="222"/>
          </reference>
        </references>
      </pivotArea>
    </format>
    <format dxfId="1012">
      <pivotArea dataOnly="0" labelOnly="1" outline="0" fieldPosition="0">
        <references count="4">
          <reference field="1" count="1" selected="0">
            <x v="0"/>
          </reference>
          <reference field="5" count="1" selected="0">
            <x v="8"/>
          </reference>
          <reference field="11" count="1" selected="0">
            <x v="214"/>
          </reference>
          <reference field="12" count="1">
            <x v="225"/>
          </reference>
        </references>
      </pivotArea>
    </format>
    <format dxfId="1011">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010">
      <pivotArea dataOnly="0" labelOnly="1" outline="0" fieldPosition="0">
        <references count="4">
          <reference field="1" count="1" selected="0">
            <x v="0"/>
          </reference>
          <reference field="5" count="1" selected="0">
            <x v="10"/>
          </reference>
          <reference field="11" count="1" selected="0">
            <x v="143"/>
          </reference>
          <reference field="12" count="1">
            <x v="75"/>
          </reference>
        </references>
      </pivotArea>
    </format>
    <format dxfId="1009">
      <pivotArea dataOnly="0" labelOnly="1" outline="0" fieldPosition="0">
        <references count="4">
          <reference field="1" count="1" selected="0">
            <x v="0"/>
          </reference>
          <reference field="5" count="1" selected="0">
            <x v="10"/>
          </reference>
          <reference field="11" count="1" selected="0">
            <x v="227"/>
          </reference>
          <reference field="12" count="1">
            <x v="232"/>
          </reference>
        </references>
      </pivotArea>
    </format>
    <format dxfId="1008">
      <pivotArea dataOnly="0" labelOnly="1" outline="0" fieldPosition="0">
        <references count="4">
          <reference field="1" count="1" selected="0">
            <x v="0"/>
          </reference>
          <reference field="5" count="1" selected="0">
            <x v="10"/>
          </reference>
          <reference field="11" count="1" selected="0">
            <x v="228"/>
          </reference>
          <reference field="12" count="1">
            <x v="233"/>
          </reference>
        </references>
      </pivotArea>
    </format>
    <format dxfId="1007">
      <pivotArea dataOnly="0" labelOnly="1" outline="0" fieldPosition="0">
        <references count="4">
          <reference field="1" count="1" selected="0">
            <x v="0"/>
          </reference>
          <reference field="5" count="1" selected="0">
            <x v="10"/>
          </reference>
          <reference field="11" count="1" selected="0">
            <x v="229"/>
          </reference>
          <reference field="12" count="1">
            <x v="234"/>
          </reference>
        </references>
      </pivotArea>
    </format>
    <format dxfId="1006">
      <pivotArea dataOnly="0" labelOnly="1" outline="0" fieldPosition="0">
        <references count="4">
          <reference field="1" count="1" selected="0">
            <x v="0"/>
          </reference>
          <reference field="5" count="1" selected="0">
            <x v="11"/>
          </reference>
          <reference field="11" count="1" selected="0">
            <x v="146"/>
          </reference>
          <reference field="12" count="1">
            <x v="130"/>
          </reference>
        </references>
      </pivotArea>
    </format>
    <format dxfId="1005">
      <pivotArea dataOnly="0" labelOnly="1" outline="0" fieldPosition="0">
        <references count="4">
          <reference field="1" count="1" selected="0">
            <x v="0"/>
          </reference>
          <reference field="5" count="1" selected="0">
            <x v="11"/>
          </reference>
          <reference field="11" count="1" selected="0">
            <x v="177"/>
          </reference>
          <reference field="12" count="1">
            <x v="76"/>
          </reference>
        </references>
      </pivotArea>
    </format>
    <format dxfId="1004">
      <pivotArea dataOnly="0" labelOnly="1" outline="0" fieldPosition="0">
        <references count="4">
          <reference field="1" count="1" selected="0">
            <x v="0"/>
          </reference>
          <reference field="5" count="1" selected="0">
            <x v="11"/>
          </reference>
          <reference field="11" count="1" selected="0">
            <x v="217"/>
          </reference>
          <reference field="12" count="1">
            <x v="228"/>
          </reference>
        </references>
      </pivotArea>
    </format>
    <format dxfId="1003">
      <pivotArea dataOnly="0" labelOnly="1" outline="0" fieldPosition="0">
        <references count="4">
          <reference field="1" count="1" selected="0">
            <x v="0"/>
          </reference>
          <reference field="5" count="1" selected="0">
            <x v="11"/>
          </reference>
          <reference field="11" count="1" selected="0">
            <x v="218"/>
          </reference>
          <reference field="12" count="1">
            <x v="229"/>
          </reference>
        </references>
      </pivotArea>
    </format>
    <format dxfId="1002">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01">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1000">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999">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998">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997">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996">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995">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994">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993">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992">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991">
      <pivotArea dataOnly="0" labelOnly="1" outline="0" fieldPosition="0">
        <references count="4">
          <reference field="1" count="1" selected="0">
            <x v="0"/>
          </reference>
          <reference field="5" count="1" selected="0">
            <x v="12"/>
          </reference>
          <reference field="11" count="1" selected="0">
            <x v="111"/>
          </reference>
          <reference field="12" count="1">
            <x v="53"/>
          </reference>
        </references>
      </pivotArea>
    </format>
    <format dxfId="990">
      <pivotArea dataOnly="0" labelOnly="1" outline="0" fieldPosition="0">
        <references count="4">
          <reference field="1" count="1" selected="0">
            <x v="0"/>
          </reference>
          <reference field="5" count="1" selected="0">
            <x v="12"/>
          </reference>
          <reference field="11" count="1" selected="0">
            <x v="122"/>
          </reference>
          <reference field="12" count="1">
            <x v="58"/>
          </reference>
        </references>
      </pivotArea>
    </format>
    <format dxfId="989">
      <pivotArea dataOnly="0" labelOnly="1" outline="0" fieldPosition="0">
        <references count="4">
          <reference field="1" count="1" selected="0">
            <x v="0"/>
          </reference>
          <reference field="5" count="1" selected="0">
            <x v="12"/>
          </reference>
          <reference field="11" count="1" selected="0">
            <x v="149"/>
          </reference>
          <reference field="12" count="1">
            <x v="120"/>
          </reference>
        </references>
      </pivotArea>
    </format>
    <format dxfId="988">
      <pivotArea dataOnly="0" labelOnly="1" outline="0" fieldPosition="0">
        <references count="4">
          <reference field="1" count="1" selected="0">
            <x v="0"/>
          </reference>
          <reference field="5" count="1" selected="0">
            <x v="12"/>
          </reference>
          <reference field="11" count="1" selected="0">
            <x v="152"/>
          </reference>
          <reference field="12" count="1">
            <x v="69"/>
          </reference>
        </references>
      </pivotArea>
    </format>
    <format dxfId="987">
      <pivotArea dataOnly="0" labelOnly="1" outline="0" fieldPosition="0">
        <references count="4">
          <reference field="1" count="1" selected="0">
            <x v="0"/>
          </reference>
          <reference field="5" count="1" selected="0">
            <x v="12"/>
          </reference>
          <reference field="11" count="1" selected="0">
            <x v="154"/>
          </reference>
          <reference field="12" count="1">
            <x v="117"/>
          </reference>
        </references>
      </pivotArea>
    </format>
    <format dxfId="986">
      <pivotArea dataOnly="0" labelOnly="1" outline="0" fieldPosition="0">
        <references count="4">
          <reference field="1" count="1" selected="0">
            <x v="0"/>
          </reference>
          <reference field="5" count="1" selected="0">
            <x v="12"/>
          </reference>
          <reference field="11" count="1" selected="0">
            <x v="158"/>
          </reference>
          <reference field="12" count="1">
            <x v="62"/>
          </reference>
        </references>
      </pivotArea>
    </format>
    <format dxfId="985">
      <pivotArea dataOnly="0" labelOnly="1" outline="0" fieldPosition="0">
        <references count="4">
          <reference field="1" count="1" selected="0">
            <x v="0"/>
          </reference>
          <reference field="5" count="1" selected="0">
            <x v="12"/>
          </reference>
          <reference field="11" count="1" selected="0">
            <x v="169"/>
          </reference>
          <reference field="12" count="1">
            <x v="70"/>
          </reference>
        </references>
      </pivotArea>
    </format>
    <format dxfId="984">
      <pivotArea dataOnly="0" labelOnly="1" outline="0" fieldPosition="0">
        <references count="4">
          <reference field="1" count="1" selected="0">
            <x v="0"/>
          </reference>
          <reference field="5" count="1" selected="0">
            <x v="12"/>
          </reference>
          <reference field="11" count="1" selected="0">
            <x v="182"/>
          </reference>
          <reference field="12" count="1">
            <x v="57"/>
          </reference>
        </references>
      </pivotArea>
    </format>
    <format dxfId="983">
      <pivotArea dataOnly="0" labelOnly="1" outline="0" fieldPosition="0">
        <references count="4">
          <reference field="1" count="1" selected="0">
            <x v="0"/>
          </reference>
          <reference field="5" count="1" selected="0">
            <x v="12"/>
          </reference>
          <reference field="11" count="1" selected="0">
            <x v="232"/>
          </reference>
          <reference field="12" count="1">
            <x v="237"/>
          </reference>
        </references>
      </pivotArea>
    </format>
    <format dxfId="982">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981">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980">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979">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978">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977">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976">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975">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974">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973">
      <pivotArea dataOnly="0" labelOnly="1" outline="0" fieldPosition="0">
        <references count="4">
          <reference field="1" count="1" selected="0">
            <x v="0"/>
          </reference>
          <reference field="5" count="1" selected="0">
            <x v="14"/>
          </reference>
          <reference field="11" count="1" selected="0">
            <x v="138"/>
          </reference>
          <reference field="12" count="1">
            <x v="21"/>
          </reference>
        </references>
      </pivotArea>
    </format>
    <format dxfId="972">
      <pivotArea dataOnly="0" labelOnly="1" outline="0" fieldPosition="0">
        <references count="4">
          <reference field="1" count="1" selected="0">
            <x v="0"/>
          </reference>
          <reference field="5" count="1" selected="0">
            <x v="14"/>
          </reference>
          <reference field="11" count="1" selected="0">
            <x v="151"/>
          </reference>
          <reference field="12" count="1">
            <x v="1"/>
          </reference>
        </references>
      </pivotArea>
    </format>
    <format dxfId="971">
      <pivotArea dataOnly="0" labelOnly="1" outline="0" fieldPosition="0">
        <references count="4">
          <reference field="1" count="1" selected="0">
            <x v="0"/>
          </reference>
          <reference field="5" count="1" selected="0">
            <x v="14"/>
          </reference>
          <reference field="11" count="1" selected="0">
            <x v="153"/>
          </reference>
          <reference field="12" count="1">
            <x v="133"/>
          </reference>
        </references>
      </pivotArea>
    </format>
    <format dxfId="970">
      <pivotArea dataOnly="0" labelOnly="1" outline="0" fieldPosition="0">
        <references count="4">
          <reference field="1" count="1" selected="0">
            <x v="0"/>
          </reference>
          <reference field="5" count="1" selected="0">
            <x v="14"/>
          </reference>
          <reference field="11" count="1" selected="0">
            <x v="170"/>
          </reference>
          <reference field="12" count="1">
            <x v="5"/>
          </reference>
        </references>
      </pivotArea>
    </format>
    <format dxfId="969">
      <pivotArea dataOnly="0" labelOnly="1" outline="0" fieldPosition="0">
        <references count="4">
          <reference field="1" count="1" selected="0">
            <x v="0"/>
          </reference>
          <reference field="5" count="1" selected="0">
            <x v="14"/>
          </reference>
          <reference field="11" count="1" selected="0">
            <x v="171"/>
          </reference>
          <reference field="12" count="1">
            <x v="6"/>
          </reference>
        </references>
      </pivotArea>
    </format>
    <format dxfId="968">
      <pivotArea dataOnly="0" labelOnly="1" outline="0" fieldPosition="0">
        <references count="4">
          <reference field="1" count="1" selected="0">
            <x v="0"/>
          </reference>
          <reference field="5" count="1" selected="0">
            <x v="14"/>
          </reference>
          <reference field="11" count="1" selected="0">
            <x v="175"/>
          </reference>
          <reference field="12" count="1">
            <x v="8"/>
          </reference>
        </references>
      </pivotArea>
    </format>
    <format dxfId="967">
      <pivotArea dataOnly="0" labelOnly="1" outline="0" fieldPosition="0">
        <references count="4">
          <reference field="1" count="1" selected="0">
            <x v="0"/>
          </reference>
          <reference field="5" count="1" selected="0">
            <x v="14"/>
          </reference>
          <reference field="11" count="1" selected="0">
            <x v="183"/>
          </reference>
          <reference field="12" count="1">
            <x v="0"/>
          </reference>
        </references>
      </pivotArea>
    </format>
    <format dxfId="966">
      <pivotArea dataOnly="0" labelOnly="1" outline="0" fieldPosition="0">
        <references count="4">
          <reference field="1" count="1" selected="0">
            <x v="0"/>
          </reference>
          <reference field="5" count="1" selected="0">
            <x v="14"/>
          </reference>
          <reference field="11" count="1" selected="0">
            <x v="184"/>
          </reference>
          <reference field="12" count="1">
            <x v="3"/>
          </reference>
        </references>
      </pivotArea>
    </format>
    <format dxfId="965">
      <pivotArea dataOnly="0" labelOnly="1" outline="0" fieldPosition="0">
        <references count="4">
          <reference field="1" count="1" selected="0">
            <x v="0"/>
          </reference>
          <reference field="5" count="1" selected="0">
            <x v="14"/>
          </reference>
          <reference field="11" count="1" selected="0">
            <x v="185"/>
          </reference>
          <reference field="12" count="1">
            <x v="2"/>
          </reference>
        </references>
      </pivotArea>
    </format>
    <format dxfId="964">
      <pivotArea dataOnly="0" labelOnly="1" outline="0" fieldPosition="0">
        <references count="4">
          <reference field="1" count="1" selected="0">
            <x v="0"/>
          </reference>
          <reference field="5" count="1" selected="0">
            <x v="14"/>
          </reference>
          <reference field="11" count="1" selected="0">
            <x v="186"/>
          </reference>
          <reference field="12" count="1">
            <x v="4"/>
          </reference>
        </references>
      </pivotArea>
    </format>
    <format dxfId="963">
      <pivotArea dataOnly="0" labelOnly="1" outline="0" fieldPosition="0">
        <references count="4">
          <reference field="1" count="1" selected="0">
            <x v="0"/>
          </reference>
          <reference field="5" count="1" selected="0">
            <x v="14"/>
          </reference>
          <reference field="11" count="1" selected="0">
            <x v="198"/>
          </reference>
          <reference field="12" count="1">
            <x v="19"/>
          </reference>
        </references>
      </pivotArea>
    </format>
    <format dxfId="962">
      <pivotArea dataOnly="0" labelOnly="1" outline="0" fieldPosition="0">
        <references count="4">
          <reference field="1" count="1" selected="0">
            <x v="0"/>
          </reference>
          <reference field="5" count="1" selected="0">
            <x v="14"/>
          </reference>
          <reference field="11" count="1" selected="0">
            <x v="223"/>
          </reference>
          <reference field="12" count="1">
            <x v="20"/>
          </reference>
        </references>
      </pivotArea>
    </format>
    <format dxfId="961">
      <pivotArea dataOnly="0" labelOnly="1" outline="0" fieldPosition="0">
        <references count="4">
          <reference field="1" count="1" selected="0">
            <x v="0"/>
          </reference>
          <reference field="5" count="1" selected="0">
            <x v="17"/>
          </reference>
          <reference field="11" count="1" selected="0">
            <x v="190"/>
          </reference>
          <reference field="12" count="1">
            <x v="72"/>
          </reference>
        </references>
      </pivotArea>
    </format>
    <format dxfId="960">
      <pivotArea dataOnly="0" labelOnly="1" outline="0" fieldPosition="0">
        <references count="4">
          <reference field="1" count="1" selected="0">
            <x v="0"/>
          </reference>
          <reference field="5" count="1" selected="0">
            <x v="17"/>
          </reference>
          <reference field="11" count="1" selected="0">
            <x v="207"/>
          </reference>
          <reference field="12" count="1">
            <x v="218"/>
          </reference>
        </references>
      </pivotArea>
    </format>
    <format dxfId="959">
      <pivotArea dataOnly="0" labelOnly="1" outline="0" fieldPosition="0">
        <references count="4">
          <reference field="1" count="1" selected="0">
            <x v="0"/>
          </reference>
          <reference field="5" count="1" selected="0">
            <x v="17"/>
          </reference>
          <reference field="11" count="1" selected="0">
            <x v="225"/>
          </reference>
          <reference field="12" count="1">
            <x v="231"/>
          </reference>
        </references>
      </pivotArea>
    </format>
    <format dxfId="958">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957">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956">
      <pivotArea dataOnly="0" labelOnly="1" outline="0" fieldPosition="0">
        <references count="4">
          <reference field="1" count="1" selected="0">
            <x v="0"/>
          </reference>
          <reference field="5" count="1" selected="0">
            <x v="18"/>
          </reference>
          <reference field="11" count="1" selected="0">
            <x v="173"/>
          </reference>
          <reference field="12" count="1">
            <x v="64"/>
          </reference>
        </references>
      </pivotArea>
    </format>
    <format dxfId="955">
      <pivotArea dataOnly="0" labelOnly="1" outline="0" fieldPosition="0">
        <references count="4">
          <reference field="1" count="1" selected="0">
            <x v="0"/>
          </reference>
          <reference field="5" count="1" selected="0">
            <x v="18"/>
          </reference>
          <reference field="11" count="1" selected="0">
            <x v="174"/>
          </reference>
          <reference field="12" count="1">
            <x v="65"/>
          </reference>
        </references>
      </pivotArea>
    </format>
    <format dxfId="954">
      <pivotArea dataOnly="0" labelOnly="1" outline="0" fieldPosition="0">
        <references count="4">
          <reference field="1" count="1" selected="0">
            <x v="0"/>
          </reference>
          <reference field="5" count="1" selected="0">
            <x v="19"/>
          </reference>
          <reference field="11" count="1" selected="0">
            <x v="179"/>
          </reference>
          <reference field="12" count="1">
            <x v="172"/>
          </reference>
        </references>
      </pivotArea>
    </format>
    <format dxfId="953">
      <pivotArea dataOnly="0" labelOnly="1" outline="0" fieldPosition="0">
        <references count="4">
          <reference field="1" count="1" selected="0">
            <x v="0"/>
          </reference>
          <reference field="5" count="1" selected="0">
            <x v="19"/>
          </reference>
          <reference field="11" count="1" selected="0">
            <x v="230"/>
          </reference>
          <reference field="12" count="1">
            <x v="235"/>
          </reference>
        </references>
      </pivotArea>
    </format>
    <format dxfId="952">
      <pivotArea dataOnly="0" labelOnly="1" outline="0" fieldPosition="0">
        <references count="4">
          <reference field="1" count="1" selected="0">
            <x v="0"/>
          </reference>
          <reference field="5" count="1" selected="0">
            <x v="19"/>
          </reference>
          <reference field="11" count="1" selected="0">
            <x v="231"/>
          </reference>
          <reference field="12" count="1">
            <x v="236"/>
          </reference>
        </references>
      </pivotArea>
    </format>
    <format dxfId="951">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50">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949">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948">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947">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946">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945">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944">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943">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942">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941">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940">
      <pivotArea dataOnly="0" labelOnly="1" outline="0" fieldPosition="0">
        <references count="4">
          <reference field="1" count="1" selected="0">
            <x v="0"/>
          </reference>
          <reference field="5" count="1" selected="0">
            <x v="20"/>
          </reference>
          <reference field="11" count="1" selected="0">
            <x v="145"/>
          </reference>
          <reference field="12" count="1">
            <x v="30"/>
          </reference>
        </references>
      </pivotArea>
    </format>
    <format dxfId="939">
      <pivotArea dataOnly="0" labelOnly="1" outline="0" fieldPosition="0">
        <references count="4">
          <reference field="1" count="1" selected="0">
            <x v="0"/>
          </reference>
          <reference field="5" count="1" selected="0">
            <x v="20"/>
          </reference>
          <reference field="11" count="1" selected="0">
            <x v="159"/>
          </reference>
          <reference field="12" count="1">
            <x v="132"/>
          </reference>
        </references>
      </pivotArea>
    </format>
    <format dxfId="938">
      <pivotArea dataOnly="0" labelOnly="1" outline="0" fieldPosition="0">
        <references count="4">
          <reference field="1" count="1" selected="0">
            <x v="0"/>
          </reference>
          <reference field="5" count="1" selected="0">
            <x v="20"/>
          </reference>
          <reference field="11" count="1" selected="0">
            <x v="160"/>
          </reference>
          <reference field="12" count="1">
            <x v="29"/>
          </reference>
        </references>
      </pivotArea>
    </format>
    <format dxfId="937">
      <pivotArea dataOnly="0" labelOnly="1" outline="0" fieldPosition="0">
        <references count="4">
          <reference field="1" count="1" selected="0">
            <x v="0"/>
          </reference>
          <reference field="5" count="1" selected="0">
            <x v="20"/>
          </reference>
          <reference field="11" count="1" selected="0">
            <x v="161"/>
          </reference>
          <reference field="12" count="1">
            <x v="22"/>
          </reference>
        </references>
      </pivotArea>
    </format>
    <format dxfId="936">
      <pivotArea dataOnly="0" labelOnly="1" outline="0" fieldPosition="0">
        <references count="4">
          <reference field="1" count="1" selected="0">
            <x v="0"/>
          </reference>
          <reference field="5" count="1" selected="0">
            <x v="20"/>
          </reference>
          <reference field="11" count="1" selected="0">
            <x v="162"/>
          </reference>
          <reference field="12" count="1">
            <x v="27"/>
          </reference>
        </references>
      </pivotArea>
    </format>
    <format dxfId="935">
      <pivotArea dataOnly="0" labelOnly="1" outline="0" fieldPosition="0">
        <references count="4">
          <reference field="1" count="1" selected="0">
            <x v="0"/>
          </reference>
          <reference field="5" count="1" selected="0">
            <x v="20"/>
          </reference>
          <reference field="11" count="1" selected="0">
            <x v="163"/>
          </reference>
          <reference field="12" count="1">
            <x v="23"/>
          </reference>
        </references>
      </pivotArea>
    </format>
    <format dxfId="934">
      <pivotArea dataOnly="0" labelOnly="1" outline="0" fieldPosition="0">
        <references count="4">
          <reference field="1" count="1" selected="0">
            <x v="0"/>
          </reference>
          <reference field="5" count="1" selected="0">
            <x v="20"/>
          </reference>
          <reference field="11" count="1" selected="0">
            <x v="172"/>
          </reference>
          <reference field="12" count="1">
            <x v="38"/>
          </reference>
        </references>
      </pivotArea>
    </format>
    <format dxfId="933">
      <pivotArea dataOnly="0" labelOnly="1" outline="0" fieldPosition="0">
        <references count="4">
          <reference field="1" count="1" selected="0">
            <x v="0"/>
          </reference>
          <reference field="5" count="1" selected="0">
            <x v="20"/>
          </reference>
          <reference field="11" count="1" selected="0">
            <x v="187"/>
          </reference>
          <reference field="12" count="1">
            <x v="34"/>
          </reference>
        </references>
      </pivotArea>
    </format>
    <format dxfId="932">
      <pivotArea dataOnly="0" labelOnly="1" outline="0" fieldPosition="0">
        <references count="4">
          <reference field="1" count="1" selected="0">
            <x v="0"/>
          </reference>
          <reference field="5" count="1" selected="0">
            <x v="20"/>
          </reference>
          <reference field="11" count="1" selected="0">
            <x v="191"/>
          </reference>
          <reference field="12" count="1">
            <x v="35"/>
          </reference>
        </references>
      </pivotArea>
    </format>
    <format dxfId="931">
      <pivotArea dataOnly="0" labelOnly="1" outline="0" fieldPosition="0">
        <references count="4">
          <reference field="1" count="1" selected="0">
            <x v="0"/>
          </reference>
          <reference field="5" count="1" selected="0">
            <x v="20"/>
          </reference>
          <reference field="11" count="1" selected="0">
            <x v="195"/>
          </reference>
          <reference field="12" count="1">
            <x v="109"/>
          </reference>
        </references>
      </pivotArea>
    </format>
    <format dxfId="930">
      <pivotArea dataOnly="0" labelOnly="1" outline="0" fieldPosition="0">
        <references count="4">
          <reference field="1" count="1" selected="0">
            <x v="0"/>
          </reference>
          <reference field="5" count="1" selected="0">
            <x v="20"/>
          </reference>
          <reference field="11" count="1" selected="0">
            <x v="222"/>
          </reference>
          <reference field="12" count="1">
            <x v="113"/>
          </reference>
        </references>
      </pivotArea>
    </format>
    <format dxfId="929">
      <pivotArea dataOnly="0" labelOnly="1" outline="0" fieldPosition="0">
        <references count="4">
          <reference field="1" count="1" selected="0">
            <x v="0"/>
          </reference>
          <reference field="5" count="1" selected="0">
            <x v="20"/>
          </reference>
          <reference field="11" count="1" selected="0">
            <x v="224"/>
          </reference>
          <reference field="12" count="1">
            <x v="105"/>
          </reference>
        </references>
      </pivotArea>
    </format>
    <format dxfId="928">
      <pivotArea dataOnly="0" labelOnly="1" outline="0" fieldPosition="0">
        <references count="4">
          <reference field="1" count="1" selected="0">
            <x v="1"/>
          </reference>
          <reference field="5" count="1" selected="0">
            <x v="3"/>
          </reference>
          <reference field="11" count="1" selected="0">
            <x v="142"/>
          </reference>
          <reference field="12" count="1">
            <x v="209"/>
          </reference>
        </references>
      </pivotArea>
    </format>
    <format dxfId="927">
      <pivotArea dataOnly="0" labelOnly="1" outline="0" fieldPosition="0">
        <references count="4">
          <reference field="1" count="1" selected="0">
            <x v="1"/>
          </reference>
          <reference field="5" count="1" selected="0">
            <x v="3"/>
          </reference>
          <reference field="11" count="1" selected="0">
            <x v="226"/>
          </reference>
          <reference field="12" count="1">
            <x v="230"/>
          </reference>
        </references>
      </pivotArea>
    </format>
    <format dxfId="926">
      <pivotArea dataOnly="0" labelOnly="1" outline="0" fieldPosition="0">
        <references count="4">
          <reference field="1" count="1" selected="0">
            <x v="1"/>
          </reference>
          <reference field="5" count="1" selected="0">
            <x v="3"/>
          </reference>
          <reference field="11" count="1" selected="0">
            <x v="239"/>
          </reference>
          <reference field="12" count="1">
            <x v="247"/>
          </reference>
        </references>
      </pivotArea>
    </format>
    <format dxfId="925">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924">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923">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922">
      <pivotArea dataOnly="0" labelOnly="1" outline="0" fieldPosition="0">
        <references count="4">
          <reference field="1" count="1" selected="0">
            <x v="1"/>
          </reference>
          <reference field="5" count="1" selected="0">
            <x v="6"/>
          </reference>
          <reference field="11" count="1" selected="0">
            <x v="117"/>
          </reference>
          <reference field="12" count="1">
            <x v="193"/>
          </reference>
        </references>
      </pivotArea>
    </format>
    <format dxfId="921">
      <pivotArea dataOnly="0" labelOnly="1" outline="0" fieldPosition="0">
        <references count="4">
          <reference field="1" count="1" selected="0">
            <x v="1"/>
          </reference>
          <reference field="5" count="1" selected="0">
            <x v="6"/>
          </reference>
          <reference field="11" count="1" selected="0">
            <x v="131"/>
          </reference>
          <reference field="12" count="1">
            <x v="194"/>
          </reference>
        </references>
      </pivotArea>
    </format>
    <format dxfId="920">
      <pivotArea dataOnly="0" labelOnly="1" outline="0" fieldPosition="0">
        <references count="4">
          <reference field="1" count="1" selected="0">
            <x v="1"/>
          </reference>
          <reference field="5" count="1" selected="0">
            <x v="6"/>
          </reference>
          <reference field="11" count="1" selected="0">
            <x v="202"/>
          </reference>
          <reference field="12" count="1">
            <x v="205"/>
          </reference>
        </references>
      </pivotArea>
    </format>
    <format dxfId="919">
      <pivotArea dataOnly="0" labelOnly="1" outline="0" fieldPosition="0">
        <references count="4">
          <reference field="1" count="1" selected="0">
            <x v="1"/>
          </reference>
          <reference field="5" count="1" selected="0">
            <x v="6"/>
          </reference>
          <reference field="11" count="1" selected="0">
            <x v="215"/>
          </reference>
          <reference field="12" count="1">
            <x v="226"/>
          </reference>
        </references>
      </pivotArea>
    </format>
    <format dxfId="918">
      <pivotArea dataOnly="0" labelOnly="1" outline="0" fieldPosition="0">
        <references count="4">
          <reference field="1" count="1" selected="0">
            <x v="1"/>
          </reference>
          <reference field="5" count="1" selected="0">
            <x v="6"/>
          </reference>
          <reference field="11" count="1" selected="0">
            <x v="233"/>
          </reference>
          <reference field="12" count="1">
            <x v="238"/>
          </reference>
        </references>
      </pivotArea>
    </format>
    <format dxfId="917">
      <pivotArea dataOnly="0" labelOnly="1" outline="0" fieldPosition="0">
        <references count="4">
          <reference field="1" count="1" selected="0">
            <x v="1"/>
          </reference>
          <reference field="5" count="1" selected="0">
            <x v="6"/>
          </reference>
          <reference field="11" count="1" selected="0">
            <x v="240"/>
          </reference>
          <reference field="12" count="1">
            <x v="248"/>
          </reference>
        </references>
      </pivotArea>
    </format>
    <format dxfId="916">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915">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914">
      <pivotArea dataOnly="0" labelOnly="1" outline="0" fieldPosition="0">
        <references count="4">
          <reference field="1" count="1" selected="0">
            <x v="1"/>
          </reference>
          <reference field="5" count="1" selected="0">
            <x v="9"/>
          </reference>
          <reference field="11" count="1" selected="0">
            <x v="238"/>
          </reference>
          <reference field="12" count="1">
            <x v="243"/>
          </reference>
        </references>
      </pivotArea>
    </format>
    <format dxfId="913">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912">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911">
      <pivotArea dataOnly="0" labelOnly="1" outline="0" fieldPosition="0">
        <references count="4">
          <reference field="1" count="1" selected="0">
            <x v="1"/>
          </reference>
          <reference field="5" count="1" selected="0">
            <x v="13"/>
          </reference>
          <reference field="11" count="1" selected="0">
            <x v="114"/>
          </reference>
          <reference field="12" count="1">
            <x v="192"/>
          </reference>
        </references>
      </pivotArea>
    </format>
    <format dxfId="910">
      <pivotArea dataOnly="0" labelOnly="1" outline="0" fieldPosition="0">
        <references count="4">
          <reference field="1" count="1" selected="0">
            <x v="1"/>
          </reference>
          <reference field="5" count="1" selected="0">
            <x v="13"/>
          </reference>
          <reference field="11" count="1" selected="0">
            <x v="130"/>
          </reference>
          <reference field="12" count="1">
            <x v="197"/>
          </reference>
        </references>
      </pivotArea>
    </format>
    <format dxfId="909">
      <pivotArea dataOnly="0" labelOnly="1" outline="0" fieldPosition="0">
        <references count="4">
          <reference field="1" count="1" selected="0">
            <x v="1"/>
          </reference>
          <reference field="5" count="1" selected="0">
            <x v="13"/>
          </reference>
          <reference field="11" count="1" selected="0">
            <x v="208"/>
          </reference>
          <reference field="12" count="1">
            <x v="219"/>
          </reference>
        </references>
      </pivotArea>
    </format>
    <format dxfId="908">
      <pivotArea dataOnly="0" labelOnly="1" outline="0" fieldPosition="0">
        <references count="4">
          <reference field="1" count="1" selected="0">
            <x v="1"/>
          </reference>
          <reference field="5" count="1" selected="0">
            <x v="13"/>
          </reference>
          <reference field="11" count="1" selected="0">
            <x v="211"/>
          </reference>
          <reference field="12" count="1">
            <x v="223"/>
          </reference>
        </references>
      </pivotArea>
    </format>
    <format dxfId="907">
      <pivotArea dataOnly="0" labelOnly="1" outline="0" fieldPosition="0">
        <references count="4">
          <reference field="1" count="1" selected="0">
            <x v="1"/>
          </reference>
          <reference field="5" count="1" selected="0">
            <x v="15"/>
          </reference>
          <reference field="11" count="1" selected="0">
            <x v="124"/>
          </reference>
          <reference field="12" count="1">
            <x v="191"/>
          </reference>
        </references>
      </pivotArea>
    </format>
    <format dxfId="906">
      <pivotArea dataOnly="0" labelOnly="1" outline="0" fieldPosition="0">
        <references count="4">
          <reference field="1" count="1" selected="0">
            <x v="1"/>
          </reference>
          <reference field="5" count="1" selected="0">
            <x v="15"/>
          </reference>
          <reference field="11" count="1" selected="0">
            <x v="125"/>
          </reference>
          <reference field="12" count="1">
            <x v="188"/>
          </reference>
        </references>
      </pivotArea>
    </format>
    <format dxfId="905">
      <pivotArea dataOnly="0" labelOnly="1" outline="0" fieldPosition="0">
        <references count="4">
          <reference field="1" count="1" selected="0">
            <x v="1"/>
          </reference>
          <reference field="5" count="1" selected="0">
            <x v="15"/>
          </reference>
          <reference field="11" count="1" selected="0">
            <x v="126"/>
          </reference>
          <reference field="12" count="1">
            <x v="190"/>
          </reference>
        </references>
      </pivotArea>
    </format>
    <format dxfId="904">
      <pivotArea dataOnly="0" labelOnly="1" outline="0" fieldPosition="0">
        <references count="4">
          <reference field="1" count="1" selected="0">
            <x v="1"/>
          </reference>
          <reference field="5" count="1" selected="0">
            <x v="15"/>
          </reference>
          <reference field="11" count="1" selected="0">
            <x v="209"/>
          </reference>
          <reference field="12" count="1">
            <x v="220"/>
          </reference>
        </references>
      </pivotArea>
    </format>
    <format dxfId="903">
      <pivotArea dataOnly="0" labelOnly="1" outline="0" fieldPosition="0">
        <references count="4">
          <reference field="1" count="1" selected="0">
            <x v="1"/>
          </reference>
          <reference field="5" count="1" selected="0">
            <x v="15"/>
          </reference>
          <reference field="11" count="1" selected="0">
            <x v="213"/>
          </reference>
          <reference field="12" count="1">
            <x v="221"/>
          </reference>
        </references>
      </pivotArea>
    </format>
    <format dxfId="902">
      <pivotArea dataOnly="0" labelOnly="1" outline="0" fieldPosition="0">
        <references count="4">
          <reference field="1" count="1" selected="0">
            <x v="1"/>
          </reference>
          <reference field="5" count="1" selected="0">
            <x v="15"/>
          </reference>
          <reference field="11" count="1" selected="0">
            <x v="235"/>
          </reference>
          <reference field="12" count="1">
            <x v="244"/>
          </reference>
        </references>
      </pivotArea>
    </format>
    <format dxfId="901">
      <pivotArea dataOnly="0" labelOnly="1" outline="0" fieldPosition="0">
        <references count="4">
          <reference field="1" count="1" selected="0">
            <x v="1"/>
          </reference>
          <reference field="5" count="1" selected="0">
            <x v="15"/>
          </reference>
          <reference field="11" count="1" selected="0">
            <x v="236"/>
          </reference>
          <reference field="12" count="1">
            <x v="245"/>
          </reference>
        </references>
      </pivotArea>
    </format>
    <format dxfId="900">
      <pivotArea dataOnly="0" labelOnly="1" outline="0" fieldPosition="0">
        <references count="4">
          <reference field="1" count="1" selected="0">
            <x v="1"/>
          </reference>
          <reference field="5" count="1" selected="0">
            <x v="16"/>
          </reference>
          <reference field="11" count="1" selected="0">
            <x v="136"/>
          </reference>
          <reference field="12" count="1">
            <x v="199"/>
          </reference>
        </references>
      </pivotArea>
    </format>
    <format dxfId="899">
      <pivotArea dataOnly="0" labelOnly="1" outline="0" fieldPosition="0">
        <references count="4">
          <reference field="1" count="1" selected="0">
            <x v="1"/>
          </reference>
          <reference field="5" count="1" selected="0">
            <x v="16"/>
          </reference>
          <reference field="11" count="1" selected="0">
            <x v="137"/>
          </reference>
          <reference field="12" count="1">
            <x v="211"/>
          </reference>
        </references>
      </pivotArea>
    </format>
    <format dxfId="898">
      <pivotArea dataOnly="0" labelOnly="1" outline="0" fieldPosition="0">
        <references count="4">
          <reference field="1" count="1" selected="0">
            <x v="1"/>
          </reference>
          <reference field="5" count="1" selected="0">
            <x v="16"/>
          </reference>
          <reference field="11" count="1" selected="0">
            <x v="237"/>
          </reference>
          <reference field="12" count="1">
            <x v="242"/>
          </reference>
        </references>
      </pivotArea>
    </format>
    <format dxfId="897">
      <pivotArea dataOnly="0" labelOnly="1" outline="0" fieldPosition="0">
        <references count="1">
          <reference field="4294967294" count="2">
            <x v="0"/>
            <x v="1"/>
          </reference>
        </references>
      </pivotArea>
    </format>
    <format dxfId="896">
      <pivotArea field="1" type="button" dataOnly="0" labelOnly="1" outline="0" axis="axisRow" fieldPosition="0"/>
    </format>
    <format dxfId="895">
      <pivotArea field="5" type="button" dataOnly="0" labelOnly="1" outline="0" axis="axisRow" fieldPosition="1"/>
    </format>
    <format dxfId="894">
      <pivotArea field="11" type="button" dataOnly="0" labelOnly="1" outline="0" axis="axisRow" fieldPosition="2"/>
    </format>
    <format dxfId="893">
      <pivotArea field="12" type="button" dataOnly="0" labelOnly="1" outline="0" axis="axisRow" fieldPosition="3"/>
    </format>
    <format dxfId="892">
      <pivotArea field="24" type="button" dataOnly="0" labelOnly="1" outline="0" axis="axisRow" fieldPosition="4"/>
    </format>
    <format dxfId="891">
      <pivotArea field="19" type="button" dataOnly="0" labelOnly="1" outline="0" axis="axisRow" fieldPosition="5"/>
    </format>
    <format dxfId="890">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F291" tableType="xml" totalsRowShown="0" headerRowDxfId="1246" dataDxfId="1245" headerRowCellStyle="Normal_Sheet11">
  <autoFilter ref="B4:AF291">
    <filterColumn colId="0">
      <filters>
        <filter val="Open"/>
      </filters>
    </filterColumn>
  </autoFilter>
  <tableColumns count="31">
    <tableColumn id="24" uniqueName="Status" name="Status" dataDxfId="1244" dataCellStyle="Normal_Sheet3_1">
      <xmlColumnPr mapId="11" xpath="/dataroot/Camp_x005f_x0020_List/Status" xmlDataType="string"/>
    </tableColumn>
    <tableColumn id="2" uniqueName="State" name="State" dataDxfId="1243">
      <xmlColumnPr mapId="11" xpath="/dataroot/Camp_x005f_x0020_List/State" xmlDataType="string"/>
    </tableColumn>
    <tableColumn id="12" uniqueName="S_Pcode" name="S_Pcode" dataDxfId="1242">
      <xmlColumnPr mapId="11" xpath="/dataroot/Camp_x005f_x0020_List/S_Pcode" xmlDataType="string"/>
    </tableColumn>
    <tableColumn id="23" uniqueName="District" name="District" dataDxfId="1241">
      <xmlColumnPr mapId="11" xpath="/dataroot/Camp_x005f_x0020_List/District" xmlDataType="string"/>
    </tableColumn>
    <tableColumn id="19" uniqueName="D_Pcode" name="D_Pcode" dataDxfId="1240">
      <xmlColumnPr mapId="11" xpath="/dataroot/Camp_x005f_x0020_List/D_Pcode" xmlDataType="string"/>
    </tableColumn>
    <tableColumn id="3" uniqueName="Township" name="Township" dataDxfId="1239">
      <xmlColumnPr mapId="11" xpath="/dataroot/Camp_x005f_x0020_List/Township" xmlDataType="string"/>
    </tableColumn>
    <tableColumn id="13" uniqueName="T_Pcode" name="T_Pcode" dataDxfId="1238">
      <xmlColumnPr mapId="11" xpath="/dataroot/Camp_x005f_x0020_List/T_Pcode" xmlDataType="string"/>
    </tableColumn>
    <tableColumn id="14" uniqueName="VillageTracKTown" name="VillageTracKTown" dataDxfId="1237">
      <xmlColumnPr mapId="11" xpath="/dataroot/Camp_x005f_x0020_List/VillageTracKTown" xmlDataType="string"/>
    </tableColumn>
    <tableColumn id="15" uniqueName="VTT_Pcode" name="VTT_Pcode" dataDxfId="1236">
      <xmlColumnPr mapId="11" xpath="/dataroot/Camp_x005f_x0020_List/VTT_Pcode" xmlDataType="string"/>
    </tableColumn>
    <tableColumn id="16" uniqueName="VillageWard_Name" name="VillageWard_Name" dataDxfId="1235">
      <xmlColumnPr mapId="11" xpath="/dataroot/Camp_x005f_x0020_List/VillageWard_Name" xmlDataType="string"/>
    </tableColumn>
    <tableColumn id="17" uniqueName="VW_Pcode" name="VW_Pcode" dataDxfId="1234">
      <xmlColumnPr mapId="11" xpath="/dataroot/Camp_x005f_x0020_List/VW_Pcode" xmlDataType="string"/>
    </tableColumn>
    <tableColumn id="4" uniqueName="Camp" name="Camp" dataDxfId="1233">
      <xmlColumnPr mapId="11" xpath="/dataroot/Camp_x005f_x0020_List/Camp" xmlDataType="string"/>
    </tableColumn>
    <tableColumn id="5" uniqueName="CP_Pcode" name="CP_Pcode" dataDxfId="1232">
      <xmlColumnPr mapId="11" xpath="/dataroot/Camp_x005f_x0020_List/CP_Pcode" xmlDataType="string"/>
    </tableColumn>
    <tableColumn id="6" uniqueName="Longitude" name="Longitude" dataDxfId="1231">
      <xmlColumnPr mapId="11" xpath="/dataroot/Camp_x005f_x0020_List/Longitude" xmlDataType="double"/>
    </tableColumn>
    <tableColumn id="7" uniqueName="Latitude" name="Latitude" dataDxfId="1230">
      <xmlColumnPr mapId="11" xpath="/dataroot/Camp_x005f_x0020_List/Latitude" xmlDataType="double"/>
    </tableColumn>
    <tableColumn id="25" uniqueName="Altitude" name="Altitude" dataDxfId="1229">
      <xmlColumnPr mapId="11" xpath="/dataroot/Camp_x005f_x0020_List/Altitude" xmlDataType="double"/>
    </tableColumn>
    <tableColumn id="8" uniqueName="HH" name="HH" dataDxfId="1228">
      <xmlColumnPr mapId="11" xpath="/dataroot/Camp_x005f_x0020_List/HH" xmlDataType="double"/>
    </tableColumn>
    <tableColumn id="9" uniqueName="Total" name="Total" dataDxfId="1227">
      <xmlColumnPr mapId="11" xpath="/dataroot/Camp_x005f_x0020_List/Total" xmlDataType="double"/>
    </tableColumn>
    <tableColumn id="11" uniqueName="Avg" name="Avg" dataDxfId="1226">
      <calculatedColumnFormula>IF(CampList[[#This Row],[HH]]&gt;0,CampList[[#This Row],[Total]]/CampList[[#This Row],[HH]],"NA")</calculatedColumnFormula>
      <xmlColumnPr mapId="11" xpath="/dataroot/Camp_x005f_x0020_List/Avg" xmlDataType="string"/>
    </tableColumn>
    <tableColumn id="28" uniqueName="Accessibility" name="Accessibility" dataDxfId="1225">
      <xmlColumnPr mapId="11" xpath="/dataroot/Camp_x005f_x0020_List/Accessibility" xmlDataType="string"/>
    </tableColumn>
    <tableColumn id="1" uniqueName="Affected Population" name="Affected Population" dataDxfId="1224">
      <xmlColumnPr mapId="11" xpath="/dataroot/Camp_x005f_x0020_List/Affected_x005f_x0020_Population" xmlDataType="string"/>
    </tableColumn>
    <tableColumn id="29" uniqueName="Type of Accomodation" name="Type of Accomodation" dataDxfId="1223">
      <xmlColumnPr mapId="11" xpath="/dataroot/Camp_x005f_x0020_List/Type_x005f_x0020_of_x005f_x0020_Accomodation" xmlDataType="string"/>
    </tableColumn>
    <tableColumn id="30" uniqueName="Type of Location" name="Type of Location" dataDxfId="1222">
      <xmlColumnPr mapId="11" xpath="/dataroot/Camp_x005f_x0020_List/Type_x005f_x0020_of_x005f_x0020_Location" xmlDataType="string"/>
    </tableColumn>
    <tableColumn id="31" uniqueName="Opening Date" name="Opening Date" dataDxfId="1221">
      <xmlColumnPr mapId="11" xpath="/dataroot/Camp_x005f_x0020_List/Opening_x005f_x0020_Date" xmlDataType="dateTime"/>
    </tableColumn>
    <tableColumn id="26" uniqueName="Responsible Agency" name="Responsible Agency" dataDxfId="1220">
      <xmlColumnPr mapId="11" xpath="/dataroot/Camp_x005f_x0020_List/Responsible_x005f_x0020_Agency" xmlDataType="string"/>
    </tableColumn>
    <tableColumn id="18" uniqueName="Source" name="Source" dataDxfId="1219">
      <xmlColumnPr mapId="11" xpath="/dataroot/Camp_x005f_x0020_List/Source" xmlDataType="string"/>
    </tableColumn>
    <tableColumn id="10" uniqueName="Update Date" name="Update Date" dataDxfId="1218">
      <xmlColumnPr mapId="11" xpath="/dataroot/Camp_x005f_x0020_List/Update_x005f_x0020_Date" xmlDataType="dateTime"/>
    </tableColumn>
    <tableColumn id="21" uniqueName="Comment" name="Comment" dataDxfId="1217">
      <xmlColumnPr mapId="11" xpath="/dataroot/Camp_x005f_x0020_List/Comment" xmlDataType="string"/>
    </tableColumn>
    <tableColumn id="35" uniqueName="Nearest_Town" name="Nearest_Town" dataDxfId="121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1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1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316" dataDxfId="315">
  <autoFilter ref="L1:L24"/>
  <tableColumns count="1">
    <tableColumn id="1" name="Kachin" dataDxfId="314"/>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313" dataDxfId="312">
  <autoFilter ref="N1:N7"/>
  <tableColumns count="1">
    <tableColumn id="1" name="Shan_North" dataDxfId="311"/>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213"/>
    <tableColumn id="2" name="Nearest Town" dataDxfId="1212"/>
    <tableColumn id="3" name="distance" dataDxfId="1211"/>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157" dataDxfId="1155" totalsRowDxfId="1153" headerRowBorderDxfId="1156" tableBorderDxfId="1154" totalsRowBorderDxfId="1152" dataCellStyle="Percent">
  <autoFilter ref="T2:AG25"/>
  <tableColumns count="14">
    <tableColumn id="1" name="Pcode" dataDxfId="1151" totalsRowDxfId="1150"/>
    <tableColumn id="2" name="Township" totalsRowLabel="Kachin/Shan" dataDxfId="1149" totalsRowDxfId="1148"/>
    <tableColumn id="3" name="Long." totalsRowLabel="96.00" dataDxfId="1147" totalsRowDxfId="1146"/>
    <tableColumn id="4" name="Lat." totalsRowLabel="27.00" dataDxfId="1145" totalsRowDxfId="1144"/>
    <tableColumn id="5" name="HS" totalsRowFunction="sum" dataDxfId="1143" totalsRowDxfId="1142">
      <calculatedColumnFormula>#REF!</calculatedColumnFormula>
    </tableColumn>
    <tableColumn id="6" name="Pop" totalsRowFunction="sum" dataDxfId="1141" totalsRowDxfId="1140" dataCellStyle="Comma"/>
    <tableColumn id="7" name="N_cps" totalsRowFunction="custom" dataDxfId="1139" totalsRowDxfId="1138">
      <calculatedColumnFormula>CONCATENATE(AG2," cp",IF(AG2&gt;1,"s",""))</calculatedColumnFormula>
      <totalsRowFormula>CONCATENATE(Table58[[#Totals],[Column1]]," camps")</totalsRowFormula>
    </tableColumn>
    <tableColumn id="8" name="Coverage" totalsRowFunction="custom" dataDxfId="1137" totalsRowDxfId="1136" dataCellStyle="Percent">
      <calculatedColumnFormula>#REF!</calculatedColumnFormula>
      <totalsRowFormula>SUMPRODUCT(Table58[Pop]*Table58[Coverage])/Table58[[#Totals],[Pop]]</totalsRowFormula>
    </tableColumn>
    <tableColumn id="9" name="Hygiene" totalsRowFunction="custom" dataDxfId="1135" totalsRowDxfId="1134" dataCellStyle="Percent">
      <totalsRowFormula>SUMPRODUCT(Table58[Pop]*Table58[Hygiene])/Table58[[#Totals],[Pop]]</totalsRowFormula>
    </tableColumn>
    <tableColumn id="10" name="Core" totalsRowFunction="custom" dataDxfId="1133" totalsRowDxfId="1132" dataCellStyle="Percent">
      <totalsRowFormula>SUMPRODUCT(Table58[Pop]*Table58[Core])/Table58[[#Totals],[Pop]]</totalsRowFormula>
    </tableColumn>
    <tableColumn id="11" name="Sanitary" totalsRowFunction="custom" dataDxfId="1131" totalsRowDxfId="1130" dataCellStyle="Percent">
      <totalsRowFormula>SUMPRODUCT(Table58[Pop]*Table58[Sanitary])/Table58[[#Totals],[Pop]]</totalsRowFormula>
    </tableColumn>
    <tableColumn id="12" name="Y" totalsRowFunction="custom" dataDxfId="1129" totalsRowDxfId="1128">
      <calculatedColumnFormula>$S$3-ROUND((W3-$S$1)*$S$5,0)</calculatedColumnFormula>
      <totalsRowFormula>1000-ROUND((W26-23.5)*$S$5,0)</totalsRowFormula>
    </tableColumn>
    <tableColumn id="13" name="X" totalsRowFunction="custom" dataDxfId="1127" totalsRowDxfId="1126">
      <calculatedColumnFormula>ROUND((V3-$S$2)*$S$5,0)+$S$4</calculatedColumnFormula>
      <totalsRowFormula>ROUND((V26-96.5)*$S$5,0)+100</totalsRowFormula>
    </tableColumn>
    <tableColumn id="14" name="Column1" totalsRowFunction="sum" dataDxfId="1125" totalsRowDxfId="1124"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D16:CG32" totalsRowShown="0" headerRowDxfId="564" dataDxfId="562" headerRowBorderDxfId="563" tableBorderDxfId="561" totalsRowBorderDxfId="560">
  <autoFilter ref="CD16:CG32"/>
  <tableColumns count="4">
    <tableColumn id="1" name="Township" dataDxfId="559">
      <calculatedColumnFormula>B10</calculatedColumnFormula>
    </tableColumn>
    <tableColumn id="2" name="V1" dataDxfId="558">
      <calculatedColumnFormula>C10-Shelter_Draw[[#This Row],[V2]]-Shelter_Draw[[#This Row],[V3]]</calculatedColumnFormula>
    </tableColumn>
    <tableColumn id="3" name="V2" dataDxfId="557">
      <calculatedColumnFormula>H10</calculatedColumnFormula>
    </tableColumn>
    <tableColumn id="4" name="V3" dataDxfId="556">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555" dataDxfId="554" tableBorderDxfId="553">
  <tableColumns count="7">
    <tableColumn id="1" name="Township" dataDxfId="552"/>
    <tableColumn id="2" name="# HHs" dataDxfId="551"/>
    <tableColumn id="3" name="# Individuals" dataDxfId="550"/>
    <tableColumn id="4" name="# Shelters needed" dataDxfId="549"/>
    <tableColumn id="5" name="# Shelters planned" dataDxfId="548"/>
    <tableColumn id="6" name="# Shelter gap*" dataDxfId="547"/>
    <tableColumn id="7" name="Current Coverage" dataDxfId="546">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11" name="Table312" displayName="Table312" ref="B4:BN41" headerRowCount="0" totalsRowShown="0" headerRowDxfId="545" dataDxfId="543" headerRowBorderDxfId="544" tableBorderDxfId="542">
  <tableColumns count="65">
    <tableColumn id="1" name="Column1" headerRowDxfId="541" dataDxfId="540"/>
    <tableColumn id="2" name="Column2" headerRowDxfId="539" dataDxfId="538"/>
    <tableColumn id="3" name="Column3" headerRowDxfId="537" dataDxfId="536"/>
    <tableColumn id="4" name="Column4" headerRowDxfId="535" dataDxfId="534"/>
    <tableColumn id="5" name="Column5" headerRowDxfId="533" dataDxfId="532"/>
    <tableColumn id="6" name="Column6" headerRowDxfId="531" dataDxfId="530"/>
    <tableColumn id="7" name="Column7" headerRowDxfId="529" dataDxfId="528"/>
    <tableColumn id="8" name="Column8" headerRowDxfId="527" dataDxfId="526"/>
    <tableColumn id="9" name="Column9" headerRowDxfId="525" dataDxfId="524"/>
    <tableColumn id="10" name="Column10" headerRowDxfId="523" dataDxfId="522"/>
    <tableColumn id="11" name="Column11" headerRowDxfId="521" dataDxfId="520"/>
    <tableColumn id="65" name="Column65" headerRowDxfId="519" dataDxfId="518"/>
    <tableColumn id="64" name="Column64" headerRowDxfId="517" dataDxfId="516"/>
    <tableColumn id="63" name="Column63" headerRowDxfId="515" dataDxfId="514"/>
    <tableColumn id="59" name="Column62" headerRowDxfId="513" dataDxfId="512"/>
    <tableColumn id="58" name="Column61" headerRowDxfId="511" dataDxfId="510"/>
    <tableColumn id="57" name="Column60" headerRowDxfId="509" dataDxfId="508"/>
    <tableColumn id="12" name="Column12" headerRowDxfId="507" dataDxfId="506"/>
    <tableColumn id="13" name="Column13" headerRowDxfId="505" dataDxfId="504"/>
    <tableColumn id="14" name="Column14" headerRowDxfId="503" dataDxfId="502"/>
    <tableColumn id="15" name="Column15" headerRowDxfId="501" dataDxfId="500"/>
    <tableColumn id="16" name="Column16" headerRowDxfId="499" dataDxfId="498"/>
    <tableColumn id="17" name="Column17" headerRowDxfId="497" dataDxfId="496"/>
    <tableColumn id="18" name="Column18" headerRowDxfId="495" dataDxfId="494"/>
    <tableColumn id="19" name="Column19" headerRowDxfId="493" dataDxfId="492"/>
    <tableColumn id="20" name="Column20" headerRowDxfId="491" dataDxfId="490"/>
    <tableColumn id="21" name="Column21" headerRowDxfId="489" dataDxfId="488"/>
    <tableColumn id="22" name="Column22" headerRowDxfId="487" dataDxfId="486"/>
    <tableColumn id="23" name="Column23" headerRowDxfId="485" dataDxfId="484"/>
    <tableColumn id="24" name="Column24" headerRowDxfId="483" dataDxfId="482"/>
    <tableColumn id="25" name="Column25" headerRowDxfId="481" dataDxfId="480"/>
    <tableColumn id="26" name="Column26" headerRowDxfId="479" dataDxfId="478"/>
    <tableColumn id="27" name="Column27" headerRowDxfId="477" dataDxfId="476"/>
    <tableColumn id="28" name="Column28" headerRowDxfId="475" dataDxfId="474"/>
    <tableColumn id="29" name="Column29" headerRowDxfId="473" dataDxfId="472"/>
    <tableColumn id="30" name="Column30" headerRowDxfId="471" dataDxfId="470"/>
    <tableColumn id="31" name="Column31" headerRowDxfId="469" dataDxfId="468"/>
    <tableColumn id="32" name="Column32" headerRowDxfId="467" dataDxfId="466"/>
    <tableColumn id="60" name="Column57" headerRowDxfId="465" dataDxfId="464"/>
    <tableColumn id="61" name="Column58" headerRowDxfId="463" dataDxfId="462"/>
    <tableColumn id="62" name="Column59" headerRowDxfId="461" dataDxfId="460"/>
    <tableColumn id="33" name="Column33" headerRowDxfId="459" dataDxfId="458"/>
    <tableColumn id="34" name="Column34" headerRowDxfId="457" dataDxfId="456"/>
    <tableColumn id="35" name="Column35" headerRowDxfId="455" dataDxfId="454"/>
    <tableColumn id="36" name="Column36" headerRowDxfId="453" dataDxfId="452"/>
    <tableColumn id="37" name="Column37" headerRowDxfId="451" dataDxfId="450"/>
    <tableColumn id="38" name="Column38" headerRowDxfId="449" dataDxfId="448"/>
    <tableColumn id="51" name="Column51" headerRowDxfId="447" dataDxfId="446"/>
    <tableColumn id="52" name="Column52" headerRowDxfId="445" dataDxfId="444"/>
    <tableColumn id="53" name="Column53" headerRowDxfId="443" dataDxfId="442"/>
    <tableColumn id="54" name="Column54" headerRowDxfId="441" dataDxfId="440"/>
    <tableColumn id="55" name="Column55" headerRowDxfId="439" dataDxfId="438"/>
    <tableColumn id="56" name="Column56" headerRowDxfId="437" dataDxfId="436"/>
    <tableColumn id="39" name="Column39" headerRowDxfId="435" dataDxfId="434"/>
    <tableColumn id="40" name="Column40" headerRowDxfId="433" dataDxfId="432"/>
    <tableColumn id="41" name="Column41" headerRowDxfId="431" dataDxfId="430"/>
    <tableColumn id="42" name="Column42" headerRowDxfId="429" dataDxfId="428"/>
    <tableColumn id="43" name="Column43" headerRowDxfId="427" dataDxfId="426"/>
    <tableColumn id="44" name="Column44" headerRowDxfId="425" dataDxfId="424"/>
    <tableColumn id="45" name="Column45" headerRowDxfId="423" dataDxfId="422"/>
    <tableColumn id="46" name="Column46" headerRowDxfId="421" dataDxfId="420"/>
    <tableColumn id="47" name="Column47" headerRowDxfId="419" dataDxfId="418"/>
    <tableColumn id="48" name="Column48" headerRowDxfId="417" dataDxfId="416"/>
    <tableColumn id="49" name="Column49" headerRowDxfId="415" dataDxfId="414"/>
    <tableColumn id="50" name="Column50" headerRowDxfId="413" dataDxfId="412"/>
  </tableColumns>
  <tableStyleInfo name="TableStyleLight2" showFirstColumn="0" showLastColumn="0" showRowStripes="1" showColumnStripes="0"/>
</table>
</file>

<file path=xl/tables/table7.xml><?xml version="1.0" encoding="utf-8"?>
<table xmlns="http://schemas.openxmlformats.org/spreadsheetml/2006/main" id="2" name="Table_NFI" displayName="Table_NFI" ref="B5:AU212" tableType="xml" totalsRowShown="0" headerRowDxfId="409" dataDxfId="407" headerRowBorderDxfId="408" tableBorderDxfId="406" totalsRowBorderDxfId="405">
  <autoFilter ref="B5:AU212">
    <filterColumn colId="5">
      <filters>
        <filter val="Namhkam"/>
        <filter val="Namhkan"/>
      </filters>
    </filterColumn>
  </autoFilter>
  <sortState ref="B6:AT180">
    <sortCondition ref="B5:B180"/>
  </sortState>
  <tableColumns count="46">
    <tableColumn id="1" uniqueName="Distribution Date" name="Distribution Date" dataDxfId="404">
      <xmlColumnPr mapId="8" xpath="/dataroot/NFI_x005f_x0020_Tracking/Distribution_x005f_x0020_Date" xmlDataType="dateTime"/>
    </tableColumn>
    <tableColumn id="29" uniqueName="29" name="Distribution Month/Year (Auto-calculated)" dataDxfId="403">
      <calculatedColumnFormula>MONTH(Table_NFI[[#This Row],[Distribution Date]]) &amp; "/" &amp; YEAR(Table_NFI[[#This Row],[Distribution Date]])</calculatedColumnFormula>
    </tableColumn>
    <tableColumn id="2" uniqueName="Organization" name="Agency" dataDxfId="402">
      <xmlColumnPr mapId="8" xpath="/dataroot/NFI_x005f_x0020_Tracking/Organization" xmlDataType="string"/>
    </tableColumn>
    <tableColumn id="3" uniqueName="Implementing Partner" name="Implementing Partner" dataDxfId="401">
      <xmlColumnPr mapId="8" xpath="/dataroot/NFI_x005f_x0020_Tracking/Implementing_x005f_x0020_Partner" xmlDataType="string"/>
    </tableColumn>
    <tableColumn id="4" uniqueName="State" name="State" dataDxfId="400">
      <xmlColumnPr mapId="8" xpath="/dataroot/NFI_x005f_x0020_Tracking/State" xmlDataType="string"/>
    </tableColumn>
    <tableColumn id="5" uniqueName="Township" name="Township" dataDxfId="399">
      <xmlColumnPr mapId="8" xpath="/dataroot/NFI_x005f_x0020_Tracking/Township" xmlDataType="string"/>
    </tableColumn>
    <tableColumn id="6" uniqueName="Camp Name" name="Location" dataDxfId="398">
      <xmlColumnPr mapId="8" xpath="/dataroot/NFI_x005f_x0020_Tracking/Camp_x005f_x0020_Name" xmlDataType="string"/>
    </tableColumn>
    <tableColumn id="44" uniqueName="44" name="Cash for NFI (# of HHs covered)" dataDxfId="397"/>
    <tableColumn id="7" uniqueName="Hygiene Kit" name="Hygiene Kit" dataDxfId="396">
      <xmlColumnPr mapId="8" xpath="/dataroot/NFI_x005f_x0020_Tracking/Hygiene_x005f_x0020_Kit" xmlDataType="string"/>
    </tableColumn>
    <tableColumn id="15" uniqueName="15" name="Dignity Kit" dataDxfId="395"/>
    <tableColumn id="8" uniqueName="NFI Core Kit" name="NFI Core Kit" dataDxfId="394">
      <xmlColumnPr mapId="8" xpath="/dataroot/NFI_x005f_x0020_Tracking/NFI_x005f_x0020_Core_x005f_x0020_Kit" xmlDataType="string"/>
    </tableColumn>
    <tableColumn id="9" uniqueName="Sanitary Kit" name="Sanitary Kit" dataDxfId="393">
      <xmlColumnPr mapId="8" xpath="/dataroot/NFI_x005f_x0020_Tracking/Sanitary_x005f_x0020_Kit" xmlDataType="string"/>
    </tableColumn>
    <tableColumn id="10" uniqueName="Mosquito net" name="Mosquito net" dataDxfId="392">
      <xmlColumnPr mapId="8" xpath="/dataroot/NFI_x005f_x0020_Tracking/Mosquito_x005f_x0020_net" xmlDataType="double"/>
    </tableColumn>
    <tableColumn id="11" uniqueName="Tarpaulin" name="Tarpaulin" dataDxfId="391">
      <xmlColumnPr mapId="8" xpath="/dataroot/NFI_x005f_x0020_Tracking/Tarpaulin" xmlDataType="double"/>
    </tableColumn>
    <tableColumn id="12" uniqueName="Blanket" name="Blanket" dataDxfId="390">
      <xmlColumnPr mapId="8" xpath="/dataroot/NFI_x005f_x0020_Tracking/Blanket" xmlDataType="double"/>
    </tableColumn>
    <tableColumn id="13" uniqueName="Kitchen Set" name="Kitchen Set" dataDxfId="389">
      <xmlColumnPr mapId="8" xpath="/dataroot/NFI_x005f_x0020_Tracking/Kitchen_x005f_x0020_Set" xmlDataType="double"/>
    </tableColumn>
    <tableColumn id="14" uniqueName="Clothes Kit" name="Clothes Kit" dataDxfId="388">
      <xmlColumnPr mapId="8" xpath="/dataroot/NFI_x005f_x0020_Tracking/Clothes_x005f_x0020_Kit" xmlDataType="double"/>
    </tableColumn>
    <tableColumn id="26" uniqueName="Plastic Bucket" name="Plastic Bucket" dataDxfId="387">
      <xmlColumnPr mapId="8" xpath="/dataroot/NFI_x005f_x0020_Tracking/Plastic_x005f_x0020_Bucket" xmlDataType="double"/>
    </tableColumn>
    <tableColumn id="25" uniqueName="Plastic Mat" name="Plastic Mat" dataDxfId="386">
      <xmlColumnPr mapId="8" xpath="/dataroot/NFI_x005f_x0020_Tracking/Plastic_x005f_x0020_Mat" xmlDataType="double"/>
    </tableColumn>
    <tableColumn id="47" uniqueName="Winter Clothes Adult" name="Winter Clothes Adult" dataDxfId="385">
      <xmlColumnPr mapId="8" xpath="/dataroot/NFI_x005f_x0020_Tracking/Winter_x005f_x0020_Clothes_x005f_x0020_Adult" xmlDataType="string"/>
    </tableColumn>
    <tableColumn id="46" uniqueName="Winter Clothes Children" name="Winter Clothes Children" dataDxfId="384">
      <xmlColumnPr mapId="8" xpath="/dataroot/NFI_x005f_x0020_Tracking/Winter_x005f_x0020_Clothes_x005f_x0020_Children" xmlDataType="string"/>
    </tableColumn>
    <tableColumn id="45" uniqueName="Winter Items Other" name="Winter Items Other" dataDxfId="383">
      <xmlColumnPr mapId="8" xpath="/dataroot/NFI_x005f_x0020_Tracking/Winter_x005f_x0020_Items_x005f_x0020_Other" xmlDataType="string"/>
    </tableColumn>
    <tableColumn id="32" uniqueName="Winter Blanket" name="Winter Blanket" dataDxfId="382">
      <xmlColumnPr mapId="8" xpath="/dataroot/NFI_x005f_x0020_Tracking/Winter_x005f_x0020_Blanket" xmlDataType="string"/>
    </tableColumn>
    <tableColumn id="38" uniqueName="38" name="Jerry Can" dataDxfId="381"/>
    <tableColumn id="23" uniqueName="23" name="Solar lamps" dataDxfId="380"/>
    <tableColumn id="41" uniqueName="41" name="Shelter Tool kit" dataDxfId="379"/>
    <tableColumn id="40" uniqueName="40" name="Tent" dataDxfId="378"/>
    <tableColumn id="16" uniqueName="NFI Core Kit_LS" name="NFI Core Kit_LS" dataDxfId="377">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6">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75">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74">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73">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72">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71">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70">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9">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68">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7">
      <xmlColumnPr mapId="8" xpath="/dataroot/NFI_x005f_x0020_Tracking/Winter_x005f_x0020_Clothes_x005f_x0020_Children_LS" xmlDataType="string"/>
    </tableColumn>
    <tableColumn id="48" uniqueName="Winter Items Other_LS" name="Winter Items Other_LS" dataDxfId="366">
      <xmlColumnPr mapId="8" xpath="/dataroot/NFI_x005f_x0020_Tracking/Winter_x005f_x0020_Items_x005f_x0020_Other_LS" xmlDataType="string"/>
    </tableColumn>
    <tableColumn id="33" uniqueName="Winter Blanket_LS" name="Winter Blanket_LS" dataDxfId="365">
      <xmlColumnPr mapId="8" xpath="/dataroot/NFI_x005f_x0020_Tracking/Winter_x005f_x0020_Blanket_LS" xmlDataType="string"/>
    </tableColumn>
    <tableColumn id="36" uniqueName="Winter" name="Winter" dataDxfId="364">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63"/>
    <tableColumn id="42" uniqueName="42" name="Shelter Tool kit_LS" dataDxfId="362"/>
    <tableColumn id="43" uniqueName="43" name="Tent_LS" dataDxfId="361"/>
    <tableColumn id="24" uniqueName="Pcode" name="Pcode" dataDxfId="360">
      <calculatedColumnFormula>IFERROR(VLOOKUP(Table_NFI[[#This Row],[Location]],CL,2,0),"")</calculatedColumnFormula>
      <xmlColumnPr mapId="8" xpath="/dataroot/NFI_x005f_x0020_Tracking/Pcode" xmlDataType="string"/>
    </tableColumn>
    <tableColumn id="37" uniqueName="Comment" name="Comment" dataDxfId="359">
      <xmlColumnPr mapId="8" xpath="/dataroot/NFI_x005f_x0020_Tracking/Comment" xmlDataType="string"/>
    </tableColumn>
  </tableColumns>
  <tableStyleInfo name="TableStyleMedium9" showFirstColumn="0" showLastColumn="0" showRowStripes="1" showColumnStripes="0"/>
</table>
</file>

<file path=xl/tables/table8.xml><?xml version="1.0" encoding="utf-8"?>
<table xmlns="http://schemas.openxmlformats.org/spreadsheetml/2006/main" id="10" name="Table10" displayName="Table10" ref="A1:N168" totalsRowShown="0" headerRowDxfId="356" headerRowBorderDxfId="355" tableBorderDxfId="354" totalsRowBorderDxfId="353">
  <autoFilter ref="A1:N168"/>
  <tableColumns count="14">
    <tableColumn id="5" name="Pcode" dataDxfId="352"/>
    <tableColumn id="2" name="Priority" dataDxfId="351">
      <calculatedColumnFormula>OFFSET(#REF!,MATCH(Table10[[#This Row],[Pcode]],CampList[CP_Pcode],0)-1,0,1,1)</calculatedColumnFormula>
    </tableColumn>
    <tableColumn id="1" name="Camp" dataDxfId="350">
      <calculatedColumnFormula>OFFSET(CampList[Camp],MATCH(Table10[[#This Row],[Pcode]],CampList[CP_Pcode],0)-1,0,1,1)</calculatedColumnFormula>
    </tableColumn>
    <tableColumn id="4" name="Township" dataDxfId="349">
      <calculatedColumnFormula>OFFSET(CampList[Township],MATCH(Table10[[#This Row],[Pcode]],CampList[CP_Pcode],0)-1,0,1,1)</calculatedColumnFormula>
    </tableColumn>
    <tableColumn id="6" name="HH" dataDxfId="348">
      <calculatedColumnFormula>OFFSET(CampList[HH],MATCH(Table10[[#This Row],[Pcode]],CampList[CP_Pcode],0)-1,0,1,1)</calculatedColumnFormula>
    </tableColumn>
    <tableColumn id="7" name="Ind" dataDxfId="347">
      <calculatedColumnFormula>OFFSET(CampList[Total],MATCH(Table10[[#This Row],[Pcode]],CampList[CP_Pcode],0)-1,0,1,1)</calculatedColumnFormula>
    </tableColumn>
    <tableColumn id="8" name="Winter Clothes Adult " dataDxfId="346">
      <calculatedColumnFormula>SUMIF('NFI Distributions'!AU$53:AU$1048576,Table10[[#This Row],[Pcode]],'NFI Distributions'!AM$53:AM$1048576)</calculatedColumnFormula>
    </tableColumn>
    <tableColumn id="9" name="Winter Clothes Children " dataDxfId="345">
      <calculatedColumnFormula>SUMIF('NFI Distributions'!AU$53:AU$1048576,Table10[[#This Row],[Pcode]],'NFI Distributions'!AN$53:AN$1048576)</calculatedColumnFormula>
    </tableColumn>
    <tableColumn id="10" name="Winter Items Other " dataDxfId="344">
      <calculatedColumnFormula>SUMIF('NFI Distributions'!AU$53:AU$1048576,Table10[[#This Row],[Pcode]],'NFI Distributions'!AO$53:AO$1048576)</calculatedColumnFormula>
    </tableColumn>
    <tableColumn id="11" name="WC_Adult_Gap" dataDxfId="343">
      <calculatedColumnFormula>MAX(Table10[[#This Row],[HH]]*VLOOKUP("Winter Clothes Adult",NFI,6)-Table10[[#This Row],[Winter Clothes Adult ]],0)</calculatedColumnFormula>
    </tableColumn>
    <tableColumn id="12" name="WC_Child_Gap" dataDxfId="342">
      <calculatedColumnFormula>MAX(Table10[[#This Row],[HH]]*VLOOKUP("Winter Clothes Children ",NFI,6)-Table10[[#This Row],[Winter Clothes Children ]],0)</calculatedColumnFormula>
    </tableColumn>
    <tableColumn id="13" name="WI_Other_Gap" dataDxfId="341">
      <calculatedColumnFormula>MAX(Table10[[#This Row],[HH]]*VLOOKUP("Winter Items Other ",NFI,6)-Table10[[#This Row],[Winter Items Other ]],0)</calculatedColumnFormula>
    </tableColumn>
    <tableColumn id="3" name="Planned Distribution" dataDxfId="340">
      <calculatedColumnFormula>IF(OR(Table10[[#This Row],[Winter Clothes Adult ]]&lt;&gt;0,Table10[[#This Row],[Winter Clothes Children ]]&lt;&gt;0,Table10[[#This Row],[Winter Items Other ]]&lt;&gt;0),"No","")</calculatedColumnFormula>
    </tableColumn>
    <tableColumn id="14" name="Check1" dataDxfId="339">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319" dataDxfId="318">
  <autoFilter ref="J1:J4"/>
  <tableColumns count="1">
    <tableColumn id="1" name="State" dataDxfId="3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3.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4.bin"/><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AI291"/>
  <sheetViews>
    <sheetView showGridLines="0" showZeros="0" topLeftCell="A4" zoomScaleNormal="100" workbookViewId="0">
      <selection activeCell="G12" sqref="G12"/>
    </sheetView>
  </sheetViews>
  <sheetFormatPr defaultColWidth="8.85546875" defaultRowHeight="15.6" customHeight="1" x14ac:dyDescent="0.25"/>
  <cols>
    <col min="1" max="1" width="1.28515625" style="186" customWidth="1"/>
    <col min="2" max="2" width="7" style="256" customWidth="1"/>
    <col min="3" max="3" width="11.85546875" style="256" customWidth="1"/>
    <col min="4" max="4" width="9.28515625" style="631" hidden="1" customWidth="1"/>
    <col min="5" max="5" width="10.5703125" style="631" customWidth="1"/>
    <col min="6" max="6" width="13.85546875" style="631" hidden="1" customWidth="1"/>
    <col min="7" max="7" width="16.85546875" style="631" customWidth="1"/>
    <col min="8" max="8" width="19.28515625" style="631" hidden="1" customWidth="1"/>
    <col min="9" max="9" width="33.7109375" style="631" customWidth="1"/>
    <col min="10" max="10" width="1.7109375" style="631" hidden="1" customWidth="1"/>
    <col min="11" max="11" width="19.28515625" style="631" customWidth="1"/>
    <col min="12" max="12" width="19" style="631" hidden="1" customWidth="1"/>
    <col min="13" max="13" width="37" style="631" customWidth="1"/>
    <col min="14" max="14" width="16.85546875" style="631" customWidth="1"/>
    <col min="15" max="15" width="12.7109375" style="632" customWidth="1"/>
    <col min="16" max="16" width="9.7109375" style="632" customWidth="1"/>
    <col min="17" max="17" width="2" style="632" hidden="1" customWidth="1"/>
    <col min="18" max="18" width="10.5703125" style="199" customWidth="1"/>
    <col min="19" max="19" width="10.140625" style="633" customWidth="1"/>
    <col min="20" max="20" width="14.7109375" style="634" customWidth="1"/>
    <col min="21" max="21" width="12.7109375" style="199" customWidth="1"/>
    <col min="22" max="22" width="14" style="199" customWidth="1"/>
    <col min="23" max="23" width="28.85546875" style="199" bestFit="1" customWidth="1"/>
    <col min="24" max="24" width="11" style="199" customWidth="1"/>
    <col min="25" max="25" width="15.140625" style="635" customWidth="1"/>
    <col min="26" max="26" width="18.140625" style="636" customWidth="1"/>
    <col min="27" max="27" width="6.5703125" style="631" customWidth="1"/>
    <col min="28" max="28" width="12.42578125" style="632" customWidth="1"/>
    <col min="29" max="29" width="37.7109375" style="637" customWidth="1"/>
    <col min="30" max="30" width="16.7109375" style="199" customWidth="1"/>
    <col min="31" max="31" width="12.5703125" style="638" customWidth="1"/>
    <col min="32" max="32" width="12.42578125" style="632" customWidth="1"/>
    <col min="33" max="33" width="9.140625" style="186"/>
    <col min="34" max="34" width="9.140625" style="185"/>
    <col min="35" max="35" width="8.85546875" style="185"/>
    <col min="36" max="44" width="8.85546875" style="186"/>
    <col min="45" max="46" width="9.140625" style="186" customWidth="1"/>
    <col min="47" max="16384" width="8.85546875" style="186"/>
  </cols>
  <sheetData>
    <row r="1" spans="2:35" ht="8.4499999999999993" customHeight="1" x14ac:dyDescent="0.25"/>
    <row r="2" spans="2:35" s="185" customFormat="1" ht="15.6" customHeight="1" x14ac:dyDescent="0.25">
      <c r="B2" s="616" t="s">
        <v>1299</v>
      </c>
      <c r="C2" s="617"/>
      <c r="D2" s="617"/>
      <c r="E2" s="617"/>
      <c r="F2" s="617"/>
      <c r="G2" s="617"/>
      <c r="H2" s="617"/>
      <c r="I2" s="617" t="s">
        <v>1400</v>
      </c>
      <c r="J2" s="617"/>
      <c r="K2" s="573"/>
      <c r="L2" s="617"/>
      <c r="M2" s="750" t="s">
        <v>1407</v>
      </c>
      <c r="N2" s="617"/>
      <c r="O2" s="618"/>
      <c r="P2" s="618"/>
      <c r="Q2" s="618"/>
      <c r="R2" s="573"/>
      <c r="S2" s="573"/>
      <c r="T2" s="619"/>
      <c r="U2" s="620"/>
      <c r="V2" s="620"/>
      <c r="W2" s="620"/>
      <c r="X2" s="620"/>
      <c r="Y2" s="621"/>
      <c r="Z2" s="622"/>
      <c r="AA2" s="617"/>
      <c r="AB2" s="618"/>
      <c r="AC2" s="639"/>
      <c r="AD2" s="640"/>
      <c r="AE2" s="641"/>
      <c r="AF2" s="642"/>
    </row>
    <row r="3" spans="2:35" s="185" customFormat="1" ht="45" customHeight="1" x14ac:dyDescent="0.25">
      <c r="B3" s="748">
        <f>Definition!B23</f>
        <v>43160</v>
      </c>
      <c r="C3" s="749"/>
      <c r="D3" s="749"/>
      <c r="E3" s="623"/>
      <c r="F3" s="623"/>
      <c r="G3" s="623"/>
      <c r="H3" s="623"/>
      <c r="I3" s="624" t="s">
        <v>1588</v>
      </c>
      <c r="J3" s="623"/>
      <c r="K3" s="625"/>
      <c r="L3" s="623"/>
      <c r="M3" s="751"/>
      <c r="N3" s="624"/>
      <c r="O3" s="626"/>
      <c r="P3" s="626"/>
      <c r="Q3" s="626"/>
      <c r="R3" s="574"/>
      <c r="S3" s="574"/>
      <c r="T3" s="627"/>
      <c r="U3" s="628"/>
      <c r="V3" s="628"/>
      <c r="W3" s="628"/>
      <c r="X3" s="628"/>
      <c r="Y3" s="629"/>
      <c r="Z3" s="630"/>
      <c r="AA3" s="623"/>
      <c r="AB3" s="626"/>
      <c r="AC3" s="643"/>
      <c r="AD3" s="644"/>
      <c r="AE3" s="645"/>
      <c r="AF3" s="646"/>
    </row>
    <row r="4" spans="2:35" s="652" customFormat="1" ht="15.75" customHeight="1" x14ac:dyDescent="0.25">
      <c r="B4" s="203" t="s">
        <v>458</v>
      </c>
      <c r="C4" s="203" t="s">
        <v>392</v>
      </c>
      <c r="D4" s="647" t="s">
        <v>828</v>
      </c>
      <c r="E4" s="203" t="s">
        <v>477</v>
      </c>
      <c r="F4" s="647" t="s">
        <v>829</v>
      </c>
      <c r="G4" s="203" t="s">
        <v>0</v>
      </c>
      <c r="H4" s="647" t="s">
        <v>830</v>
      </c>
      <c r="I4" s="203" t="s">
        <v>831</v>
      </c>
      <c r="J4" s="647" t="s">
        <v>832</v>
      </c>
      <c r="K4" s="203" t="s">
        <v>476</v>
      </c>
      <c r="L4" s="647" t="s">
        <v>833</v>
      </c>
      <c r="M4" s="203" t="s">
        <v>507</v>
      </c>
      <c r="N4" s="203" t="s">
        <v>834</v>
      </c>
      <c r="O4" s="203" t="s">
        <v>1</v>
      </c>
      <c r="P4" s="343" t="s">
        <v>1086</v>
      </c>
      <c r="Q4" s="648" t="s">
        <v>781</v>
      </c>
      <c r="R4" s="343" t="s">
        <v>2</v>
      </c>
      <c r="S4" s="209" t="s">
        <v>3</v>
      </c>
      <c r="T4" s="215" t="s">
        <v>451</v>
      </c>
      <c r="U4" s="203" t="s">
        <v>457</v>
      </c>
      <c r="V4" s="343" t="s">
        <v>1038</v>
      </c>
      <c r="W4" s="203" t="s">
        <v>398</v>
      </c>
      <c r="X4" s="343" t="s">
        <v>782</v>
      </c>
      <c r="Y4" s="653" t="s">
        <v>783</v>
      </c>
      <c r="Z4" s="343" t="s">
        <v>835</v>
      </c>
      <c r="AA4" s="320" t="s">
        <v>452</v>
      </c>
      <c r="AB4" s="216" t="s">
        <v>461</v>
      </c>
      <c r="AC4" s="217" t="s">
        <v>456</v>
      </c>
      <c r="AD4" s="203" t="s">
        <v>995</v>
      </c>
      <c r="AE4" s="575" t="s">
        <v>996</v>
      </c>
      <c r="AF4" s="575" t="s">
        <v>1017</v>
      </c>
      <c r="AH4" s="343"/>
      <c r="AI4" s="343"/>
    </row>
    <row r="5" spans="2:35" ht="15.75" customHeight="1" x14ac:dyDescent="0.25">
      <c r="B5" s="218" t="s">
        <v>460</v>
      </c>
      <c r="C5" s="212" t="s">
        <v>378</v>
      </c>
      <c r="D5" s="212" t="s">
        <v>478</v>
      </c>
      <c r="E5" s="212" t="s">
        <v>237</v>
      </c>
      <c r="F5" s="212" t="s">
        <v>484</v>
      </c>
      <c r="G5" s="212" t="s">
        <v>237</v>
      </c>
      <c r="H5" s="212" t="s">
        <v>488</v>
      </c>
      <c r="I5" s="212" t="s">
        <v>611</v>
      </c>
      <c r="J5" s="212" t="s">
        <v>612</v>
      </c>
      <c r="K5" s="212" t="s">
        <v>616</v>
      </c>
      <c r="L5" s="212" t="s">
        <v>617</v>
      </c>
      <c r="M5" s="212" t="s">
        <v>238</v>
      </c>
      <c r="N5" s="212" t="s">
        <v>236</v>
      </c>
      <c r="O5" s="219">
        <v>97.386718999999999</v>
      </c>
      <c r="P5" s="219">
        <v>25.415482000000001</v>
      </c>
      <c r="Q5" s="220">
        <v>0</v>
      </c>
      <c r="R5" s="292">
        <v>73</v>
      </c>
      <c r="S5" s="292">
        <v>406</v>
      </c>
      <c r="T5" s="222">
        <f>IF(CampList[[#This Row],[HH]]&gt;0,CampList[[#This Row],[Total]]/CampList[[#This Row],[HH]],"NA")</f>
        <v>5.5616438356164384</v>
      </c>
      <c r="U5" s="214" t="s">
        <v>464</v>
      </c>
      <c r="V5" s="214" t="s">
        <v>997</v>
      </c>
      <c r="W5" s="214" t="s">
        <v>507</v>
      </c>
      <c r="X5" s="214" t="s">
        <v>742</v>
      </c>
      <c r="Y5" s="331">
        <v>40695</v>
      </c>
      <c r="Z5" s="223" t="s">
        <v>424</v>
      </c>
      <c r="AA5" s="212" t="s">
        <v>775</v>
      </c>
      <c r="AB5" s="225">
        <v>43220</v>
      </c>
      <c r="AC5" s="226" t="s">
        <v>1710</v>
      </c>
      <c r="AD5" s="214" t="str">
        <f ca="1">IFERROR(OFFSET(DistanceToCamp[Nearest Town],MATCH(CampList[[#This Row],[CP_Pcode]],DistanceToCamp[CP_Pcode],0)-1,0,1,1),"")</f>
        <v>Myitkyina Town</v>
      </c>
      <c r="AE5" s="227">
        <f ca="1">IFERROR(OFFSET(DistanceToCamp[distance],MATCH(CampList[[#This Row],[CP_Pcode]],DistanceToCamp[CP_Pcode],0)-1,0,1,1),"")</f>
        <v>3.1341427522963001</v>
      </c>
      <c r="AF5" s="228">
        <f ca="1">IFERROR(INT(CampList[[#This Row],[Distance]]/5)+1,"")</f>
        <v>1</v>
      </c>
    </row>
    <row r="6" spans="2:35" ht="15.75" customHeight="1" x14ac:dyDescent="0.25">
      <c r="B6" s="218" t="s">
        <v>460</v>
      </c>
      <c r="C6" s="212" t="s">
        <v>378</v>
      </c>
      <c r="D6" s="212" t="s">
        <v>478</v>
      </c>
      <c r="E6" s="212" t="s">
        <v>237</v>
      </c>
      <c r="F6" s="212" t="s">
        <v>484</v>
      </c>
      <c r="G6" s="212" t="s">
        <v>237</v>
      </c>
      <c r="H6" s="212" t="s">
        <v>488</v>
      </c>
      <c r="I6" s="212" t="s">
        <v>611</v>
      </c>
      <c r="J6" s="212" t="s">
        <v>612</v>
      </c>
      <c r="K6" s="212" t="s">
        <v>620</v>
      </c>
      <c r="L6" s="212"/>
      <c r="M6" s="212" t="s">
        <v>268</v>
      </c>
      <c r="N6" s="212" t="s">
        <v>267</v>
      </c>
      <c r="O6" s="219">
        <v>97.394547000000003</v>
      </c>
      <c r="P6" s="219">
        <v>25.422194000000001</v>
      </c>
      <c r="Q6" s="220">
        <v>0</v>
      </c>
      <c r="R6" s="292">
        <v>67</v>
      </c>
      <c r="S6" s="292">
        <v>296</v>
      </c>
      <c r="T6" s="222">
        <f>IF(CampList[[#This Row],[HH]]&gt;0,CampList[[#This Row],[Total]]/CampList[[#This Row],[HH]],"NA")</f>
        <v>4.4179104477611943</v>
      </c>
      <c r="U6" s="214" t="s">
        <v>464</v>
      </c>
      <c r="V6" s="214" t="s">
        <v>997</v>
      </c>
      <c r="W6" s="214" t="s">
        <v>507</v>
      </c>
      <c r="X6" s="214" t="s">
        <v>742</v>
      </c>
      <c r="Y6" s="331">
        <v>40695</v>
      </c>
      <c r="Z6" s="223" t="s">
        <v>424</v>
      </c>
      <c r="AA6" s="212" t="s">
        <v>775</v>
      </c>
      <c r="AB6" s="225">
        <v>43220</v>
      </c>
      <c r="AC6" s="226" t="s">
        <v>1709</v>
      </c>
      <c r="AD6" s="214" t="str">
        <f ca="1">IFERROR(OFFSET(DistanceToCamp[Nearest Town],MATCH(CampList[[#This Row],[CP_Pcode]],DistanceToCamp[CP_Pcode],0)-1,0,1,1),"")</f>
        <v>Myitkyina Town</v>
      </c>
      <c r="AE6" s="227">
        <f ca="1">IFERROR(OFFSET(DistanceToCamp[distance],MATCH(CampList[[#This Row],[CP_Pcode]],DistanceToCamp[CP_Pcode],0)-1,0,1,1),"")</f>
        <v>3.8820329084732199</v>
      </c>
      <c r="AF6" s="228">
        <f ca="1">IFERROR(INT(CampList[[#This Row],[Distance]]/5)+1,"")</f>
        <v>1</v>
      </c>
    </row>
    <row r="7" spans="2:35" ht="15.75" customHeight="1" x14ac:dyDescent="0.25">
      <c r="B7" s="218" t="s">
        <v>460</v>
      </c>
      <c r="C7" s="212" t="s">
        <v>378</v>
      </c>
      <c r="D7" s="212" t="s">
        <v>478</v>
      </c>
      <c r="E7" s="212" t="s">
        <v>237</v>
      </c>
      <c r="F7" s="212" t="s">
        <v>484</v>
      </c>
      <c r="G7" s="212" t="s">
        <v>237</v>
      </c>
      <c r="H7" s="212" t="s">
        <v>488</v>
      </c>
      <c r="I7" s="212" t="s">
        <v>611</v>
      </c>
      <c r="J7" s="212" t="s">
        <v>612</v>
      </c>
      <c r="K7" s="212" t="s">
        <v>616</v>
      </c>
      <c r="L7" s="212" t="s">
        <v>617</v>
      </c>
      <c r="M7" s="212" t="s">
        <v>250</v>
      </c>
      <c r="N7" s="212" t="s">
        <v>249</v>
      </c>
      <c r="O7" s="219">
        <v>97.377662999999998</v>
      </c>
      <c r="P7" s="219">
        <v>25.404752999999999</v>
      </c>
      <c r="Q7" s="220">
        <v>0</v>
      </c>
      <c r="R7" s="292">
        <v>32</v>
      </c>
      <c r="S7" s="292">
        <v>174</v>
      </c>
      <c r="T7" s="222">
        <f>IF(CampList[[#This Row],[HH]]&gt;0,CampList[[#This Row],[Total]]/CampList[[#This Row],[HH]],"NA")</f>
        <v>5.4375</v>
      </c>
      <c r="U7" s="214" t="s">
        <v>464</v>
      </c>
      <c r="V7" s="214" t="s">
        <v>997</v>
      </c>
      <c r="W7" s="214" t="s">
        <v>507</v>
      </c>
      <c r="X7" s="214" t="s">
        <v>742</v>
      </c>
      <c r="Y7" s="331">
        <v>40725</v>
      </c>
      <c r="Z7" s="223" t="s">
        <v>424</v>
      </c>
      <c r="AA7" s="212" t="s">
        <v>775</v>
      </c>
      <c r="AB7" s="225">
        <v>43220</v>
      </c>
      <c r="AC7" s="226" t="s">
        <v>1708</v>
      </c>
      <c r="AD7" s="214" t="str">
        <f ca="1">IFERROR(OFFSET(DistanceToCamp[Nearest Town],MATCH(CampList[[#This Row],[CP_Pcode]],DistanceToCamp[CP_Pcode],0)-1,0,1,1),"")</f>
        <v>Myitkyina Town</v>
      </c>
      <c r="AE7" s="227">
        <f ca="1">IFERROR(OFFSET(DistanceToCamp[distance],MATCH(CampList[[#This Row],[CP_Pcode]],DistanceToCamp[CP_Pcode],0)-1,0,1,1),"")</f>
        <v>2.3045478259125423</v>
      </c>
      <c r="AF7" s="228">
        <f ca="1">IFERROR(INT(CampList[[#This Row],[Distance]]/5)+1,"")</f>
        <v>1</v>
      </c>
    </row>
    <row r="8" spans="2:35" ht="15.75" customHeight="1" x14ac:dyDescent="0.25">
      <c r="B8" s="218" t="s">
        <v>460</v>
      </c>
      <c r="C8" s="212" t="s">
        <v>378</v>
      </c>
      <c r="D8" s="212" t="s">
        <v>478</v>
      </c>
      <c r="E8" s="212" t="s">
        <v>180</v>
      </c>
      <c r="F8" s="212" t="s">
        <v>479</v>
      </c>
      <c r="G8" s="212" t="s">
        <v>480</v>
      </c>
      <c r="H8" s="212" t="s">
        <v>481</v>
      </c>
      <c r="I8" s="226" t="s">
        <v>552</v>
      </c>
      <c r="J8" s="226" t="s">
        <v>553</v>
      </c>
      <c r="K8" s="226" t="s">
        <v>552</v>
      </c>
      <c r="L8" s="229">
        <v>166773</v>
      </c>
      <c r="M8" s="212" t="s">
        <v>41</v>
      </c>
      <c r="N8" s="212" t="s">
        <v>40</v>
      </c>
      <c r="O8" s="219">
        <v>96.345569999999995</v>
      </c>
      <c r="P8" s="219">
        <v>25.635300000000001</v>
      </c>
      <c r="Q8" s="220">
        <v>0</v>
      </c>
      <c r="R8" s="292">
        <v>65</v>
      </c>
      <c r="S8" s="292">
        <v>353</v>
      </c>
      <c r="T8" s="222">
        <f>IF(CampList[[#This Row],[HH]]&gt;0,CampList[[#This Row],[Total]]/CampList[[#This Row],[HH]],"NA")</f>
        <v>5.430769230769231</v>
      </c>
      <c r="U8" s="214" t="s">
        <v>464</v>
      </c>
      <c r="V8" s="214" t="s">
        <v>997</v>
      </c>
      <c r="W8" s="214" t="s">
        <v>507</v>
      </c>
      <c r="X8" s="214" t="s">
        <v>742</v>
      </c>
      <c r="Y8" s="331">
        <v>41275</v>
      </c>
      <c r="Z8" s="223" t="s">
        <v>462</v>
      </c>
      <c r="AA8" s="239" t="s">
        <v>775</v>
      </c>
      <c r="AB8" s="225">
        <v>43220</v>
      </c>
      <c r="AC8" s="218" t="s">
        <v>1676</v>
      </c>
      <c r="AD8" s="214" t="str">
        <f ca="1">IFERROR(OFFSET(DistanceToCamp[Nearest Town],MATCH(CampList[[#This Row],[CP_Pcode]],DistanceToCamp[CP_Pcode],0)-1,0,1,1),"")</f>
        <v>Hpakant Town</v>
      </c>
      <c r="AE8" s="227">
        <f ca="1">IFERROR(OFFSET(DistanceToCamp[distance],MATCH(CampList[[#This Row],[CP_Pcode]],DistanceToCamp[CP_Pcode],0)-1,0,1,1),"")</f>
        <v>4.1842484710239098</v>
      </c>
      <c r="AF8" s="228">
        <f ca="1">IFERROR(INT(CampList[[#This Row],[Distance]]/5)+1,"")</f>
        <v>1</v>
      </c>
    </row>
    <row r="9" spans="2:35" ht="15.75" customHeight="1" x14ac:dyDescent="0.25">
      <c r="B9" s="218" t="s">
        <v>460</v>
      </c>
      <c r="C9" s="212" t="s">
        <v>378</v>
      </c>
      <c r="D9" s="212" t="s">
        <v>478</v>
      </c>
      <c r="E9" s="212" t="s">
        <v>237</v>
      </c>
      <c r="F9" s="212" t="s">
        <v>484</v>
      </c>
      <c r="G9" s="212" t="s">
        <v>237</v>
      </c>
      <c r="H9" s="212" t="s">
        <v>488</v>
      </c>
      <c r="I9" s="212" t="s">
        <v>611</v>
      </c>
      <c r="J9" s="212" t="s">
        <v>612</v>
      </c>
      <c r="K9" s="212" t="s">
        <v>616</v>
      </c>
      <c r="L9" s="212" t="s">
        <v>617</v>
      </c>
      <c r="M9" s="212" t="s">
        <v>274</v>
      </c>
      <c r="N9" s="212" t="s">
        <v>273</v>
      </c>
      <c r="O9" s="219">
        <v>97.382192000000003</v>
      </c>
      <c r="P9" s="219">
        <v>25.404015000000001</v>
      </c>
      <c r="Q9" s="220">
        <v>0</v>
      </c>
      <c r="R9" s="292">
        <v>46</v>
      </c>
      <c r="S9" s="292">
        <v>241</v>
      </c>
      <c r="T9" s="222">
        <f>IF(CampList[[#This Row],[HH]]&gt;0,CampList[[#This Row],[Total]]/CampList[[#This Row],[HH]],"NA")</f>
        <v>5.2391304347826084</v>
      </c>
      <c r="U9" s="214" t="s">
        <v>464</v>
      </c>
      <c r="V9" s="214" t="s">
        <v>997</v>
      </c>
      <c r="W9" s="214" t="s">
        <v>507</v>
      </c>
      <c r="X9" s="214" t="s">
        <v>742</v>
      </c>
      <c r="Y9" s="331">
        <v>40817</v>
      </c>
      <c r="Z9" s="223" t="s">
        <v>424</v>
      </c>
      <c r="AA9" s="212" t="s">
        <v>775</v>
      </c>
      <c r="AB9" s="225">
        <v>43220</v>
      </c>
      <c r="AC9" s="226" t="s">
        <v>1707</v>
      </c>
      <c r="AD9" s="214" t="str">
        <f ca="1">IFERROR(OFFSET(DistanceToCamp[Nearest Town],MATCH(CampList[[#This Row],[CP_Pcode]],DistanceToCamp[CP_Pcode],0)-1,0,1,1),"")</f>
        <v>Myitkyina Town</v>
      </c>
      <c r="AE9" s="227">
        <f ca="1">IFERROR(OFFSET(DistanceToCamp[distance],MATCH(CampList[[#This Row],[CP_Pcode]],DistanceToCamp[CP_Pcode],0)-1,0,1,1),"")</f>
        <v>2.0123527499589278</v>
      </c>
      <c r="AF9" s="228">
        <f ca="1">IFERROR(INT(CampList[[#This Row],[Distance]]/5)+1,"")</f>
        <v>1</v>
      </c>
    </row>
    <row r="10" spans="2:35" ht="15.75" customHeight="1" x14ac:dyDescent="0.25">
      <c r="B10" s="218" t="s">
        <v>460</v>
      </c>
      <c r="C10" s="212" t="s">
        <v>378</v>
      </c>
      <c r="D10" s="212" t="s">
        <v>478</v>
      </c>
      <c r="E10" s="212" t="s">
        <v>237</v>
      </c>
      <c r="F10" s="212" t="s">
        <v>484</v>
      </c>
      <c r="G10" s="212" t="s">
        <v>237</v>
      </c>
      <c r="H10" s="212" t="s">
        <v>488</v>
      </c>
      <c r="I10" s="212" t="s">
        <v>611</v>
      </c>
      <c r="J10" s="212" t="s">
        <v>612</v>
      </c>
      <c r="K10" s="212" t="s">
        <v>621</v>
      </c>
      <c r="L10" s="212" t="s">
        <v>622</v>
      </c>
      <c r="M10" s="212" t="s">
        <v>276</v>
      </c>
      <c r="N10" s="212" t="s">
        <v>275</v>
      </c>
      <c r="O10" s="219">
        <v>97.399628000000007</v>
      </c>
      <c r="P10" s="219">
        <v>25.412313000000001</v>
      </c>
      <c r="Q10" s="220">
        <v>0</v>
      </c>
      <c r="R10" s="292">
        <v>118</v>
      </c>
      <c r="S10" s="292">
        <v>569</v>
      </c>
      <c r="T10" s="222">
        <f>IF(CampList[[#This Row],[HH]]&gt;0,CampList[[#This Row],[Total]]/CampList[[#This Row],[HH]],"NA")</f>
        <v>4.8220338983050848</v>
      </c>
      <c r="U10" s="214" t="s">
        <v>464</v>
      </c>
      <c r="V10" s="214" t="s">
        <v>997</v>
      </c>
      <c r="W10" s="214" t="s">
        <v>507</v>
      </c>
      <c r="X10" s="214" t="s">
        <v>742</v>
      </c>
      <c r="Y10" s="331">
        <v>40756</v>
      </c>
      <c r="Z10" s="223" t="s">
        <v>424</v>
      </c>
      <c r="AA10" s="212" t="s">
        <v>775</v>
      </c>
      <c r="AB10" s="225">
        <v>43220</v>
      </c>
      <c r="AC10" s="226" t="s">
        <v>1706</v>
      </c>
      <c r="AD10" s="214" t="str">
        <f ca="1">IFERROR(OFFSET(DistanceToCamp[Nearest Town],MATCH(CampList[[#This Row],[CP_Pcode]],DistanceToCamp[CP_Pcode],0)-1,0,1,1),"")</f>
        <v>Myitkyina Town</v>
      </c>
      <c r="AE10" s="227">
        <f ca="1">IFERROR(OFFSET(DistanceToCamp[distance],MATCH(CampList[[#This Row],[CP_Pcode]],DistanceToCamp[CP_Pcode],0)-1,0,1,1),"")</f>
        <v>2.9133254097712102</v>
      </c>
      <c r="AF10" s="228">
        <f ca="1">IFERROR(INT(CampList[[#This Row],[Distance]]/5)+1,"")</f>
        <v>1</v>
      </c>
    </row>
    <row r="11" spans="2:35" ht="15.75" customHeight="1" x14ac:dyDescent="0.25">
      <c r="B11" s="218" t="s">
        <v>460</v>
      </c>
      <c r="C11" s="212" t="s">
        <v>378</v>
      </c>
      <c r="D11" s="212" t="s">
        <v>478</v>
      </c>
      <c r="E11" s="212" t="s">
        <v>180</v>
      </c>
      <c r="F11" s="212" t="s">
        <v>479</v>
      </c>
      <c r="G11" s="212" t="s">
        <v>480</v>
      </c>
      <c r="H11" s="212" t="s">
        <v>481</v>
      </c>
      <c r="I11" s="226" t="s">
        <v>543</v>
      </c>
      <c r="J11" s="226" t="s">
        <v>544</v>
      </c>
      <c r="K11" s="226" t="s">
        <v>547</v>
      </c>
      <c r="L11" s="226" t="s">
        <v>548</v>
      </c>
      <c r="M11" s="212" t="s">
        <v>43</v>
      </c>
      <c r="N11" s="212" t="s">
        <v>42</v>
      </c>
      <c r="O11" s="219">
        <v>96.317350000000005</v>
      </c>
      <c r="P11" s="219">
        <v>25.616509000000001</v>
      </c>
      <c r="Q11" s="220">
        <v>264</v>
      </c>
      <c r="R11" s="292">
        <v>14</v>
      </c>
      <c r="S11" s="292">
        <v>81</v>
      </c>
      <c r="T11" s="222">
        <f>IF(CampList[[#This Row],[HH]]&gt;0,CampList[[#This Row],[Total]]/CampList[[#This Row],[HH]],"NA")</f>
        <v>5.7857142857142856</v>
      </c>
      <c r="U11" s="214" t="s">
        <v>464</v>
      </c>
      <c r="V11" s="214" t="s">
        <v>997</v>
      </c>
      <c r="W11" s="214" t="s">
        <v>507</v>
      </c>
      <c r="X11" s="197" t="s">
        <v>742</v>
      </c>
      <c r="Y11" s="331">
        <v>41275</v>
      </c>
      <c r="Z11" s="223" t="s">
        <v>462</v>
      </c>
      <c r="AA11" s="239" t="s">
        <v>775</v>
      </c>
      <c r="AB11" s="225">
        <v>43220</v>
      </c>
      <c r="AC11" s="218" t="s">
        <v>1677</v>
      </c>
      <c r="AD11" s="214" t="str">
        <f ca="1">IFERROR(OFFSET(DistanceToCamp[Nearest Town],MATCH(CampList[[#This Row],[CP_Pcode]],DistanceToCamp[CP_Pcode],0)-1,0,1,1),"")</f>
        <v>Hpakant Town</v>
      </c>
      <c r="AE11" s="227">
        <f ca="1">IFERROR(OFFSET(DistanceToCamp[distance],MATCH(CampList[[#This Row],[CP_Pcode]],DistanceToCamp[CP_Pcode],0)-1,0,1,1),"")</f>
        <v>0.66733171900141897</v>
      </c>
      <c r="AF11" s="228">
        <f ca="1">IFERROR(INT(CampList[[#This Row],[Distance]]/5)+1,"")</f>
        <v>1</v>
      </c>
    </row>
    <row r="12" spans="2:35" ht="15.75" customHeight="1" x14ac:dyDescent="0.25">
      <c r="B12" s="218" t="s">
        <v>460</v>
      </c>
      <c r="C12" s="212" t="s">
        <v>378</v>
      </c>
      <c r="D12" s="212" t="s">
        <v>478</v>
      </c>
      <c r="E12" s="212" t="s">
        <v>237</v>
      </c>
      <c r="F12" s="212" t="s">
        <v>484</v>
      </c>
      <c r="G12" s="212" t="s">
        <v>237</v>
      </c>
      <c r="H12" s="212" t="s">
        <v>488</v>
      </c>
      <c r="I12" s="226" t="s">
        <v>611</v>
      </c>
      <c r="J12" s="226" t="s">
        <v>612</v>
      </c>
      <c r="K12" s="226" t="s">
        <v>629</v>
      </c>
      <c r="L12" s="226" t="s">
        <v>630</v>
      </c>
      <c r="M12" s="212" t="s">
        <v>260</v>
      </c>
      <c r="N12" s="212" t="s">
        <v>259</v>
      </c>
      <c r="O12" s="219">
        <v>97.418694000000002</v>
      </c>
      <c r="P12" s="219">
        <v>25.428910999999999</v>
      </c>
      <c r="Q12" s="220">
        <v>0</v>
      </c>
      <c r="R12" s="292">
        <v>103</v>
      </c>
      <c r="S12" s="292">
        <v>586</v>
      </c>
      <c r="T12" s="222">
        <f>IF(CampList[[#This Row],[HH]]&gt;0,CampList[[#This Row],[Total]]/CampList[[#This Row],[HH]],"NA")</f>
        <v>5.6893203883495147</v>
      </c>
      <c r="U12" s="214" t="s">
        <v>464</v>
      </c>
      <c r="V12" s="214" t="s">
        <v>997</v>
      </c>
      <c r="W12" s="214" t="s">
        <v>507</v>
      </c>
      <c r="X12" s="214" t="s">
        <v>742</v>
      </c>
      <c r="Y12" s="331">
        <v>40725</v>
      </c>
      <c r="Z12" s="223" t="s">
        <v>424</v>
      </c>
      <c r="AA12" s="239" t="s">
        <v>775</v>
      </c>
      <c r="AB12" s="225">
        <v>43220</v>
      </c>
      <c r="AC12" s="218" t="s">
        <v>1705</v>
      </c>
      <c r="AD12" s="214" t="str">
        <f ca="1">IFERROR(OFFSET(DistanceToCamp[Nearest Town],MATCH(CampList[[#This Row],[CP_Pcode]],DistanceToCamp[CP_Pcode],0)-1,0,1,1),"")</f>
        <v>Myitkyina Town</v>
      </c>
      <c r="AE12" s="227">
        <f ca="1">IFERROR(OFFSET(DistanceToCamp[distance],MATCH(CampList[[#This Row],[CP_Pcode]],DistanceToCamp[CP_Pcode],0)-1,0,1,1),"")</f>
        <v>5.4145379230647226</v>
      </c>
      <c r="AF12" s="228">
        <f ca="1">IFERROR(INT(CampList[[#This Row],[Distance]]/5)+1,"")</f>
        <v>2</v>
      </c>
    </row>
    <row r="13" spans="2:35" ht="15.75" customHeight="1" x14ac:dyDescent="0.25">
      <c r="B13" s="218" t="s">
        <v>460</v>
      </c>
      <c r="C13" s="212" t="s">
        <v>378</v>
      </c>
      <c r="D13" s="212" t="s">
        <v>478</v>
      </c>
      <c r="E13" s="212" t="s">
        <v>237</v>
      </c>
      <c r="F13" s="212" t="s">
        <v>484</v>
      </c>
      <c r="G13" s="212" t="s">
        <v>237</v>
      </c>
      <c r="H13" s="212" t="s">
        <v>488</v>
      </c>
      <c r="I13" s="212" t="s">
        <v>611</v>
      </c>
      <c r="J13" s="212" t="s">
        <v>612</v>
      </c>
      <c r="K13" s="212" t="s">
        <v>631</v>
      </c>
      <c r="L13" s="212" t="s">
        <v>632</v>
      </c>
      <c r="M13" s="212" t="s">
        <v>280</v>
      </c>
      <c r="N13" s="212" t="s">
        <v>279</v>
      </c>
      <c r="O13" s="219">
        <v>97.419403000000003</v>
      </c>
      <c r="P13" s="219">
        <v>25.440928</v>
      </c>
      <c r="Q13" s="220">
        <v>0</v>
      </c>
      <c r="R13" s="292">
        <v>91</v>
      </c>
      <c r="S13" s="292">
        <v>511</v>
      </c>
      <c r="T13" s="222">
        <f>IF(CampList[[#This Row],[HH]]&gt;0,CampList[[#This Row],[Total]]/CampList[[#This Row],[HH]],"NA")</f>
        <v>5.615384615384615</v>
      </c>
      <c r="U13" s="214" t="s">
        <v>464</v>
      </c>
      <c r="V13" s="214" t="s">
        <v>997</v>
      </c>
      <c r="W13" s="214" t="s">
        <v>507</v>
      </c>
      <c r="X13" s="214" t="s">
        <v>742</v>
      </c>
      <c r="Y13" s="331">
        <v>40725</v>
      </c>
      <c r="Z13" s="223" t="s">
        <v>424</v>
      </c>
      <c r="AA13" s="212" t="s">
        <v>775</v>
      </c>
      <c r="AB13" s="225">
        <v>43220</v>
      </c>
      <c r="AC13" s="226" t="s">
        <v>1704</v>
      </c>
      <c r="AD13" s="214" t="str">
        <f ca="1">IFERROR(OFFSET(DistanceToCamp[Nearest Town],MATCH(CampList[[#This Row],[CP_Pcode]],DistanceToCamp[CP_Pcode],0)-1,0,1,1),"")</f>
        <v>Myitkyina Town</v>
      </c>
      <c r="AE13" s="227">
        <f ca="1">IFERROR(OFFSET(DistanceToCamp[distance],MATCH(CampList[[#This Row],[CP_Pcode]],DistanceToCamp[CP_Pcode],0)-1,0,1,1),"")</f>
        <v>6.6198004689728469</v>
      </c>
      <c r="AF13" s="228">
        <f ca="1">IFERROR(INT(CampList[[#This Row],[Distance]]/5)+1,"")</f>
        <v>2</v>
      </c>
    </row>
    <row r="14" spans="2:35" ht="15.75" customHeight="1" x14ac:dyDescent="0.25">
      <c r="B14" s="218" t="s">
        <v>460</v>
      </c>
      <c r="C14" s="212" t="s">
        <v>378</v>
      </c>
      <c r="D14" s="212" t="s">
        <v>478</v>
      </c>
      <c r="E14" s="212" t="s">
        <v>237</v>
      </c>
      <c r="F14" s="212" t="s">
        <v>484</v>
      </c>
      <c r="G14" s="212" t="s">
        <v>237</v>
      </c>
      <c r="H14" s="212" t="s">
        <v>488</v>
      </c>
      <c r="I14" s="226" t="s">
        <v>611</v>
      </c>
      <c r="J14" s="226" t="s">
        <v>612</v>
      </c>
      <c r="K14" s="226" t="s">
        <v>618</v>
      </c>
      <c r="L14" s="226" t="s">
        <v>619</v>
      </c>
      <c r="M14" s="212" t="s">
        <v>1533</v>
      </c>
      <c r="N14" s="212" t="s">
        <v>244</v>
      </c>
      <c r="O14" s="219">
        <v>97.382997575757599</v>
      </c>
      <c r="P14" s="219">
        <v>25.3959740909091</v>
      </c>
      <c r="Q14" s="220">
        <v>0</v>
      </c>
      <c r="R14" s="329">
        <v>42</v>
      </c>
      <c r="S14" s="330">
        <v>184</v>
      </c>
      <c r="T14" s="222">
        <f>IF(CampList[[#This Row],[HH]]&gt;0,CampList[[#This Row],[Total]]/CampList[[#This Row],[HH]],"NA")</f>
        <v>4.3809523809523814</v>
      </c>
      <c r="U14" s="214" t="s">
        <v>464</v>
      </c>
      <c r="V14" s="214" t="s">
        <v>997</v>
      </c>
      <c r="W14" s="214" t="s">
        <v>507</v>
      </c>
      <c r="X14" s="214" t="s">
        <v>742</v>
      </c>
      <c r="Y14" s="331">
        <v>40695</v>
      </c>
      <c r="Z14" s="223" t="s">
        <v>424</v>
      </c>
      <c r="AA14" s="213" t="s">
        <v>775</v>
      </c>
      <c r="AB14" s="225">
        <v>43220</v>
      </c>
      <c r="AC14" s="218" t="s">
        <v>1703</v>
      </c>
      <c r="AD14" s="214" t="str">
        <f ca="1">IFERROR(OFFSET(DistanceToCamp[Nearest Town],MATCH(CampList[[#This Row],[CP_Pcode]],DistanceToCamp[CP_Pcode],0)-1,0,1,1),"")</f>
        <v>Myitkyina Town</v>
      </c>
      <c r="AE14" s="227">
        <f ca="1">IFERROR(OFFSET(DistanceToCamp[distance],MATCH(CampList[[#This Row],[CP_Pcode]],DistanceToCamp[CP_Pcode],0)-1,0,1,1),"")</f>
        <v>1.1985969617964649</v>
      </c>
      <c r="AF14" s="228">
        <f ca="1">IFERROR(INT(CampList[[#This Row],[Distance]]/5)+1,"")</f>
        <v>1</v>
      </c>
    </row>
    <row r="15" spans="2:35" ht="15.75" customHeight="1" x14ac:dyDescent="0.25">
      <c r="B15" s="218" t="s">
        <v>460</v>
      </c>
      <c r="C15" s="212" t="s">
        <v>378</v>
      </c>
      <c r="D15" s="212" t="s">
        <v>478</v>
      </c>
      <c r="E15" s="212" t="s">
        <v>237</v>
      </c>
      <c r="F15" s="212" t="s">
        <v>484</v>
      </c>
      <c r="G15" s="212" t="s">
        <v>237</v>
      </c>
      <c r="H15" s="212" t="s">
        <v>488</v>
      </c>
      <c r="I15" s="226" t="s">
        <v>611</v>
      </c>
      <c r="J15" s="226" t="s">
        <v>612</v>
      </c>
      <c r="K15" s="226" t="s">
        <v>625</v>
      </c>
      <c r="L15" s="226" t="s">
        <v>626</v>
      </c>
      <c r="M15" s="212" t="s">
        <v>256</v>
      </c>
      <c r="N15" s="212" t="s">
        <v>255</v>
      </c>
      <c r="O15" s="219">
        <v>97.405202777777802</v>
      </c>
      <c r="P15" s="219">
        <v>25.3660036111111</v>
      </c>
      <c r="Q15" s="220">
        <v>0</v>
      </c>
      <c r="R15" s="292">
        <v>44</v>
      </c>
      <c r="S15" s="292">
        <v>197</v>
      </c>
      <c r="T15" s="222">
        <f>IF(CampList[[#This Row],[HH]]&gt;0,CampList[[#This Row],[Total]]/CampList[[#This Row],[HH]],"NA")</f>
        <v>4.4772727272727275</v>
      </c>
      <c r="U15" s="214" t="s">
        <v>464</v>
      </c>
      <c r="V15" s="214" t="s">
        <v>997</v>
      </c>
      <c r="W15" s="214" t="s">
        <v>507</v>
      </c>
      <c r="X15" s="214" t="s">
        <v>742</v>
      </c>
      <c r="Y15" s="331">
        <v>40909</v>
      </c>
      <c r="Z15" s="223" t="s">
        <v>424</v>
      </c>
      <c r="AA15" s="239" t="s">
        <v>775</v>
      </c>
      <c r="AB15" s="225">
        <v>43220</v>
      </c>
      <c r="AC15" s="218" t="s">
        <v>1702</v>
      </c>
      <c r="AD15" s="214" t="str">
        <f ca="1">IFERROR(OFFSET(DistanceToCamp[Nearest Town],MATCH(CampList[[#This Row],[CP_Pcode]],DistanceToCamp[CP_Pcode],0)-1,0,1,1),"")</f>
        <v>Myitkyina Town</v>
      </c>
      <c r="AE15" s="227">
        <f ca="1">IFERROR(OFFSET(DistanceToCamp[distance],MATCH(CampList[[#This Row],[CP_Pcode]],DistanceToCamp[CP_Pcode],0)-1,0,1,1),"")</f>
        <v>2.8164250706222882</v>
      </c>
      <c r="AF15" s="228">
        <f ca="1">IFERROR(INT(CampList[[#This Row],[Distance]]/5)+1,"")</f>
        <v>1</v>
      </c>
    </row>
    <row r="16" spans="2:35" ht="15.75" customHeight="1" x14ac:dyDescent="0.25">
      <c r="B16" s="218" t="s">
        <v>460</v>
      </c>
      <c r="C16" s="212" t="s">
        <v>378</v>
      </c>
      <c r="D16" s="212" t="s">
        <v>478</v>
      </c>
      <c r="E16" s="212" t="s">
        <v>237</v>
      </c>
      <c r="F16" s="212" t="s">
        <v>484</v>
      </c>
      <c r="G16" s="212" t="s">
        <v>237</v>
      </c>
      <c r="H16" s="212" t="s">
        <v>488</v>
      </c>
      <c r="I16" s="226" t="s">
        <v>611</v>
      </c>
      <c r="J16" s="226" t="s">
        <v>612</v>
      </c>
      <c r="K16" s="226" t="s">
        <v>627</v>
      </c>
      <c r="L16" s="226" t="s">
        <v>628</v>
      </c>
      <c r="M16" s="212" t="s">
        <v>284</v>
      </c>
      <c r="N16" s="212" t="s">
        <v>283</v>
      </c>
      <c r="O16" s="219">
        <v>97.403402307692303</v>
      </c>
      <c r="P16" s="219">
        <v>25.3510167948718</v>
      </c>
      <c r="Q16" s="220">
        <v>0</v>
      </c>
      <c r="R16" s="292">
        <v>138</v>
      </c>
      <c r="S16" s="292">
        <v>703</v>
      </c>
      <c r="T16" s="222">
        <f>IF(CampList[[#This Row],[HH]]&gt;0,CampList[[#This Row],[Total]]/CampList[[#This Row],[HH]],"NA")</f>
        <v>5.0942028985507246</v>
      </c>
      <c r="U16" s="214" t="s">
        <v>464</v>
      </c>
      <c r="V16" s="214" t="s">
        <v>997</v>
      </c>
      <c r="W16" s="214" t="s">
        <v>507</v>
      </c>
      <c r="X16" s="214" t="s">
        <v>742</v>
      </c>
      <c r="Y16" s="331">
        <v>40695</v>
      </c>
      <c r="Z16" s="223" t="s">
        <v>424</v>
      </c>
      <c r="AA16" s="239" t="s">
        <v>775</v>
      </c>
      <c r="AB16" s="225">
        <v>43220</v>
      </c>
      <c r="AC16" s="218" t="s">
        <v>1701</v>
      </c>
      <c r="AD16" s="214" t="str">
        <f ca="1">IFERROR(OFFSET(DistanceToCamp[Nearest Town],MATCH(CampList[[#This Row],[CP_Pcode]],DistanceToCamp[CP_Pcode],0)-1,0,1,1),"")</f>
        <v>Myitkyina Town</v>
      </c>
      <c r="AE16" s="227">
        <f ca="1">IFERROR(OFFSET(DistanceToCamp[distance],MATCH(CampList[[#This Row],[CP_Pcode]],DistanceToCamp[CP_Pcode],0)-1,0,1,1),"")</f>
        <v>4.262018365878137</v>
      </c>
      <c r="AF16" s="228">
        <f ca="1">IFERROR(INT(CampList[[#This Row],[Distance]]/5)+1,"")</f>
        <v>1</v>
      </c>
    </row>
    <row r="17" spans="2:35" ht="15.75" customHeight="1" x14ac:dyDescent="0.25">
      <c r="B17" s="218" t="s">
        <v>460</v>
      </c>
      <c r="C17" s="212" t="s">
        <v>378</v>
      </c>
      <c r="D17" s="212" t="s">
        <v>478</v>
      </c>
      <c r="E17" s="212" t="s">
        <v>237</v>
      </c>
      <c r="F17" s="212" t="s">
        <v>484</v>
      </c>
      <c r="G17" s="212" t="s">
        <v>237</v>
      </c>
      <c r="H17" s="212" t="s">
        <v>488</v>
      </c>
      <c r="I17" s="226" t="s">
        <v>611</v>
      </c>
      <c r="J17" s="226" t="s">
        <v>612</v>
      </c>
      <c r="K17" s="226" t="s">
        <v>627</v>
      </c>
      <c r="L17" s="226" t="s">
        <v>628</v>
      </c>
      <c r="M17" s="212" t="s">
        <v>240</v>
      </c>
      <c r="N17" s="212" t="s">
        <v>239</v>
      </c>
      <c r="O17" s="219">
        <v>97.409035000000003</v>
      </c>
      <c r="P17" s="219">
        <v>25.362420757575801</v>
      </c>
      <c r="Q17" s="220">
        <v>0</v>
      </c>
      <c r="R17" s="292">
        <v>102</v>
      </c>
      <c r="S17" s="292">
        <v>546</v>
      </c>
      <c r="T17" s="222">
        <f>IF(CampList[[#This Row],[HH]]&gt;0,CampList[[#This Row],[Total]]/CampList[[#This Row],[HH]],"NA")</f>
        <v>5.3529411764705879</v>
      </c>
      <c r="U17" s="214" t="s">
        <v>464</v>
      </c>
      <c r="V17" s="214" t="s">
        <v>997</v>
      </c>
      <c r="W17" s="214" t="s">
        <v>507</v>
      </c>
      <c r="X17" s="214" t="s">
        <v>742</v>
      </c>
      <c r="Y17" s="331">
        <v>40603</v>
      </c>
      <c r="Z17" s="223" t="s">
        <v>424</v>
      </c>
      <c r="AA17" s="239" t="s">
        <v>775</v>
      </c>
      <c r="AB17" s="225">
        <v>43220</v>
      </c>
      <c r="AC17" s="218" t="s">
        <v>1711</v>
      </c>
      <c r="AD17" s="214" t="str">
        <f ca="1">IFERROR(OFFSET(DistanceToCamp[Nearest Town],MATCH(CampList[[#This Row],[CP_Pcode]],DistanceToCamp[CP_Pcode],0)-1,0,1,1),"")</f>
        <v>Myitkyina Town</v>
      </c>
      <c r="AE17" s="227">
        <f ca="1">IFERROR(OFFSET(DistanceToCamp[distance],MATCH(CampList[[#This Row],[CP_Pcode]],DistanceToCamp[CP_Pcode],0)-1,0,1,1),"")</f>
        <v>3.3602711423118103</v>
      </c>
      <c r="AF17" s="228">
        <f ca="1">IFERROR(INT(CampList[[#This Row],[Distance]]/5)+1,"")</f>
        <v>1</v>
      </c>
    </row>
    <row r="18" spans="2:35" ht="15.75" customHeight="1" x14ac:dyDescent="0.25">
      <c r="B18" s="218" t="s">
        <v>460</v>
      </c>
      <c r="C18" s="212" t="s">
        <v>378</v>
      </c>
      <c r="D18" s="212" t="s">
        <v>478</v>
      </c>
      <c r="E18" s="212" t="s">
        <v>237</v>
      </c>
      <c r="F18" s="212" t="s">
        <v>484</v>
      </c>
      <c r="G18" s="212" t="s">
        <v>237</v>
      </c>
      <c r="H18" s="212" t="s">
        <v>488</v>
      </c>
      <c r="I18" s="226" t="s">
        <v>611</v>
      </c>
      <c r="J18" s="226" t="s">
        <v>612</v>
      </c>
      <c r="K18" s="230" t="s">
        <v>1105</v>
      </c>
      <c r="L18" s="230"/>
      <c r="M18" s="212" t="s">
        <v>258</v>
      </c>
      <c r="N18" s="212" t="s">
        <v>257</v>
      </c>
      <c r="O18" s="219">
        <v>97.4113064583333</v>
      </c>
      <c r="P18" s="219">
        <v>25.360463124999999</v>
      </c>
      <c r="Q18" s="220">
        <v>0</v>
      </c>
      <c r="R18" s="292">
        <v>61</v>
      </c>
      <c r="S18" s="292">
        <v>302</v>
      </c>
      <c r="T18" s="222">
        <f>IF(CampList[[#This Row],[HH]]&gt;0,CampList[[#This Row],[Total]]/CampList[[#This Row],[HH]],"NA")</f>
        <v>4.9508196721311473</v>
      </c>
      <c r="U18" s="214" t="s">
        <v>464</v>
      </c>
      <c r="V18" s="214" t="s">
        <v>997</v>
      </c>
      <c r="W18" s="214" t="s">
        <v>507</v>
      </c>
      <c r="X18" s="214" t="s">
        <v>742</v>
      </c>
      <c r="Y18" s="331">
        <v>40756</v>
      </c>
      <c r="Z18" s="223" t="s">
        <v>424</v>
      </c>
      <c r="AA18" s="239" t="s">
        <v>775</v>
      </c>
      <c r="AB18" s="225">
        <v>43220</v>
      </c>
      <c r="AC18" s="218" t="s">
        <v>1712</v>
      </c>
      <c r="AD18" s="214" t="str">
        <f ca="1">IFERROR(OFFSET(DistanceToCamp[Nearest Town],MATCH(CampList[[#This Row],[CP_Pcode]],DistanceToCamp[CP_Pcode],0)-1,0,1,1),"")</f>
        <v>Waingmaw Town</v>
      </c>
      <c r="AE18" s="227">
        <f ca="1">IFERROR(OFFSET(DistanceToCamp[distance],MATCH(CampList[[#This Row],[CP_Pcode]],DistanceToCamp[CP_Pcode],0)-1,0,1,1),"")</f>
        <v>3.3362307375127798</v>
      </c>
      <c r="AF18" s="228">
        <f ca="1">IFERROR(INT(CampList[[#This Row],[Distance]]/5)+1,"")</f>
        <v>1</v>
      </c>
    </row>
    <row r="19" spans="2:35" ht="15.75" hidden="1" customHeight="1" x14ac:dyDescent="0.25">
      <c r="B19" s="218" t="s">
        <v>776</v>
      </c>
      <c r="C19" s="212" t="s">
        <v>378</v>
      </c>
      <c r="D19" s="212" t="s">
        <v>478</v>
      </c>
      <c r="E19" s="212" t="s">
        <v>237</v>
      </c>
      <c r="F19" s="212" t="s">
        <v>484</v>
      </c>
      <c r="G19" s="212" t="s">
        <v>237</v>
      </c>
      <c r="H19" s="212" t="s">
        <v>488</v>
      </c>
      <c r="I19" s="226" t="s">
        <v>611</v>
      </c>
      <c r="J19" s="226" t="s">
        <v>612</v>
      </c>
      <c r="K19" s="226" t="s">
        <v>614</v>
      </c>
      <c r="L19" s="226" t="s">
        <v>615</v>
      </c>
      <c r="M19" s="212" t="s">
        <v>266</v>
      </c>
      <c r="N19" s="212" t="s">
        <v>265</v>
      </c>
      <c r="O19" s="219">
        <v>97.376671999999999</v>
      </c>
      <c r="P19" s="219">
        <v>25.387862999999999</v>
      </c>
      <c r="Q19" s="220">
        <v>0</v>
      </c>
      <c r="R19" s="302"/>
      <c r="S19" s="303"/>
      <c r="T19" s="222" t="str">
        <f>IF(CampList[[#This Row],[HH]]&gt;0,CampList[[#This Row],[Total]]/CampList[[#This Row],[HH]],"NA")</f>
        <v>NA</v>
      </c>
      <c r="U19" s="214" t="s">
        <v>464</v>
      </c>
      <c r="V19" s="214" t="s">
        <v>997</v>
      </c>
      <c r="W19" s="214" t="s">
        <v>507</v>
      </c>
      <c r="X19" s="214" t="s">
        <v>742</v>
      </c>
      <c r="Y19" s="223">
        <v>40817</v>
      </c>
      <c r="Z19" s="223" t="s">
        <v>462</v>
      </c>
      <c r="AA19" s="239" t="s">
        <v>775</v>
      </c>
      <c r="AB19" s="225">
        <v>42180</v>
      </c>
      <c r="AC19" s="218" t="s">
        <v>1049</v>
      </c>
      <c r="AD19" s="214" t="str">
        <f ca="1">IFERROR(OFFSET(DistanceToCamp[Nearest Town],MATCH(CampList[[#This Row],[CP_Pcode]],DistanceToCamp[CP_Pcode],0)-1,0,1,1),"")</f>
        <v>Myitkyina Town</v>
      </c>
      <c r="AE19" s="227">
        <f ca="1">IFERROR(OFFSET(DistanceToCamp[distance],MATCH(CampList[[#This Row],[CP_Pcode]],DistanceToCamp[CP_Pcode],0)-1,0,1,1),"")</f>
        <v>1.3751794210741128</v>
      </c>
      <c r="AF19" s="228">
        <f ca="1">IFERROR(INT(CampList[[#This Row],[Distance]]/5)+1,"")</f>
        <v>1</v>
      </c>
    </row>
    <row r="20" spans="2:35" ht="15.75" customHeight="1" x14ac:dyDescent="0.25">
      <c r="B20" s="218" t="s">
        <v>460</v>
      </c>
      <c r="C20" s="212" t="s">
        <v>378</v>
      </c>
      <c r="D20" s="212" t="s">
        <v>478</v>
      </c>
      <c r="E20" s="212" t="s">
        <v>237</v>
      </c>
      <c r="F20" s="212" t="s">
        <v>484</v>
      </c>
      <c r="G20" s="212" t="s">
        <v>237</v>
      </c>
      <c r="H20" s="212" t="s">
        <v>488</v>
      </c>
      <c r="I20" s="226" t="s">
        <v>611</v>
      </c>
      <c r="J20" s="226" t="s">
        <v>612</v>
      </c>
      <c r="K20" s="212" t="s">
        <v>613</v>
      </c>
      <c r="L20" s="212"/>
      <c r="M20" s="212" t="s">
        <v>252</v>
      </c>
      <c r="N20" s="212" t="s">
        <v>251</v>
      </c>
      <c r="O20" s="249">
        <v>97.373361000000003</v>
      </c>
      <c r="P20" s="249">
        <v>25.403476999999999</v>
      </c>
      <c r="Q20" s="220">
        <v>0</v>
      </c>
      <c r="R20" s="292">
        <v>199</v>
      </c>
      <c r="S20" s="292">
        <v>1118</v>
      </c>
      <c r="T20" s="222">
        <f>IF(CampList[[#This Row],[HH]]&gt;0,CampList[[#This Row],[Total]]/CampList[[#This Row],[HH]],"NA")</f>
        <v>5.6180904522613062</v>
      </c>
      <c r="U20" s="214" t="s">
        <v>464</v>
      </c>
      <c r="V20" s="214" t="s">
        <v>997</v>
      </c>
      <c r="W20" s="214" t="s">
        <v>507</v>
      </c>
      <c r="X20" s="214" t="s">
        <v>742</v>
      </c>
      <c r="Y20" s="331">
        <v>40725</v>
      </c>
      <c r="Z20" s="223" t="s">
        <v>424</v>
      </c>
      <c r="AA20" s="239" t="s">
        <v>775</v>
      </c>
      <c r="AB20" s="225">
        <v>43220</v>
      </c>
      <c r="AC20" s="218" t="s">
        <v>1713</v>
      </c>
      <c r="AD20" s="214" t="str">
        <f ca="1">IFERROR(OFFSET(DistanceToCamp[Nearest Town],MATCH(CampList[[#This Row],[CP_Pcode]],DistanceToCamp[CP_Pcode],0)-1,0,1,1),"")</f>
        <v>Myitkyina Town</v>
      </c>
      <c r="AE20" s="227">
        <f ca="1">IFERROR(OFFSET(DistanceToCamp[distance],MATCH(CampList[[#This Row],[CP_Pcode]],DistanceToCamp[CP_Pcode],0)-1,0,1,1),"")</f>
        <v>2.4647367211404561</v>
      </c>
      <c r="AF20" s="228">
        <f ca="1">IFERROR(INT(CampList[[#This Row],[Distance]]/5)+1,"")</f>
        <v>1</v>
      </c>
    </row>
    <row r="21" spans="2:35" s="720" customFormat="1" ht="15.75" customHeight="1" x14ac:dyDescent="0.25">
      <c r="B21" s="721" t="s">
        <v>460</v>
      </c>
      <c r="C21" s="722" t="s">
        <v>378</v>
      </c>
      <c r="D21" s="212" t="s">
        <v>478</v>
      </c>
      <c r="E21" s="722" t="s">
        <v>180</v>
      </c>
      <c r="F21" s="212" t="s">
        <v>479</v>
      </c>
      <c r="G21" s="722" t="s">
        <v>480</v>
      </c>
      <c r="H21" s="212" t="s">
        <v>481</v>
      </c>
      <c r="I21" s="723" t="s">
        <v>552</v>
      </c>
      <c r="J21" s="226" t="s">
        <v>553</v>
      </c>
      <c r="K21" s="723" t="s">
        <v>552</v>
      </c>
      <c r="L21" s="226">
        <v>166773</v>
      </c>
      <c r="M21" s="722" t="s">
        <v>120</v>
      </c>
      <c r="N21" s="722" t="s">
        <v>119</v>
      </c>
      <c r="O21" s="724">
        <v>96.361609999999999</v>
      </c>
      <c r="P21" s="724">
        <v>25.656009999999998</v>
      </c>
      <c r="Q21" s="220">
        <v>317</v>
      </c>
      <c r="R21" s="725">
        <v>62</v>
      </c>
      <c r="S21" s="725">
        <v>304</v>
      </c>
      <c r="T21" s="726">
        <f>IF(CampList[[#This Row],[HH]]&gt;0,CampList[[#This Row],[Total]]/CampList[[#This Row],[HH]],"NA")</f>
        <v>4.903225806451613</v>
      </c>
      <c r="U21" s="727" t="s">
        <v>464</v>
      </c>
      <c r="V21" s="727" t="s">
        <v>997</v>
      </c>
      <c r="W21" s="727" t="s">
        <v>507</v>
      </c>
      <c r="X21" s="727" t="s">
        <v>785</v>
      </c>
      <c r="Y21" s="728">
        <v>41275</v>
      </c>
      <c r="Z21" s="729" t="s">
        <v>938</v>
      </c>
      <c r="AA21" s="730" t="s">
        <v>775</v>
      </c>
      <c r="AB21" s="731">
        <v>43220</v>
      </c>
      <c r="AC21" s="721" t="s">
        <v>1783</v>
      </c>
      <c r="AD21" s="727" t="str">
        <f ca="1">IFERROR(OFFSET(DistanceToCamp[Nearest Town],MATCH(CampList[[#This Row],[CP_Pcode]],DistanceToCamp[CP_Pcode],0)-1,0,1,1),"")</f>
        <v>Hpakant Town</v>
      </c>
      <c r="AE21" s="732">
        <f ca="1">IFERROR(OFFSET(DistanceToCamp[distance],MATCH(CampList[[#This Row],[CP_Pcode]],DistanceToCamp[CP_Pcode],0)-1,0,1,1),"")</f>
        <v>6.3039408411778268</v>
      </c>
      <c r="AF21" s="733">
        <f ca="1">IFERROR(INT(CampList[[#This Row],[Distance]]/5)+1,"")</f>
        <v>2</v>
      </c>
      <c r="AH21" s="734"/>
      <c r="AI21" s="734"/>
    </row>
    <row r="22" spans="2:35" ht="15.75" customHeight="1" x14ac:dyDescent="0.25">
      <c r="B22" s="218" t="s">
        <v>460</v>
      </c>
      <c r="C22" s="212" t="s">
        <v>378</v>
      </c>
      <c r="D22" s="212" t="s">
        <v>478</v>
      </c>
      <c r="E22" s="212" t="s">
        <v>180</v>
      </c>
      <c r="F22" s="212" t="s">
        <v>479</v>
      </c>
      <c r="G22" s="212" t="s">
        <v>480</v>
      </c>
      <c r="H22" s="212" t="s">
        <v>481</v>
      </c>
      <c r="I22" s="226" t="s">
        <v>538</v>
      </c>
      <c r="J22" s="226" t="s">
        <v>539</v>
      </c>
      <c r="K22" s="226" t="s">
        <v>538</v>
      </c>
      <c r="L22" s="226">
        <v>166783</v>
      </c>
      <c r="M22" s="212" t="s">
        <v>72</v>
      </c>
      <c r="N22" s="212" t="s">
        <v>71</v>
      </c>
      <c r="O22" s="219">
        <v>96.283377000000002</v>
      </c>
      <c r="P22" s="219">
        <v>25.582065</v>
      </c>
      <c r="Q22" s="220">
        <v>0</v>
      </c>
      <c r="R22" s="292">
        <v>5</v>
      </c>
      <c r="S22" s="292">
        <v>27</v>
      </c>
      <c r="T22" s="222">
        <f>IF(CampList[[#This Row],[HH]]&gt;0,CampList[[#This Row],[Total]]/CampList[[#This Row],[HH]],"NA")</f>
        <v>5.4</v>
      </c>
      <c r="U22" s="214" t="s">
        <v>464</v>
      </c>
      <c r="V22" s="214" t="s">
        <v>997</v>
      </c>
      <c r="W22" s="214" t="s">
        <v>1399</v>
      </c>
      <c r="X22" s="197" t="s">
        <v>742</v>
      </c>
      <c r="Y22" s="331">
        <v>41487</v>
      </c>
      <c r="Z22" s="223" t="s">
        <v>1327</v>
      </c>
      <c r="AA22" s="239" t="s">
        <v>775</v>
      </c>
      <c r="AB22" s="225">
        <v>43220</v>
      </c>
      <c r="AC22" s="218" t="s">
        <v>1698</v>
      </c>
      <c r="AD22" s="214" t="str">
        <f ca="1">IFERROR(OFFSET(DistanceToCamp[Nearest Town],MATCH(CampList[[#This Row],[CP_Pcode]],DistanceToCamp[CP_Pcode],0)-1,0,1,1),"")</f>
        <v>Hpakant Town</v>
      </c>
      <c r="AE22" s="227">
        <f ca="1">IFERROR(OFFSET(DistanceToCamp[distance],MATCH(CampList[[#This Row],[CP_Pcode]],DistanceToCamp[CP_Pcode],0)-1,0,1,1),"")</f>
        <v>4.4704963044882238</v>
      </c>
      <c r="AF22" s="228">
        <f ca="1">IFERROR(INT(CampList[[#This Row],[Distance]]/5)+1,"")</f>
        <v>1</v>
      </c>
    </row>
    <row r="23" spans="2:35" ht="15.75" customHeight="1" x14ac:dyDescent="0.25">
      <c r="B23" s="218" t="s">
        <v>460</v>
      </c>
      <c r="C23" s="212" t="s">
        <v>378</v>
      </c>
      <c r="D23" s="212" t="s">
        <v>478</v>
      </c>
      <c r="E23" s="212" t="s">
        <v>237</v>
      </c>
      <c r="F23" s="212" t="s">
        <v>484</v>
      </c>
      <c r="G23" s="212" t="s">
        <v>27</v>
      </c>
      <c r="H23" s="212" t="s">
        <v>487</v>
      </c>
      <c r="I23" s="212" t="s">
        <v>731</v>
      </c>
      <c r="J23" s="212" t="s">
        <v>732</v>
      </c>
      <c r="K23" s="212" t="s">
        <v>1097</v>
      </c>
      <c r="L23" s="230" t="s">
        <v>1096</v>
      </c>
      <c r="M23" s="212" t="s">
        <v>28</v>
      </c>
      <c r="N23" s="212" t="s">
        <v>30</v>
      </c>
      <c r="O23" s="219">
        <v>98.131550000000004</v>
      </c>
      <c r="P23" s="219">
        <v>25.889410000000002</v>
      </c>
      <c r="Q23" s="220">
        <v>304</v>
      </c>
      <c r="R23" s="292">
        <v>107</v>
      </c>
      <c r="S23" s="292">
        <v>559</v>
      </c>
      <c r="T23" s="222">
        <f>IF(CampList[[#This Row],[HH]]&gt;0,CampList[[#This Row],[Total]]/CampList[[#This Row],[HH]],"NA")</f>
        <v>5.2242990654205608</v>
      </c>
      <c r="U23" s="214" t="s">
        <v>464</v>
      </c>
      <c r="V23" s="214" t="s">
        <v>997</v>
      </c>
      <c r="W23" s="214" t="s">
        <v>507</v>
      </c>
      <c r="X23" s="214" t="s">
        <v>742</v>
      </c>
      <c r="Y23" s="331">
        <v>41244</v>
      </c>
      <c r="Z23" s="223" t="s">
        <v>462</v>
      </c>
      <c r="AA23" s="239" t="s">
        <v>775</v>
      </c>
      <c r="AB23" s="225">
        <v>43220</v>
      </c>
      <c r="AC23" s="218" t="s">
        <v>1678</v>
      </c>
      <c r="AD23" s="214" t="str">
        <f ca="1">IFERROR(OFFSET(DistanceToCamp[Nearest Town],MATCH(CampList[[#This Row],[CP_Pcode]],DistanceToCamp[CP_Pcode],0)-1,0,1,1),"")</f>
        <v>Chipwi Town</v>
      </c>
      <c r="AE23" s="227">
        <f ca="1">IFERROR(OFFSET(DistanceToCamp[distance],MATCH(CampList[[#This Row],[CP_Pcode]],DistanceToCamp[CP_Pcode],0)-1,0,1,1),"")</f>
        <v>0.15809623370782155</v>
      </c>
      <c r="AF23" s="228">
        <f ca="1">IFERROR(INT(CampList[[#This Row],[Distance]]/5)+1,"")</f>
        <v>1</v>
      </c>
    </row>
    <row r="24" spans="2:35" ht="15.75" hidden="1" customHeight="1" x14ac:dyDescent="0.25">
      <c r="B24" s="218" t="s">
        <v>776</v>
      </c>
      <c r="C24" s="212" t="s">
        <v>378</v>
      </c>
      <c r="D24" s="212" t="s">
        <v>478</v>
      </c>
      <c r="E24" s="212" t="s">
        <v>237</v>
      </c>
      <c r="F24" s="212" t="s">
        <v>484</v>
      </c>
      <c r="G24" s="212" t="s">
        <v>237</v>
      </c>
      <c r="H24" s="212" t="s">
        <v>488</v>
      </c>
      <c r="I24" s="212" t="s">
        <v>611</v>
      </c>
      <c r="J24" s="212" t="s">
        <v>612</v>
      </c>
      <c r="K24" s="212" t="s">
        <v>623</v>
      </c>
      <c r="L24" s="212" t="s">
        <v>624</v>
      </c>
      <c r="M24" s="212" t="s">
        <v>282</v>
      </c>
      <c r="N24" s="212" t="s">
        <v>281</v>
      </c>
      <c r="O24" s="219">
        <v>97.403878500000005</v>
      </c>
      <c r="P24" s="219">
        <v>25.377038166666701</v>
      </c>
      <c r="Q24" s="220">
        <v>0</v>
      </c>
      <c r="R24" s="292">
        <v>7</v>
      </c>
      <c r="S24" s="292">
        <v>37</v>
      </c>
      <c r="T24" s="222">
        <f>IF(CampList[[#This Row],[HH]]&gt;0,CampList[[#This Row],[Total]]/CampList[[#This Row],[HH]],"NA")</f>
        <v>5.2857142857142856</v>
      </c>
      <c r="U24" s="214" t="s">
        <v>464</v>
      </c>
      <c r="V24" s="214" t="s">
        <v>997</v>
      </c>
      <c r="W24" s="214" t="s">
        <v>507</v>
      </c>
      <c r="X24" s="214" t="s">
        <v>742</v>
      </c>
      <c r="Y24" s="331">
        <v>41000</v>
      </c>
      <c r="Z24" s="223" t="s">
        <v>462</v>
      </c>
      <c r="AA24" s="212" t="s">
        <v>775</v>
      </c>
      <c r="AB24" s="225">
        <v>42915</v>
      </c>
      <c r="AC24" s="226" t="s">
        <v>1534</v>
      </c>
      <c r="AD24" s="214" t="str">
        <f ca="1">IFERROR(OFFSET(DistanceToCamp[Nearest Town],MATCH(CampList[[#This Row],[CP_Pcode]],DistanceToCamp[CP_Pcode],0)-1,0,1,1),"")</f>
        <v>Myitkyina Town</v>
      </c>
      <c r="AE24" s="227">
        <f ca="1">IFERROR(OFFSET(DistanceToCamp[distance],MATCH(CampList[[#This Row],[CP_Pcode]],DistanceToCamp[CP_Pcode],0)-1,0,1,1),"")</f>
        <v>1.7877148351104664</v>
      </c>
      <c r="AF24" s="228">
        <f ca="1">IFERROR(INT(CampList[[#This Row],[Distance]]/5)+1,"")</f>
        <v>1</v>
      </c>
    </row>
    <row r="25" spans="2:35" ht="15.75" customHeight="1" x14ac:dyDescent="0.25">
      <c r="B25" s="218" t="s">
        <v>460</v>
      </c>
      <c r="C25" s="212" t="s">
        <v>378</v>
      </c>
      <c r="D25" s="212" t="s">
        <v>478</v>
      </c>
      <c r="E25" s="212" t="s">
        <v>180</v>
      </c>
      <c r="F25" s="212" t="s">
        <v>479</v>
      </c>
      <c r="G25" s="212" t="s">
        <v>480</v>
      </c>
      <c r="H25" s="212" t="s">
        <v>481</v>
      </c>
      <c r="I25" s="226" t="s">
        <v>552</v>
      </c>
      <c r="J25" s="226" t="s">
        <v>553</v>
      </c>
      <c r="K25" s="226" t="s">
        <v>1098</v>
      </c>
      <c r="L25" s="238">
        <v>216876</v>
      </c>
      <c r="M25" s="212" t="s">
        <v>76</v>
      </c>
      <c r="N25" s="212" t="s">
        <v>75</v>
      </c>
      <c r="O25" s="219">
        <v>96.35257</v>
      </c>
      <c r="P25" s="219">
        <v>25.637309999999999</v>
      </c>
      <c r="Q25" s="220">
        <v>277.60000000000002</v>
      </c>
      <c r="R25" s="292">
        <v>70</v>
      </c>
      <c r="S25" s="292">
        <v>375</v>
      </c>
      <c r="T25" s="222">
        <f>IF(CampList[[#This Row],[HH]]&gt;0,CampList[[#This Row],[Total]]/CampList[[#This Row],[HH]],"NA")</f>
        <v>5.3571428571428568</v>
      </c>
      <c r="U25" s="214" t="s">
        <v>464</v>
      </c>
      <c r="V25" s="214" t="s">
        <v>997</v>
      </c>
      <c r="W25" s="214" t="s">
        <v>507</v>
      </c>
      <c r="X25" s="197" t="s">
        <v>742</v>
      </c>
      <c r="Y25" s="331">
        <v>41275</v>
      </c>
      <c r="Z25" s="223" t="s">
        <v>462</v>
      </c>
      <c r="AA25" s="239" t="s">
        <v>775</v>
      </c>
      <c r="AB25" s="225">
        <v>43220</v>
      </c>
      <c r="AC25" s="218" t="s">
        <v>1679</v>
      </c>
      <c r="AD25" s="214" t="str">
        <f ca="1">IFERROR(OFFSET(DistanceToCamp[Nearest Town],MATCH(CampList[[#This Row],[CP_Pcode]],DistanceToCamp[CP_Pcode],0)-1,0,1,1),"")</f>
        <v>Hpakant Town</v>
      </c>
      <c r="AE25" s="227">
        <f ca="1">IFERROR(OFFSET(DistanceToCamp[distance],MATCH(CampList[[#This Row],[CP_Pcode]],DistanceToCamp[CP_Pcode],0)-1,0,1,1),"")</f>
        <v>4.8862832644478198</v>
      </c>
      <c r="AF25" s="228">
        <f ca="1">IFERROR(INT(CampList[[#This Row],[Distance]]/5)+1,"")</f>
        <v>1</v>
      </c>
    </row>
    <row r="26" spans="2:35" ht="15.75" customHeight="1" x14ac:dyDescent="0.25">
      <c r="B26" s="242" t="s">
        <v>460</v>
      </c>
      <c r="C26" s="213" t="s">
        <v>378</v>
      </c>
      <c r="D26" s="213" t="s">
        <v>478</v>
      </c>
      <c r="E26" s="213" t="s">
        <v>237</v>
      </c>
      <c r="F26" s="213" t="s">
        <v>484</v>
      </c>
      <c r="G26" s="213" t="s">
        <v>309</v>
      </c>
      <c r="H26" s="213" t="s">
        <v>485</v>
      </c>
      <c r="I26" s="213" t="s">
        <v>658</v>
      </c>
      <c r="J26" s="232" t="s">
        <v>709</v>
      </c>
      <c r="K26" s="213" t="s">
        <v>710</v>
      </c>
      <c r="L26" s="213">
        <v>165895</v>
      </c>
      <c r="M26" s="213" t="s">
        <v>333</v>
      </c>
      <c r="N26" s="213" t="s">
        <v>332</v>
      </c>
      <c r="O26" s="221">
        <v>97.915833000000006</v>
      </c>
      <c r="P26" s="221">
        <v>25.220278</v>
      </c>
      <c r="Q26" s="233">
        <v>2404</v>
      </c>
      <c r="R26" s="292">
        <v>125</v>
      </c>
      <c r="S26" s="292">
        <v>483</v>
      </c>
      <c r="T26" s="222">
        <f>IF(CampList[[#This Row],[HH]]&gt;0,CampList[[#This Row],[Total]]/CampList[[#This Row],[HH]],"NA")</f>
        <v>3.8639999999999999</v>
      </c>
      <c r="U26" s="197" t="s">
        <v>466</v>
      </c>
      <c r="V26" s="214" t="s">
        <v>997</v>
      </c>
      <c r="W26" s="197" t="s">
        <v>507</v>
      </c>
      <c r="X26" s="197" t="s">
        <v>786</v>
      </c>
      <c r="Y26" s="332">
        <v>40848</v>
      </c>
      <c r="Z26" s="233" t="s">
        <v>938</v>
      </c>
      <c r="AA26" s="213" t="s">
        <v>775</v>
      </c>
      <c r="AB26" s="731">
        <v>43220</v>
      </c>
      <c r="AC26" s="235" t="s">
        <v>1784</v>
      </c>
      <c r="AD26" s="236" t="str">
        <f ca="1">IFERROR(OFFSET(DistanceToCamp[Nearest Town],MATCH(CampList[[#This Row],[CP_Pcode]],DistanceToCamp[CP_Pcode],0)-1,0,1,1),"")</f>
        <v>Sadung Town</v>
      </c>
      <c r="AE26" s="227">
        <f ca="1">IFERROR(OFFSET(DistanceToCamp[distance],MATCH(CampList[[#This Row],[CP_Pcode]],DistanceToCamp[CP_Pcode],0)-1,0,1,1),"")</f>
        <v>18.198335991626355</v>
      </c>
      <c r="AF26" s="237">
        <f ca="1">IFERROR(INT(CampList[[#This Row],[Distance]]/5)+1,"")</f>
        <v>4</v>
      </c>
    </row>
    <row r="27" spans="2:35" ht="15.75" customHeight="1" x14ac:dyDescent="0.25">
      <c r="B27" s="239" t="s">
        <v>460</v>
      </c>
      <c r="C27" s="212" t="s">
        <v>378</v>
      </c>
      <c r="D27" s="212" t="s">
        <v>478</v>
      </c>
      <c r="E27" s="212" t="s">
        <v>237</v>
      </c>
      <c r="F27" s="212" t="s">
        <v>484</v>
      </c>
      <c r="G27" s="212" t="s">
        <v>309</v>
      </c>
      <c r="H27" s="212" t="s">
        <v>485</v>
      </c>
      <c r="I27" s="212" t="s">
        <v>635</v>
      </c>
      <c r="J27" s="212" t="s">
        <v>636</v>
      </c>
      <c r="K27" s="212" t="s">
        <v>656</v>
      </c>
      <c r="L27" s="212" t="s">
        <v>657</v>
      </c>
      <c r="M27" s="212" t="s">
        <v>340</v>
      </c>
      <c r="N27" s="212" t="s">
        <v>339</v>
      </c>
      <c r="O27" s="219">
        <v>97.438432380952406</v>
      </c>
      <c r="P27" s="219">
        <v>25.351724999999998</v>
      </c>
      <c r="Q27" s="220">
        <v>0</v>
      </c>
      <c r="R27" s="292">
        <v>63</v>
      </c>
      <c r="S27" s="292">
        <v>321</v>
      </c>
      <c r="T27" s="222">
        <f>IF(CampList[[#This Row],[HH]]&gt;0,CampList[[#This Row],[Total]]/CampList[[#This Row],[HH]],"NA")</f>
        <v>5.0952380952380949</v>
      </c>
      <c r="U27" s="214" t="s">
        <v>464</v>
      </c>
      <c r="V27" s="214" t="s">
        <v>997</v>
      </c>
      <c r="W27" s="214" t="s">
        <v>507</v>
      </c>
      <c r="X27" s="214" t="s">
        <v>742</v>
      </c>
      <c r="Y27" s="331">
        <v>40695</v>
      </c>
      <c r="Z27" s="223" t="s">
        <v>424</v>
      </c>
      <c r="AA27" s="212" t="s">
        <v>775</v>
      </c>
      <c r="AB27" s="225">
        <v>43220</v>
      </c>
      <c r="AC27" s="226" t="s">
        <v>1714</v>
      </c>
      <c r="AD27" s="214" t="str">
        <f ca="1">IFERROR(OFFSET(DistanceToCamp[Nearest Town],MATCH(CampList[[#This Row],[CP_Pcode]],DistanceToCamp[CP_Pcode],0)-1,0,1,1),"")</f>
        <v>Waingmaw Town</v>
      </c>
      <c r="AE27" s="227">
        <f ca="1">IFERROR(OFFSET(DistanceToCamp[distance],MATCH(CampList[[#This Row],[CP_Pcode]],DistanceToCamp[CP_Pcode],0)-1,0,1,1),"")</f>
        <v>0.4474205416025816</v>
      </c>
      <c r="AF27" s="228">
        <f ca="1">IFERROR(INT(CampList[[#This Row],[Distance]]/5)+1,"")</f>
        <v>1</v>
      </c>
    </row>
    <row r="28" spans="2:35" ht="15.75" customHeight="1" x14ac:dyDescent="0.25">
      <c r="B28" s="239" t="s">
        <v>460</v>
      </c>
      <c r="C28" s="212" t="s">
        <v>378</v>
      </c>
      <c r="D28" s="212" t="s">
        <v>478</v>
      </c>
      <c r="E28" s="212" t="s">
        <v>237</v>
      </c>
      <c r="F28" s="212" t="s">
        <v>484</v>
      </c>
      <c r="G28" s="212" t="s">
        <v>309</v>
      </c>
      <c r="H28" s="212" t="s">
        <v>485</v>
      </c>
      <c r="I28" s="212" t="s">
        <v>564</v>
      </c>
      <c r="J28" s="212" t="s">
        <v>565</v>
      </c>
      <c r="K28" s="212" t="s">
        <v>564</v>
      </c>
      <c r="L28" s="212">
        <v>165735</v>
      </c>
      <c r="M28" s="212" t="s">
        <v>312</v>
      </c>
      <c r="N28" s="212" t="s">
        <v>311</v>
      </c>
      <c r="O28" s="219">
        <v>97.404195925926004</v>
      </c>
      <c r="P28" s="219">
        <v>25.321710740740698</v>
      </c>
      <c r="Q28" s="220">
        <v>0</v>
      </c>
      <c r="R28" s="292">
        <v>103</v>
      </c>
      <c r="S28" s="292">
        <v>504</v>
      </c>
      <c r="T28" s="222">
        <f>IF(CampList[[#This Row],[HH]]&gt;0,CampList[[#This Row],[Total]]/CampList[[#This Row],[HH]],"NA")</f>
        <v>4.8932038834951452</v>
      </c>
      <c r="U28" s="214" t="s">
        <v>464</v>
      </c>
      <c r="V28" s="214" t="s">
        <v>997</v>
      </c>
      <c r="W28" s="214" t="s">
        <v>507</v>
      </c>
      <c r="X28" s="214" t="s">
        <v>785</v>
      </c>
      <c r="Y28" s="331">
        <v>40695</v>
      </c>
      <c r="Z28" s="223" t="s">
        <v>462</v>
      </c>
      <c r="AA28" s="239" t="s">
        <v>775</v>
      </c>
      <c r="AB28" s="225">
        <v>43220</v>
      </c>
      <c r="AC28" s="218" t="s">
        <v>1680</v>
      </c>
      <c r="AD28" s="214" t="str">
        <f ca="1">IFERROR(OFFSET(DistanceToCamp[Nearest Town],MATCH(CampList[[#This Row],[CP_Pcode]],DistanceToCamp[CP_Pcode],0)-1,0,1,1),"")</f>
        <v>Waingmaw Town</v>
      </c>
      <c r="AE28" s="227">
        <f ca="1">IFERROR(OFFSET(DistanceToCamp[distance],MATCH(CampList[[#This Row],[CP_Pcode]],DistanceToCamp[CP_Pcode],0)-1,0,1,1),"")</f>
        <v>5.0655036329811631</v>
      </c>
      <c r="AF28" s="228">
        <f ca="1">IFERROR(INT(CampList[[#This Row],[Distance]]/5)+1,"")</f>
        <v>2</v>
      </c>
    </row>
    <row r="29" spans="2:35" ht="15.75" customHeight="1" x14ac:dyDescent="0.25">
      <c r="B29" s="239" t="s">
        <v>460</v>
      </c>
      <c r="C29" s="212" t="s">
        <v>378</v>
      </c>
      <c r="D29" s="212" t="s">
        <v>478</v>
      </c>
      <c r="E29" s="212" t="s">
        <v>237</v>
      </c>
      <c r="F29" s="212" t="s">
        <v>484</v>
      </c>
      <c r="G29" s="212" t="s">
        <v>309</v>
      </c>
      <c r="H29" s="212" t="s">
        <v>485</v>
      </c>
      <c r="I29" s="212" t="s">
        <v>659</v>
      </c>
      <c r="J29" s="212" t="s">
        <v>660</v>
      </c>
      <c r="K29" s="212" t="s">
        <v>661</v>
      </c>
      <c r="L29" s="212">
        <v>165730</v>
      </c>
      <c r="M29" s="212" t="s">
        <v>319</v>
      </c>
      <c r="N29" s="212" t="s">
        <v>318</v>
      </c>
      <c r="O29" s="219">
        <v>97.451965000000001</v>
      </c>
      <c r="P29" s="219">
        <v>25.356632000000001</v>
      </c>
      <c r="Q29" s="220">
        <v>0</v>
      </c>
      <c r="R29" s="292">
        <v>30</v>
      </c>
      <c r="S29" s="292">
        <v>176</v>
      </c>
      <c r="T29" s="222">
        <f>IF(CampList[[#This Row],[HH]]&gt;0,CampList[[#This Row],[Total]]/CampList[[#This Row],[HH]],"NA")</f>
        <v>5.8666666666666663</v>
      </c>
      <c r="U29" s="214" t="s">
        <v>464</v>
      </c>
      <c r="V29" s="214" t="s">
        <v>997</v>
      </c>
      <c r="W29" s="214" t="s">
        <v>507</v>
      </c>
      <c r="X29" s="214" t="s">
        <v>742</v>
      </c>
      <c r="Y29" s="331">
        <v>41030</v>
      </c>
      <c r="Z29" s="223" t="s">
        <v>424</v>
      </c>
      <c r="AA29" s="239" t="s">
        <v>775</v>
      </c>
      <c r="AB29" s="225">
        <v>43220</v>
      </c>
      <c r="AC29" s="218" t="s">
        <v>1715</v>
      </c>
      <c r="AD29" s="214" t="str">
        <f ca="1">IFERROR(OFFSET(DistanceToCamp[Nearest Town],MATCH(CampList[[#This Row],[CP_Pcode]],DistanceToCamp[CP_Pcode],0)-1,0,1,1),"")</f>
        <v>Waingmaw Town</v>
      </c>
      <c r="AE29" s="227">
        <f ca="1">IFERROR(OFFSET(DistanceToCamp[distance],MATCH(CampList[[#This Row],[CP_Pcode]],DistanceToCamp[CP_Pcode],0)-1,0,1,1),"")</f>
        <v>1.1134935940025397</v>
      </c>
      <c r="AF29" s="228">
        <f ca="1">IFERROR(INT(CampList[[#This Row],[Distance]]/5)+1,"")</f>
        <v>1</v>
      </c>
    </row>
    <row r="30" spans="2:35" ht="15.75" customHeight="1" x14ac:dyDescent="0.25">
      <c r="B30" s="218" t="s">
        <v>460</v>
      </c>
      <c r="C30" s="212" t="s">
        <v>378</v>
      </c>
      <c r="D30" s="212" t="s">
        <v>478</v>
      </c>
      <c r="E30" s="212" t="s">
        <v>180</v>
      </c>
      <c r="F30" s="212" t="s">
        <v>479</v>
      </c>
      <c r="G30" s="212" t="s">
        <v>480</v>
      </c>
      <c r="H30" s="212" t="s">
        <v>481</v>
      </c>
      <c r="I30" s="226" t="s">
        <v>543</v>
      </c>
      <c r="J30" s="226" t="s">
        <v>544</v>
      </c>
      <c r="K30" s="226" t="s">
        <v>547</v>
      </c>
      <c r="L30" s="226" t="s">
        <v>548</v>
      </c>
      <c r="M30" s="212" t="s">
        <v>44</v>
      </c>
      <c r="N30" s="212" t="s">
        <v>45</v>
      </c>
      <c r="O30" s="219">
        <v>96.316564</v>
      </c>
      <c r="P30" s="219">
        <v>25.615960999999999</v>
      </c>
      <c r="Q30" s="220">
        <v>281</v>
      </c>
      <c r="R30" s="292">
        <v>4</v>
      </c>
      <c r="S30" s="292">
        <v>27</v>
      </c>
      <c r="T30" s="222">
        <f>IF(CampList[[#This Row],[HH]]&gt;0,CampList[[#This Row],[Total]]/CampList[[#This Row],[HH]],"NA")</f>
        <v>6.75</v>
      </c>
      <c r="U30" s="214" t="s">
        <v>464</v>
      </c>
      <c r="V30" s="214" t="s">
        <v>997</v>
      </c>
      <c r="W30" s="214" t="s">
        <v>1399</v>
      </c>
      <c r="X30" s="214" t="s">
        <v>742</v>
      </c>
      <c r="Y30" s="331">
        <v>41122</v>
      </c>
      <c r="Z30" s="223" t="s">
        <v>1327</v>
      </c>
      <c r="AA30" s="239" t="s">
        <v>775</v>
      </c>
      <c r="AB30" s="225">
        <v>43220</v>
      </c>
      <c r="AC30" s="218" t="s">
        <v>1699</v>
      </c>
      <c r="AD30" s="214" t="str">
        <f ca="1">IFERROR(OFFSET(DistanceToCamp[Nearest Town],MATCH(CampList[[#This Row],[CP_Pcode]],DistanceToCamp[CP_Pcode],0)-1,0,1,1),"")</f>
        <v>Hpakant Town</v>
      </c>
      <c r="AE30" s="227">
        <f ca="1">IFERROR(OFFSET(DistanceToCamp[distance],MATCH(CampList[[#This Row],[CP_Pcode]],DistanceToCamp[CP_Pcode],0)-1,0,1,1),"")</f>
        <v>0.56771790814545575</v>
      </c>
      <c r="AF30" s="228">
        <f ca="1">IFERROR(INT(CampList[[#This Row],[Distance]]/5)+1,"")</f>
        <v>1</v>
      </c>
    </row>
    <row r="31" spans="2:35" ht="15.75" customHeight="1" x14ac:dyDescent="0.25">
      <c r="B31" s="231" t="s">
        <v>460</v>
      </c>
      <c r="C31" s="213" t="s">
        <v>378</v>
      </c>
      <c r="D31" s="213" t="s">
        <v>478</v>
      </c>
      <c r="E31" s="213" t="s">
        <v>5</v>
      </c>
      <c r="F31" s="213" t="s">
        <v>482</v>
      </c>
      <c r="G31" s="213" t="s">
        <v>185</v>
      </c>
      <c r="H31" s="213" t="s">
        <v>486</v>
      </c>
      <c r="I31" s="213" t="s">
        <v>665</v>
      </c>
      <c r="J31" s="232" t="s">
        <v>666</v>
      </c>
      <c r="K31" s="213" t="s">
        <v>523</v>
      </c>
      <c r="L31" s="213">
        <v>167343</v>
      </c>
      <c r="M31" s="213" t="s">
        <v>192</v>
      </c>
      <c r="N31" s="213" t="s">
        <v>191</v>
      </c>
      <c r="O31" s="221">
        <v>97.537099999999995</v>
      </c>
      <c r="P31" s="221">
        <v>24.461033</v>
      </c>
      <c r="Q31" s="233">
        <v>360</v>
      </c>
      <c r="R31" s="292">
        <v>93</v>
      </c>
      <c r="S31" s="292">
        <v>428</v>
      </c>
      <c r="T31" s="222">
        <f>IF(CampList[[#This Row],[HH]]&gt;0,CampList[[#This Row],[Total]]/CampList[[#This Row],[HH]],"NA")</f>
        <v>4.602150537634409</v>
      </c>
      <c r="U31" s="197" t="s">
        <v>466</v>
      </c>
      <c r="V31" s="214" t="s">
        <v>997</v>
      </c>
      <c r="W31" s="197" t="s">
        <v>507</v>
      </c>
      <c r="X31" s="197" t="s">
        <v>786</v>
      </c>
      <c r="Y31" s="332">
        <v>40756</v>
      </c>
      <c r="Z31" s="233" t="s">
        <v>938</v>
      </c>
      <c r="AA31" s="213" t="s">
        <v>775</v>
      </c>
      <c r="AB31" s="731">
        <v>43220</v>
      </c>
      <c r="AC31" s="235" t="s">
        <v>1785</v>
      </c>
      <c r="AD31" s="236" t="str">
        <f ca="1">IFERROR(OFFSET(DistanceToCamp[Nearest Town],MATCH(CampList[[#This Row],[CP_Pcode]],DistanceToCamp[CP_Pcode],0)-1,0,1,1),"")</f>
        <v>Dawthponeyan  Town</v>
      </c>
      <c r="AE31" s="227">
        <f ca="1">IFERROR(OFFSET(DistanceToCamp[distance],MATCH(CampList[[#This Row],[CP_Pcode]],DistanceToCamp[CP_Pcode],0)-1,0,1,1),"")</f>
        <v>18.65617244319267</v>
      </c>
      <c r="AF31" s="237">
        <f ca="1">IFERROR(INT(CampList[[#This Row],[Distance]]/5)+1,"")</f>
        <v>4</v>
      </c>
    </row>
    <row r="32" spans="2:35" ht="15.75" customHeight="1" x14ac:dyDescent="0.25">
      <c r="B32" s="289" t="s">
        <v>460</v>
      </c>
      <c r="C32" s="212" t="s">
        <v>378</v>
      </c>
      <c r="D32" s="212"/>
      <c r="E32" s="212" t="s">
        <v>237</v>
      </c>
      <c r="F32" s="212"/>
      <c r="G32" s="212" t="s">
        <v>237</v>
      </c>
      <c r="H32" s="212"/>
      <c r="I32" s="212" t="s">
        <v>611</v>
      </c>
      <c r="J32" s="232"/>
      <c r="K32" s="212" t="s">
        <v>1536</v>
      </c>
      <c r="L32" s="212"/>
      <c r="M32" s="212" t="s">
        <v>1537</v>
      </c>
      <c r="N32" s="212" t="s">
        <v>1574</v>
      </c>
      <c r="O32" s="219"/>
      <c r="P32" s="219"/>
      <c r="Q32" s="233"/>
      <c r="R32" s="196">
        <v>19</v>
      </c>
      <c r="S32" s="310">
        <v>46</v>
      </c>
      <c r="T32" s="222">
        <f>IF(CampList[[#This Row],[HH]]&gt;0,CampList[[#This Row],[Total]]/CampList[[#This Row],[HH]],"NA")</f>
        <v>2.4210526315789473</v>
      </c>
      <c r="U32" s="214" t="s">
        <v>464</v>
      </c>
      <c r="V32" s="214" t="s">
        <v>997</v>
      </c>
      <c r="W32" s="214" t="s">
        <v>1399</v>
      </c>
      <c r="X32" s="214" t="s">
        <v>742</v>
      </c>
      <c r="Y32" s="223">
        <v>42929</v>
      </c>
      <c r="Z32" s="223" t="s">
        <v>1327</v>
      </c>
      <c r="AA32" s="212" t="s">
        <v>775</v>
      </c>
      <c r="AB32" s="225">
        <v>43164</v>
      </c>
      <c r="AC32" s="226" t="s">
        <v>1607</v>
      </c>
      <c r="AD32" s="236" t="s">
        <v>611</v>
      </c>
      <c r="AE32" s="227" t="str">
        <f ca="1">IFERROR(OFFSET(DistanceToCamp[distance],MATCH(CampList[[#This Row],[CP_Pcode]],DistanceToCamp[CP_Pcode],0)-1,0,1,1),"")</f>
        <v/>
      </c>
      <c r="AF32" s="237" t="str">
        <f ca="1">IFERROR(INT(CampList[[#This Row],[Distance]]/5)+1,"")</f>
        <v/>
      </c>
    </row>
    <row r="33" spans="2:32" ht="15.75" customHeight="1" x14ac:dyDescent="0.25">
      <c r="B33" s="218" t="s">
        <v>460</v>
      </c>
      <c r="C33" s="212" t="s">
        <v>378</v>
      </c>
      <c r="D33" s="212" t="s">
        <v>478</v>
      </c>
      <c r="E33" s="212" t="s">
        <v>237</v>
      </c>
      <c r="F33" s="212" t="s">
        <v>484</v>
      </c>
      <c r="G33" s="212" t="s">
        <v>27</v>
      </c>
      <c r="H33" s="212" t="s">
        <v>487</v>
      </c>
      <c r="I33" s="240" t="s">
        <v>742</v>
      </c>
      <c r="J33" s="212" t="s">
        <v>732</v>
      </c>
      <c r="K33" s="240" t="s">
        <v>743</v>
      </c>
      <c r="L33" s="240"/>
      <c r="M33" s="212" t="s">
        <v>363</v>
      </c>
      <c r="N33" s="212" t="s">
        <v>376</v>
      </c>
      <c r="O33" s="219">
        <v>98.129990000000006</v>
      </c>
      <c r="P33" s="219">
        <v>25.887339999999998</v>
      </c>
      <c r="Q33" s="233">
        <v>259.10000000000002</v>
      </c>
      <c r="R33" s="292">
        <v>143</v>
      </c>
      <c r="S33" s="292">
        <v>640</v>
      </c>
      <c r="T33" s="222">
        <f>IF(CampList[[#This Row],[HH]]&gt;0,CampList[[#This Row],[Total]]/CampList[[#This Row],[HH]],"NA")</f>
        <v>4.4755244755244759</v>
      </c>
      <c r="U33" s="214" t="s">
        <v>464</v>
      </c>
      <c r="V33" s="214" t="s">
        <v>997</v>
      </c>
      <c r="W33" s="214" t="s">
        <v>507</v>
      </c>
      <c r="X33" s="214" t="s">
        <v>785</v>
      </c>
      <c r="Y33" s="331">
        <v>40940</v>
      </c>
      <c r="Z33" s="223" t="s">
        <v>462</v>
      </c>
      <c r="AA33" s="239" t="s">
        <v>775</v>
      </c>
      <c r="AB33" s="225">
        <v>43220</v>
      </c>
      <c r="AC33" s="218" t="s">
        <v>1681</v>
      </c>
      <c r="AD33" s="214" t="str">
        <f ca="1">IFERROR(OFFSET(DistanceToCamp[Nearest Town],MATCH(CampList[[#This Row],[CP_Pcode]],DistanceToCamp[CP_Pcode],0)-1,0,1,1),"")</f>
        <v>Chipwi Town</v>
      </c>
      <c r="AE33" s="227">
        <f ca="1">IFERROR(OFFSET(DistanceToCamp[distance],MATCH(CampList[[#This Row],[CP_Pcode]],DistanceToCamp[CP_Pcode],0)-1,0,1,1),"")</f>
        <v>0</v>
      </c>
      <c r="AF33" s="228">
        <f ca="1">IFERROR(INT(CampList[[#This Row],[Distance]]/5)+1,"")</f>
        <v>1</v>
      </c>
    </row>
    <row r="34" spans="2:32" ht="15.75" customHeight="1" x14ac:dyDescent="0.25">
      <c r="B34" s="218" t="s">
        <v>460</v>
      </c>
      <c r="C34" s="212" t="s">
        <v>378</v>
      </c>
      <c r="D34" s="212" t="s">
        <v>478</v>
      </c>
      <c r="E34" s="212" t="s">
        <v>180</v>
      </c>
      <c r="F34" s="212" t="s">
        <v>479</v>
      </c>
      <c r="G34" s="212" t="s">
        <v>480</v>
      </c>
      <c r="H34" s="212" t="s">
        <v>481</v>
      </c>
      <c r="I34" s="212" t="s">
        <v>538</v>
      </c>
      <c r="J34" s="212" t="s">
        <v>539</v>
      </c>
      <c r="K34" s="226" t="s">
        <v>540</v>
      </c>
      <c r="L34" s="226">
        <v>166785</v>
      </c>
      <c r="M34" s="212" t="s">
        <v>90</v>
      </c>
      <c r="N34" s="212" t="s">
        <v>89</v>
      </c>
      <c r="O34" s="219">
        <v>96.269199999999998</v>
      </c>
      <c r="P34" s="219">
        <v>25.566510000000001</v>
      </c>
      <c r="Q34" s="220">
        <v>278</v>
      </c>
      <c r="R34" s="292">
        <v>19</v>
      </c>
      <c r="S34" s="292">
        <v>102</v>
      </c>
      <c r="T34" s="222">
        <f>IF(CampList[[#This Row],[HH]]&gt;0,CampList[[#This Row],[Total]]/CampList[[#This Row],[HH]],"NA")</f>
        <v>5.3684210526315788</v>
      </c>
      <c r="U34" s="214" t="s">
        <v>464</v>
      </c>
      <c r="V34" s="214" t="s">
        <v>997</v>
      </c>
      <c r="W34" s="214" t="s">
        <v>507</v>
      </c>
      <c r="X34" s="214" t="s">
        <v>785</v>
      </c>
      <c r="Y34" s="331">
        <v>41275</v>
      </c>
      <c r="Z34" s="223" t="s">
        <v>462</v>
      </c>
      <c r="AA34" s="239" t="s">
        <v>775</v>
      </c>
      <c r="AB34" s="225">
        <v>43220</v>
      </c>
      <c r="AC34" s="218" t="s">
        <v>1682</v>
      </c>
      <c r="AD34" s="214" t="str">
        <f ca="1">IFERROR(OFFSET(DistanceToCamp[Nearest Town],MATCH(CampList[[#This Row],[CP_Pcode]],DistanceToCamp[CP_Pcode],0)-1,0,1,1),"")</f>
        <v>Hpakant Town</v>
      </c>
      <c r="AE34" s="227">
        <f ca="1">IFERROR(OFFSET(DistanceToCamp[distance],MATCH(CampList[[#This Row],[CP_Pcode]],DistanceToCamp[CP_Pcode],0)-1,0,1,1),"")</f>
        <v>6.7094919928483892</v>
      </c>
      <c r="AF34" s="228">
        <f ca="1">IFERROR(INT(CampList[[#This Row],[Distance]]/5)+1,"")</f>
        <v>2</v>
      </c>
    </row>
    <row r="35" spans="2:32" ht="15.75" customHeight="1" x14ac:dyDescent="0.25">
      <c r="B35" s="218" t="s">
        <v>460</v>
      </c>
      <c r="C35" s="212" t="s">
        <v>378</v>
      </c>
      <c r="D35" s="212" t="s">
        <v>478</v>
      </c>
      <c r="E35" s="212" t="s">
        <v>180</v>
      </c>
      <c r="F35" s="212" t="s">
        <v>479</v>
      </c>
      <c r="G35" s="212" t="s">
        <v>480</v>
      </c>
      <c r="H35" s="212" t="s">
        <v>481</v>
      </c>
      <c r="I35" s="212" t="s">
        <v>543</v>
      </c>
      <c r="J35" s="212" t="s">
        <v>544</v>
      </c>
      <c r="K35" s="212" t="s">
        <v>547</v>
      </c>
      <c r="L35" s="212" t="s">
        <v>548</v>
      </c>
      <c r="M35" s="212" t="s">
        <v>92</v>
      </c>
      <c r="N35" s="212" t="s">
        <v>91</v>
      </c>
      <c r="O35" s="219">
        <v>96.316400000000002</v>
      </c>
      <c r="P35" s="219">
        <v>25.61842</v>
      </c>
      <c r="Q35" s="220">
        <v>250</v>
      </c>
      <c r="R35" s="292">
        <v>12</v>
      </c>
      <c r="S35" s="292">
        <v>61</v>
      </c>
      <c r="T35" s="222">
        <f>IF(CampList[[#This Row],[HH]]&gt;0,CampList[[#This Row],[Total]]/CampList[[#This Row],[HH]],"NA")</f>
        <v>5.083333333333333</v>
      </c>
      <c r="U35" s="214" t="s">
        <v>464</v>
      </c>
      <c r="V35" s="214" t="s">
        <v>997</v>
      </c>
      <c r="W35" s="214" t="s">
        <v>507</v>
      </c>
      <c r="X35" s="214" t="s">
        <v>742</v>
      </c>
      <c r="Y35" s="331">
        <v>41275</v>
      </c>
      <c r="Z35" s="223" t="s">
        <v>462</v>
      </c>
      <c r="AA35" s="239" t="s">
        <v>775</v>
      </c>
      <c r="AB35" s="225">
        <v>43220</v>
      </c>
      <c r="AC35" s="218" t="s">
        <v>1683</v>
      </c>
      <c r="AD35" s="214" t="str">
        <f ca="1">IFERROR(OFFSET(DistanceToCamp[Nearest Town],MATCH(CampList[[#This Row],[CP_Pcode]],DistanceToCamp[CP_Pcode],0)-1,0,1,1),"")</f>
        <v>Hpakant Town</v>
      </c>
      <c r="AE35" s="227">
        <f ca="1">IFERROR(OFFSET(DistanceToCamp[distance],MATCH(CampList[[#This Row],[CP_Pcode]],DistanceToCamp[CP_Pcode],0)-1,0,1,1),"")</f>
        <v>0.75842119772531946</v>
      </c>
      <c r="AF35" s="228">
        <f ca="1">IFERROR(INT(CampList[[#This Row],[Distance]]/5)+1,"")</f>
        <v>1</v>
      </c>
    </row>
    <row r="36" spans="2:32" ht="15.75" hidden="1" customHeight="1" x14ac:dyDescent="0.25">
      <c r="B36" s="218" t="s">
        <v>776</v>
      </c>
      <c r="C36" s="212" t="s">
        <v>378</v>
      </c>
      <c r="D36" s="212" t="s">
        <v>478</v>
      </c>
      <c r="E36" s="212" t="s">
        <v>237</v>
      </c>
      <c r="F36" s="212" t="s">
        <v>484</v>
      </c>
      <c r="G36" s="212" t="s">
        <v>309</v>
      </c>
      <c r="H36" s="212" t="s">
        <v>485</v>
      </c>
      <c r="I36" s="226" t="s">
        <v>689</v>
      </c>
      <c r="J36" s="226" t="s">
        <v>690</v>
      </c>
      <c r="K36" s="226" t="s">
        <v>689</v>
      </c>
      <c r="L36" s="226">
        <v>165750</v>
      </c>
      <c r="M36" s="212" t="s">
        <v>1036</v>
      </c>
      <c r="N36" s="212" t="s">
        <v>358</v>
      </c>
      <c r="O36" s="219"/>
      <c r="P36" s="219"/>
      <c r="Q36" s="233"/>
      <c r="R36" s="302"/>
      <c r="S36" s="303"/>
      <c r="T36" s="222" t="str">
        <f>IF(CampList[[#This Row],[HH]]&gt;0,CampList[[#This Row],[Total]]/CampList[[#This Row],[HH]],"NA")</f>
        <v>NA</v>
      </c>
      <c r="U36" s="214" t="s">
        <v>464</v>
      </c>
      <c r="V36" s="214" t="s">
        <v>997</v>
      </c>
      <c r="W36" s="214" t="s">
        <v>507</v>
      </c>
      <c r="X36" s="214"/>
      <c r="Y36" s="234"/>
      <c r="Z36" s="224"/>
      <c r="AA36" s="239"/>
      <c r="AB36" s="243"/>
      <c r="AC36" s="218" t="s">
        <v>541</v>
      </c>
      <c r="AD36" s="214" t="str">
        <f ca="1">IFERROR(OFFSET(DistanceToCamp[Nearest Town],MATCH(CampList[[#This Row],[CP_Pcode]],DistanceToCamp[CP_Pcode],0)-1,0,1,1),"")</f>
        <v/>
      </c>
      <c r="AE36" s="227" t="str">
        <f ca="1">IFERROR(OFFSET(DistanceToCamp[distance],MATCH(CampList[[#This Row],[CP_Pcode]],DistanceToCamp[CP_Pcode],0)-1,0,1,1),"")</f>
        <v/>
      </c>
      <c r="AF36" s="228" t="str">
        <f ca="1">IFERROR(INT(CampList[[#This Row],[Distance]]/5)+1,"")</f>
        <v/>
      </c>
    </row>
    <row r="37" spans="2:32" ht="15.75" hidden="1" customHeight="1" x14ac:dyDescent="0.25">
      <c r="B37" s="218" t="s">
        <v>776</v>
      </c>
      <c r="C37" s="212" t="s">
        <v>378</v>
      </c>
      <c r="D37" s="212" t="s">
        <v>478</v>
      </c>
      <c r="E37" s="212" t="s">
        <v>237</v>
      </c>
      <c r="F37" s="212" t="s">
        <v>484</v>
      </c>
      <c r="G37" s="212" t="s">
        <v>309</v>
      </c>
      <c r="H37" s="212" t="s">
        <v>485</v>
      </c>
      <c r="I37" s="226" t="s">
        <v>564</v>
      </c>
      <c r="J37" s="212" t="s">
        <v>565</v>
      </c>
      <c r="K37" s="226" t="s">
        <v>564</v>
      </c>
      <c r="L37" s="226">
        <v>165735</v>
      </c>
      <c r="M37" s="212" t="s">
        <v>1035</v>
      </c>
      <c r="N37" s="212" t="s">
        <v>357</v>
      </c>
      <c r="O37" s="219">
        <v>97.421104</v>
      </c>
      <c r="P37" s="219">
        <v>25.328987000000001</v>
      </c>
      <c r="Q37" s="233"/>
      <c r="R37" s="302"/>
      <c r="S37" s="303"/>
      <c r="T37" s="222" t="str">
        <f>IF(CampList[[#This Row],[HH]]&gt;0,CampList[[#This Row],[Total]]/CampList[[#This Row],[HH]],"NA")</f>
        <v>NA</v>
      </c>
      <c r="U37" s="214" t="s">
        <v>464</v>
      </c>
      <c r="V37" s="214" t="s">
        <v>997</v>
      </c>
      <c r="W37" s="214" t="s">
        <v>507</v>
      </c>
      <c r="X37" s="214"/>
      <c r="Y37" s="234"/>
      <c r="Z37" s="224"/>
      <c r="AA37" s="239"/>
      <c r="AB37" s="243"/>
      <c r="AC37" s="218" t="s">
        <v>541</v>
      </c>
      <c r="AD37" s="214" t="str">
        <f ca="1">IFERROR(OFFSET(DistanceToCamp[Nearest Town],MATCH(CampList[[#This Row],[CP_Pcode]],DistanceToCamp[CP_Pcode],0)-1,0,1,1),"")</f>
        <v/>
      </c>
      <c r="AE37" s="227" t="str">
        <f ca="1">IFERROR(OFFSET(DistanceToCamp[distance],MATCH(CampList[[#This Row],[CP_Pcode]],DistanceToCamp[CP_Pcode],0)-1,0,1,1),"")</f>
        <v/>
      </c>
      <c r="AF37" s="228" t="str">
        <f ca="1">IFERROR(INT(CampList[[#This Row],[Distance]]/5)+1,"")</f>
        <v/>
      </c>
    </row>
    <row r="38" spans="2:32" ht="15.75" hidden="1" customHeight="1" x14ac:dyDescent="0.25">
      <c r="B38" s="218" t="s">
        <v>776</v>
      </c>
      <c r="C38" s="212" t="s">
        <v>378</v>
      </c>
      <c r="D38" s="212" t="s">
        <v>478</v>
      </c>
      <c r="E38" s="212" t="s">
        <v>237</v>
      </c>
      <c r="F38" s="212" t="s">
        <v>484</v>
      </c>
      <c r="G38" s="212" t="s">
        <v>309</v>
      </c>
      <c r="H38" s="212" t="s">
        <v>485</v>
      </c>
      <c r="I38" s="212" t="s">
        <v>635</v>
      </c>
      <c r="J38" s="212" t="s">
        <v>636</v>
      </c>
      <c r="K38" s="212" t="s">
        <v>656</v>
      </c>
      <c r="L38" s="212" t="s">
        <v>657</v>
      </c>
      <c r="M38" s="212" t="s">
        <v>310</v>
      </c>
      <c r="N38" s="212" t="s">
        <v>308</v>
      </c>
      <c r="O38" s="219">
        <v>97.438259000000002</v>
      </c>
      <c r="P38" s="219">
        <v>25.355841999999999</v>
      </c>
      <c r="Q38" s="220">
        <v>0</v>
      </c>
      <c r="R38" s="236"/>
      <c r="S38" s="241"/>
      <c r="T38" s="222" t="str">
        <f>IF(CampList[[#This Row],[HH]]&gt;0,CampList[[#This Row],[Total]]/CampList[[#This Row],[HH]],"NA")</f>
        <v>NA</v>
      </c>
      <c r="U38" s="214" t="s">
        <v>464</v>
      </c>
      <c r="V38" s="214" t="s">
        <v>997</v>
      </c>
      <c r="W38" s="214" t="s">
        <v>851</v>
      </c>
      <c r="X38" s="214" t="s">
        <v>742</v>
      </c>
      <c r="Y38" s="223">
        <v>40848</v>
      </c>
      <c r="Z38" s="223" t="s">
        <v>424</v>
      </c>
      <c r="AA38" s="212" t="s">
        <v>775</v>
      </c>
      <c r="AB38" s="225">
        <v>42432</v>
      </c>
      <c r="AC38" s="226" t="s">
        <v>1089</v>
      </c>
      <c r="AD38" s="214" t="str">
        <f ca="1">IFERROR(OFFSET(DistanceToCamp[Nearest Town],MATCH(CampList[[#This Row],[CP_Pcode]],DistanceToCamp[CP_Pcode],0)-1,0,1,1),"")</f>
        <v>Waingmaw Town</v>
      </c>
      <c r="AE38" s="227">
        <f ca="1">IFERROR(OFFSET(DistanceToCamp[distance],MATCH(CampList[[#This Row],[CP_Pcode]],DistanceToCamp[CP_Pcode],0)-1,0,1,1),"")</f>
        <v>0.70725493400809891</v>
      </c>
      <c r="AF38" s="228">
        <f ca="1">IFERROR(INT(CampList[[#This Row],[Distance]]/5)+1,"")</f>
        <v>1</v>
      </c>
    </row>
    <row r="39" spans="2:32" ht="15.75" customHeight="1" x14ac:dyDescent="0.25">
      <c r="B39" s="218" t="s">
        <v>460</v>
      </c>
      <c r="C39" s="212" t="s">
        <v>378</v>
      </c>
      <c r="D39" s="212" t="s">
        <v>478</v>
      </c>
      <c r="E39" s="212" t="s">
        <v>5</v>
      </c>
      <c r="F39" s="212" t="s">
        <v>482</v>
      </c>
      <c r="G39" s="212" t="s">
        <v>5</v>
      </c>
      <c r="H39" s="212" t="s">
        <v>483</v>
      </c>
      <c r="I39" s="226" t="s">
        <v>1092</v>
      </c>
      <c r="J39" s="226" t="s">
        <v>1093</v>
      </c>
      <c r="K39" s="226" t="s">
        <v>1092</v>
      </c>
      <c r="L39" s="238">
        <v>166836</v>
      </c>
      <c r="M39" s="212" t="s">
        <v>18</v>
      </c>
      <c r="N39" s="212" t="s">
        <v>17</v>
      </c>
      <c r="O39" s="219">
        <v>97.240183461538507</v>
      </c>
      <c r="P39" s="219">
        <v>24.2631743589744</v>
      </c>
      <c r="Q39" s="220">
        <v>0</v>
      </c>
      <c r="R39" s="292">
        <v>129</v>
      </c>
      <c r="S39" s="292">
        <v>742</v>
      </c>
      <c r="T39" s="222">
        <f>IF(CampList[[#This Row],[HH]]&gt;0,CampList[[#This Row],[Total]]/CampList[[#This Row],[HH]],"NA")</f>
        <v>5.7519379844961236</v>
      </c>
      <c r="U39" s="214" t="s">
        <v>464</v>
      </c>
      <c r="V39" s="214" t="s">
        <v>997</v>
      </c>
      <c r="W39" s="214" t="s">
        <v>507</v>
      </c>
      <c r="X39" s="214" t="s">
        <v>742</v>
      </c>
      <c r="Y39" s="331">
        <v>40695</v>
      </c>
      <c r="Z39" s="223" t="s">
        <v>462</v>
      </c>
      <c r="AA39" s="239" t="s">
        <v>775</v>
      </c>
      <c r="AB39" s="225">
        <v>43220</v>
      </c>
      <c r="AC39" s="218" t="s">
        <v>1684</v>
      </c>
      <c r="AD39" s="214" t="str">
        <f ca="1">IFERROR(OFFSET(DistanceToCamp[Nearest Town],MATCH(CampList[[#This Row],[CP_Pcode]],DistanceToCamp[CP_Pcode],0)-1,0,1,1),"")</f>
        <v>Bhamo Town</v>
      </c>
      <c r="AE39" s="227">
        <f ca="1">IFERROR(OFFSET(DistanceToCamp[distance],MATCH(CampList[[#This Row],[CP_Pcode]],DistanceToCamp[CP_Pcode],0)-1,0,1,1),"")</f>
        <v>1.0876401420946245</v>
      </c>
      <c r="AF39" s="228">
        <f ca="1">IFERROR(INT(CampList[[#This Row],[Distance]]/5)+1,"")</f>
        <v>1</v>
      </c>
    </row>
    <row r="40" spans="2:32" ht="15.75" customHeight="1" x14ac:dyDescent="0.25">
      <c r="B40" s="239" t="s">
        <v>460</v>
      </c>
      <c r="C40" s="212" t="s">
        <v>378</v>
      </c>
      <c r="D40" s="212" t="s">
        <v>478</v>
      </c>
      <c r="E40" s="212" t="s">
        <v>237</v>
      </c>
      <c r="F40" s="212" t="s">
        <v>484</v>
      </c>
      <c r="G40" s="212" t="s">
        <v>309</v>
      </c>
      <c r="H40" s="212" t="s">
        <v>485</v>
      </c>
      <c r="I40" s="212" t="s">
        <v>633</v>
      </c>
      <c r="J40" s="212" t="s">
        <v>634</v>
      </c>
      <c r="K40" s="212" t="s">
        <v>633</v>
      </c>
      <c r="L40" s="212">
        <v>165740</v>
      </c>
      <c r="M40" s="212" t="s">
        <v>325</v>
      </c>
      <c r="N40" s="212" t="s">
        <v>324</v>
      </c>
      <c r="O40" s="219">
        <v>97.426536944444507</v>
      </c>
      <c r="P40" s="219">
        <v>25.409612685185198</v>
      </c>
      <c r="Q40" s="220">
        <v>0</v>
      </c>
      <c r="R40" s="292">
        <v>47</v>
      </c>
      <c r="S40" s="292">
        <v>208</v>
      </c>
      <c r="T40" s="222">
        <f>IF(CampList[[#This Row],[HH]]&gt;0,CampList[[#This Row],[Total]]/CampList[[#This Row],[HH]],"NA")</f>
        <v>4.4255319148936172</v>
      </c>
      <c r="U40" s="214" t="s">
        <v>464</v>
      </c>
      <c r="V40" s="214" t="s">
        <v>997</v>
      </c>
      <c r="W40" s="214" t="s">
        <v>507</v>
      </c>
      <c r="X40" s="214" t="s">
        <v>742</v>
      </c>
      <c r="Y40" s="331">
        <v>40878</v>
      </c>
      <c r="Z40" s="223" t="s">
        <v>424</v>
      </c>
      <c r="AA40" s="239" t="s">
        <v>775</v>
      </c>
      <c r="AB40" s="225">
        <v>43220</v>
      </c>
      <c r="AC40" s="218" t="s">
        <v>1716</v>
      </c>
      <c r="AD40" s="214" t="str">
        <f ca="1">IFERROR(OFFSET(DistanceToCamp[Nearest Town],MATCH(CampList[[#This Row],[CP_Pcode]],DistanceToCamp[CP_Pcode],0)-1,0,1,1),"")</f>
        <v>Myitkyina Town</v>
      </c>
      <c r="AE40" s="227">
        <f ca="1">IFERROR(OFFSET(DistanceToCamp[distance],MATCH(CampList[[#This Row],[CP_Pcode]],DistanceToCamp[CP_Pcode],0)-1,0,1,1),"")</f>
        <v>4.3887485673235673</v>
      </c>
      <c r="AF40" s="228">
        <f ca="1">IFERROR(INT(CampList[[#This Row],[Distance]]/5)+1,"")</f>
        <v>1</v>
      </c>
    </row>
    <row r="41" spans="2:32" ht="15.75" customHeight="1" x14ac:dyDescent="0.25">
      <c r="B41" s="239" t="s">
        <v>460</v>
      </c>
      <c r="C41" s="212" t="s">
        <v>378</v>
      </c>
      <c r="D41" s="212" t="s">
        <v>478</v>
      </c>
      <c r="E41" s="212" t="s">
        <v>237</v>
      </c>
      <c r="F41" s="212" t="s">
        <v>484</v>
      </c>
      <c r="G41" s="212" t="s">
        <v>309</v>
      </c>
      <c r="H41" s="212" t="s">
        <v>485</v>
      </c>
      <c r="I41" s="212" t="s">
        <v>633</v>
      </c>
      <c r="J41" s="212" t="s">
        <v>634</v>
      </c>
      <c r="K41" s="212" t="s">
        <v>633</v>
      </c>
      <c r="L41" s="212">
        <v>165740</v>
      </c>
      <c r="M41" s="212" t="s">
        <v>327</v>
      </c>
      <c r="N41" s="212" t="s">
        <v>326</v>
      </c>
      <c r="O41" s="219">
        <v>97.433419259259296</v>
      </c>
      <c r="P41" s="219">
        <v>25.424529444444399</v>
      </c>
      <c r="Q41" s="220">
        <v>0</v>
      </c>
      <c r="R41" s="292">
        <v>339</v>
      </c>
      <c r="S41" s="292">
        <v>1975</v>
      </c>
      <c r="T41" s="222">
        <f>IF(CampList[[#This Row],[HH]]&gt;0,CampList[[#This Row],[Total]]/CampList[[#This Row],[HH]],"NA")</f>
        <v>5.8259587020648969</v>
      </c>
      <c r="U41" s="214" t="s">
        <v>464</v>
      </c>
      <c r="V41" s="214" t="s">
        <v>997</v>
      </c>
      <c r="W41" s="214" t="s">
        <v>507</v>
      </c>
      <c r="X41" s="214" t="s">
        <v>785</v>
      </c>
      <c r="Y41" s="331">
        <v>41456</v>
      </c>
      <c r="Z41" s="223" t="s">
        <v>462</v>
      </c>
      <c r="AA41" s="239" t="s">
        <v>775</v>
      </c>
      <c r="AB41" s="225">
        <v>43220</v>
      </c>
      <c r="AC41" s="218" t="s">
        <v>1685</v>
      </c>
      <c r="AD41" s="214" t="str">
        <f ca="1">IFERROR(OFFSET(DistanceToCamp[Nearest Town],MATCH(CampList[[#This Row],[CP_Pcode]],DistanceToCamp[CP_Pcode],0)-1,0,1,1),"")</f>
        <v>Myitkyina Town</v>
      </c>
      <c r="AE41" s="227">
        <f ca="1">IFERROR(OFFSET(DistanceToCamp[distance],MATCH(CampList[[#This Row],[CP_Pcode]],DistanceToCamp[CP_Pcode],0)-1,0,1,1),"")</f>
        <v>5.9727739497559158</v>
      </c>
      <c r="AF41" s="228">
        <f ca="1">IFERROR(INT(CampList[[#This Row],[Distance]]/5)+1,"")</f>
        <v>2</v>
      </c>
    </row>
    <row r="42" spans="2:32" ht="15.75" customHeight="1" x14ac:dyDescent="0.25">
      <c r="B42" s="239" t="s">
        <v>460</v>
      </c>
      <c r="C42" s="212" t="s">
        <v>378</v>
      </c>
      <c r="D42" s="212" t="s">
        <v>478</v>
      </c>
      <c r="E42" s="212" t="s">
        <v>237</v>
      </c>
      <c r="F42" s="212" t="s">
        <v>484</v>
      </c>
      <c r="G42" s="212" t="s">
        <v>309</v>
      </c>
      <c r="H42" s="212" t="s">
        <v>485</v>
      </c>
      <c r="I42" s="212" t="s">
        <v>633</v>
      </c>
      <c r="J42" s="212" t="s">
        <v>634</v>
      </c>
      <c r="K42" s="212" t="s">
        <v>633</v>
      </c>
      <c r="L42" s="212">
        <v>165740</v>
      </c>
      <c r="M42" s="212" t="s">
        <v>323</v>
      </c>
      <c r="N42" s="212" t="s">
        <v>322</v>
      </c>
      <c r="O42" s="219">
        <v>97.434855869565197</v>
      </c>
      <c r="P42" s="219">
        <v>25.4118005797101</v>
      </c>
      <c r="Q42" s="220">
        <v>0</v>
      </c>
      <c r="R42" s="292">
        <v>510</v>
      </c>
      <c r="S42" s="292">
        <v>2680</v>
      </c>
      <c r="T42" s="222">
        <f>IF(CampList[[#This Row],[HH]]&gt;0,CampList[[#This Row],[Total]]/CampList[[#This Row],[HH]],"NA")</f>
        <v>5.2549019607843137</v>
      </c>
      <c r="U42" s="214" t="s">
        <v>464</v>
      </c>
      <c r="V42" s="214" t="s">
        <v>997</v>
      </c>
      <c r="W42" s="214" t="s">
        <v>507</v>
      </c>
      <c r="X42" s="214" t="s">
        <v>785</v>
      </c>
      <c r="Y42" s="331">
        <v>41061</v>
      </c>
      <c r="Z42" s="223" t="s">
        <v>424</v>
      </c>
      <c r="AA42" s="239" t="s">
        <v>775</v>
      </c>
      <c r="AB42" s="225">
        <v>43220</v>
      </c>
      <c r="AC42" s="218" t="s">
        <v>1717</v>
      </c>
      <c r="AD42" s="214" t="str">
        <f ca="1">IFERROR(OFFSET(DistanceToCamp[Nearest Town],MATCH(CampList[[#This Row],[CP_Pcode]],DistanceToCamp[CP_Pcode],0)-1,0,1,1),"")</f>
        <v>Myitkyina Town</v>
      </c>
      <c r="AE42" s="227">
        <f ca="1">IFERROR(OFFSET(DistanceToCamp[distance],MATCH(CampList[[#This Row],[CP_Pcode]],DistanceToCamp[CP_Pcode],0)-1,0,1,1),"")</f>
        <v>5.2238983299151851</v>
      </c>
      <c r="AF42" s="228">
        <f ca="1">IFERROR(INT(CampList[[#This Row],[Distance]]/5)+1,"")</f>
        <v>2</v>
      </c>
    </row>
    <row r="43" spans="2:32" ht="15.75" customHeight="1" x14ac:dyDescent="0.25">
      <c r="B43" s="239" t="s">
        <v>460</v>
      </c>
      <c r="C43" s="212" t="s">
        <v>378</v>
      </c>
      <c r="D43" s="212" t="s">
        <v>478</v>
      </c>
      <c r="E43" s="212" t="s">
        <v>237</v>
      </c>
      <c r="F43" s="212" t="s">
        <v>484</v>
      </c>
      <c r="G43" s="212" t="s">
        <v>309</v>
      </c>
      <c r="H43" s="212" t="s">
        <v>485</v>
      </c>
      <c r="I43" s="212" t="s">
        <v>711</v>
      </c>
      <c r="J43" s="212" t="s">
        <v>712</v>
      </c>
      <c r="K43" s="212" t="s">
        <v>713</v>
      </c>
      <c r="L43" s="212">
        <v>165845</v>
      </c>
      <c r="M43" s="212" t="s">
        <v>345</v>
      </c>
      <c r="N43" s="212" t="s">
        <v>344</v>
      </c>
      <c r="O43" s="219">
        <v>98.025662999999994</v>
      </c>
      <c r="P43" s="219">
        <v>25.418084</v>
      </c>
      <c r="Q43" s="220"/>
      <c r="R43" s="292">
        <v>181</v>
      </c>
      <c r="S43" s="292">
        <v>1001</v>
      </c>
      <c r="T43" s="222">
        <f>IF(CampList[[#This Row],[HH]]&gt;0,CampList[[#This Row],[Total]]/CampList[[#This Row],[HH]],"NA")</f>
        <v>5.5303867403314921</v>
      </c>
      <c r="U43" s="214" t="s">
        <v>464</v>
      </c>
      <c r="V43" s="214" t="s">
        <v>997</v>
      </c>
      <c r="W43" s="214" t="s">
        <v>507</v>
      </c>
      <c r="X43" s="214" t="s">
        <v>785</v>
      </c>
      <c r="Y43" s="331">
        <v>40848</v>
      </c>
      <c r="Z43" s="223" t="s">
        <v>424</v>
      </c>
      <c r="AA43" s="212" t="s">
        <v>775</v>
      </c>
      <c r="AB43" s="225">
        <v>43220</v>
      </c>
      <c r="AC43" s="226" t="s">
        <v>1718</v>
      </c>
      <c r="AD43" s="214" t="str">
        <f ca="1">IFERROR(OFFSET(DistanceToCamp[Nearest Town],MATCH(CampList[[#This Row],[CP_Pcode]],DistanceToCamp[CP_Pcode],0)-1,0,1,1),"")</f>
        <v>Kan Paik Ti Town</v>
      </c>
      <c r="AE43" s="227">
        <f ca="1">IFERROR(OFFSET(DistanceToCamp[distance],MATCH(CampList[[#This Row],[CP_Pcode]],DistanceToCamp[CP_Pcode],0)-1,0,1,1),"")</f>
        <v>9.3609732231189877</v>
      </c>
      <c r="AF43" s="228">
        <f ca="1">IFERROR(INT(CampList[[#This Row],[Distance]]/5)+1,"")</f>
        <v>2</v>
      </c>
    </row>
    <row r="44" spans="2:32" ht="15.75" customHeight="1" x14ac:dyDescent="0.25">
      <c r="B44" s="218" t="s">
        <v>460</v>
      </c>
      <c r="C44" s="212" t="s">
        <v>378</v>
      </c>
      <c r="D44" s="212" t="s">
        <v>478</v>
      </c>
      <c r="E44" s="212" t="s">
        <v>237</v>
      </c>
      <c r="F44" s="212" t="s">
        <v>484</v>
      </c>
      <c r="G44" s="212" t="s">
        <v>27</v>
      </c>
      <c r="H44" s="212" t="s">
        <v>487</v>
      </c>
      <c r="I44" s="226" t="s">
        <v>733</v>
      </c>
      <c r="J44" s="226" t="s">
        <v>734</v>
      </c>
      <c r="K44" s="226" t="s">
        <v>735</v>
      </c>
      <c r="L44" s="226">
        <v>166355</v>
      </c>
      <c r="M44" s="212" t="s">
        <v>362</v>
      </c>
      <c r="N44" s="212" t="s">
        <v>29</v>
      </c>
      <c r="O44" s="219">
        <v>98.475719999999995</v>
      </c>
      <c r="P44" s="219">
        <v>25.754110000000001</v>
      </c>
      <c r="Q44" s="220">
        <v>2785</v>
      </c>
      <c r="R44" s="292">
        <v>160</v>
      </c>
      <c r="S44" s="292">
        <v>830</v>
      </c>
      <c r="T44" s="222">
        <f>IF(CampList[[#This Row],[HH]]&gt;0,CampList[[#This Row],[Total]]/CampList[[#This Row],[HH]],"NA")</f>
        <v>5.1875</v>
      </c>
      <c r="U44" s="214" t="s">
        <v>466</v>
      </c>
      <c r="V44" s="214" t="s">
        <v>997</v>
      </c>
      <c r="W44" s="214" t="s">
        <v>507</v>
      </c>
      <c r="X44" s="214" t="s">
        <v>786</v>
      </c>
      <c r="Y44" s="331">
        <v>41030</v>
      </c>
      <c r="Z44" s="223" t="s">
        <v>424</v>
      </c>
      <c r="AA44" s="239" t="s">
        <v>775</v>
      </c>
      <c r="AB44" s="225">
        <v>43220</v>
      </c>
      <c r="AC44" s="218" t="s">
        <v>1719</v>
      </c>
      <c r="AD44" s="214" t="str">
        <f ca="1">IFERROR(OFFSET(DistanceToCamp[Nearest Town],MATCH(CampList[[#This Row],[CP_Pcode]],DistanceToCamp[CP_Pcode],0)-1,0,1,1),"")</f>
        <v>Pang War Town</v>
      </c>
      <c r="AE44" s="227">
        <f ca="1">IFERROR(OFFSET(DistanceToCamp[distance],MATCH(CampList[[#This Row],[CP_Pcode]],DistanceToCamp[CP_Pcode],0)-1,0,1,1),"")</f>
        <v>19.834999342466848</v>
      </c>
      <c r="AF44" s="228">
        <f ca="1">IFERROR(INT(CampList[[#This Row],[Distance]]/5)+1,"")</f>
        <v>4</v>
      </c>
    </row>
    <row r="45" spans="2:32" ht="15.75" customHeight="1" x14ac:dyDescent="0.25">
      <c r="B45" s="218" t="s">
        <v>460</v>
      </c>
      <c r="C45" s="212" t="s">
        <v>378</v>
      </c>
      <c r="D45" s="212" t="s">
        <v>478</v>
      </c>
      <c r="E45" s="212" t="s">
        <v>237</v>
      </c>
      <c r="F45" s="212" t="s">
        <v>484</v>
      </c>
      <c r="G45" s="212" t="s">
        <v>237</v>
      </c>
      <c r="H45" s="212" t="s">
        <v>488</v>
      </c>
      <c r="I45" s="226" t="s">
        <v>588</v>
      </c>
      <c r="J45" s="226" t="s">
        <v>589</v>
      </c>
      <c r="K45" s="226" t="s">
        <v>588</v>
      </c>
      <c r="L45" s="226">
        <v>165698</v>
      </c>
      <c r="M45" s="212" t="s">
        <v>262</v>
      </c>
      <c r="N45" s="212" t="s">
        <v>261</v>
      </c>
      <c r="O45" s="219">
        <v>97.2843958974359</v>
      </c>
      <c r="P45" s="219">
        <v>25.374343974359</v>
      </c>
      <c r="Q45" s="220">
        <v>0</v>
      </c>
      <c r="R45" s="292">
        <v>24</v>
      </c>
      <c r="S45" s="292">
        <v>97</v>
      </c>
      <c r="T45" s="222">
        <f>IF(CampList[[#This Row],[HH]]&gt;0,CampList[[#This Row],[Total]]/CampList[[#This Row],[HH]],"NA")</f>
        <v>4.041666666666667</v>
      </c>
      <c r="U45" s="214" t="s">
        <v>464</v>
      </c>
      <c r="V45" s="214" t="s">
        <v>997</v>
      </c>
      <c r="W45" s="214" t="s">
        <v>507</v>
      </c>
      <c r="X45" s="214" t="s">
        <v>785</v>
      </c>
      <c r="Y45" s="331">
        <v>40817</v>
      </c>
      <c r="Z45" s="223" t="s">
        <v>462</v>
      </c>
      <c r="AA45" s="239" t="s">
        <v>775</v>
      </c>
      <c r="AB45" s="225">
        <v>43220</v>
      </c>
      <c r="AC45" s="218" t="s">
        <v>1686</v>
      </c>
      <c r="AD45" s="214" t="str">
        <f ca="1">IFERROR(OFFSET(DistanceToCamp[Nearest Town],MATCH(CampList[[#This Row],[CP_Pcode]],DistanceToCamp[CP_Pcode],0)-1,0,1,1),"")</f>
        <v>Myitkyina Town</v>
      </c>
      <c r="AE45" s="227">
        <f ca="1">IFERROR(OFFSET(DistanceToCamp[distance],MATCH(CampList[[#This Row],[CP_Pcode]],DistanceToCamp[CP_Pcode],0)-1,0,1,1),"")</f>
        <v>10.744749696609457</v>
      </c>
      <c r="AF45" s="228">
        <f ca="1">IFERROR(INT(CampList[[#This Row],[Distance]]/5)+1,"")</f>
        <v>3</v>
      </c>
    </row>
    <row r="46" spans="2:32" ht="15.75" customHeight="1" x14ac:dyDescent="0.25">
      <c r="B46" s="218" t="s">
        <v>460</v>
      </c>
      <c r="C46" s="212" t="s">
        <v>378</v>
      </c>
      <c r="D46" s="212" t="s">
        <v>478</v>
      </c>
      <c r="E46" s="212" t="s">
        <v>5</v>
      </c>
      <c r="F46" s="212" t="s">
        <v>482</v>
      </c>
      <c r="G46" s="212" t="s">
        <v>5</v>
      </c>
      <c r="H46" s="212" t="s">
        <v>483</v>
      </c>
      <c r="I46" s="212" t="s">
        <v>577</v>
      </c>
      <c r="J46" s="212" t="s">
        <v>578</v>
      </c>
      <c r="K46" s="212" t="s">
        <v>581</v>
      </c>
      <c r="L46" s="212" t="s">
        <v>582</v>
      </c>
      <c r="M46" s="212" t="s">
        <v>22</v>
      </c>
      <c r="N46" s="212" t="s">
        <v>21</v>
      </c>
      <c r="O46" s="219">
        <v>97.229116811594196</v>
      </c>
      <c r="P46" s="219">
        <v>24.268292826086999</v>
      </c>
      <c r="Q46" s="220"/>
      <c r="R46" s="292">
        <v>641</v>
      </c>
      <c r="S46" s="292">
        <v>4010</v>
      </c>
      <c r="T46" s="222">
        <f>IF(CampList[[#This Row],[HH]]&gt;0,CampList[[#This Row],[Total]]/CampList[[#This Row],[HH]],"NA")</f>
        <v>6.25585023400936</v>
      </c>
      <c r="U46" s="214" t="s">
        <v>464</v>
      </c>
      <c r="V46" s="214" t="s">
        <v>997</v>
      </c>
      <c r="W46" s="214" t="s">
        <v>507</v>
      </c>
      <c r="X46" s="214" t="s">
        <v>742</v>
      </c>
      <c r="Y46" s="331">
        <v>40725</v>
      </c>
      <c r="Z46" s="223" t="s">
        <v>424</v>
      </c>
      <c r="AA46" s="212" t="s">
        <v>775</v>
      </c>
      <c r="AB46" s="225">
        <v>43220</v>
      </c>
      <c r="AC46" s="226" t="s">
        <v>1720</v>
      </c>
      <c r="AD46" s="214" t="str">
        <f ca="1">IFERROR(OFFSET(DistanceToCamp[Nearest Town],MATCH(CampList[[#This Row],[CP_Pcode]],DistanceToCamp[CP_Pcode],0)-1,0,1,1),"")</f>
        <v>Bhamo Town</v>
      </c>
      <c r="AE46" s="227">
        <f ca="1">IFERROR(OFFSET(DistanceToCamp[distance],MATCH(CampList[[#This Row],[CP_Pcode]],DistanceToCamp[CP_Pcode],0)-1,0,1,1),"")</f>
        <v>1.5797992800898704</v>
      </c>
      <c r="AF46" s="228">
        <f ca="1">IFERROR(INT(CampList[[#This Row],[Distance]]/5)+1,"")</f>
        <v>1</v>
      </c>
    </row>
    <row r="47" spans="2:32" ht="15.75" hidden="1" customHeight="1" x14ac:dyDescent="0.25">
      <c r="B47" s="218" t="s">
        <v>776</v>
      </c>
      <c r="C47" s="212" t="s">
        <v>378</v>
      </c>
      <c r="D47" s="212" t="s">
        <v>478</v>
      </c>
      <c r="E47" s="212" t="s">
        <v>237</v>
      </c>
      <c r="F47" s="212" t="s">
        <v>484</v>
      </c>
      <c r="G47" s="212" t="s">
        <v>27</v>
      </c>
      <c r="H47" s="212" t="s">
        <v>487</v>
      </c>
      <c r="I47" s="212"/>
      <c r="J47" s="212"/>
      <c r="K47" s="212"/>
      <c r="L47" s="212"/>
      <c r="M47" s="212" t="s">
        <v>37</v>
      </c>
      <c r="N47" s="212" t="s">
        <v>36</v>
      </c>
      <c r="O47" s="219"/>
      <c r="P47" s="219"/>
      <c r="Q47" s="233"/>
      <c r="R47" s="302"/>
      <c r="S47" s="303"/>
      <c r="T47" s="222" t="str">
        <f>IF(CampList[[#This Row],[HH]]&gt;0,CampList[[#This Row],[Total]]/CampList[[#This Row],[HH]],"NA")</f>
        <v>NA</v>
      </c>
      <c r="U47" s="214" t="s">
        <v>464</v>
      </c>
      <c r="V47" s="214" t="s">
        <v>997</v>
      </c>
      <c r="W47" s="214" t="s">
        <v>507</v>
      </c>
      <c r="X47" s="214"/>
      <c r="Y47" s="234"/>
      <c r="Z47" s="224"/>
      <c r="AA47" s="321"/>
      <c r="AB47" s="243"/>
      <c r="AC47" s="218" t="s">
        <v>541</v>
      </c>
      <c r="AD47" s="214" t="str">
        <f ca="1">IFERROR(OFFSET(DistanceToCamp[Nearest Town],MATCH(CampList[[#This Row],[CP_Pcode]],DistanceToCamp[CP_Pcode],0)-1,0,1,1),"")</f>
        <v/>
      </c>
      <c r="AE47" s="227" t="str">
        <f ca="1">IFERROR(OFFSET(DistanceToCamp[distance],MATCH(CampList[[#This Row],[CP_Pcode]],DistanceToCamp[CP_Pcode],0)-1,0,1,1),"")</f>
        <v/>
      </c>
      <c r="AF47" s="228" t="str">
        <f ca="1">IFERROR(INT(CampList[[#This Row],[Distance]]/5)+1,"")</f>
        <v/>
      </c>
    </row>
    <row r="48" spans="2:32" ht="15.75" hidden="1" customHeight="1" x14ac:dyDescent="0.25">
      <c r="B48" s="218" t="s">
        <v>776</v>
      </c>
      <c r="C48" s="212" t="s">
        <v>378</v>
      </c>
      <c r="D48" s="212" t="s">
        <v>478</v>
      </c>
      <c r="E48" s="212" t="s">
        <v>237</v>
      </c>
      <c r="F48" s="212" t="s">
        <v>484</v>
      </c>
      <c r="G48" s="212" t="s">
        <v>27</v>
      </c>
      <c r="H48" s="212" t="s">
        <v>487</v>
      </c>
      <c r="I48" s="226" t="s">
        <v>728</v>
      </c>
      <c r="J48" s="226" t="s">
        <v>729</v>
      </c>
      <c r="K48" s="226" t="s">
        <v>730</v>
      </c>
      <c r="L48" s="226">
        <v>166337</v>
      </c>
      <c r="M48" s="212" t="s">
        <v>34</v>
      </c>
      <c r="N48" s="212" t="s">
        <v>33</v>
      </c>
      <c r="O48" s="219">
        <v>98.354146999999998</v>
      </c>
      <c r="P48" s="219">
        <v>25.708763000000001</v>
      </c>
      <c r="Q48" s="233"/>
      <c r="R48" s="329"/>
      <c r="S48" s="330"/>
      <c r="T48" s="222" t="str">
        <f>IF(CampList[[#This Row],[HH]]&gt;0,CampList[[#This Row],[Total]]/CampList[[#This Row],[HH]],"NA")</f>
        <v>NA</v>
      </c>
      <c r="U48" s="214" t="s">
        <v>464</v>
      </c>
      <c r="V48" s="214" t="s">
        <v>997</v>
      </c>
      <c r="W48" s="244" t="s">
        <v>12</v>
      </c>
      <c r="X48" s="214" t="s">
        <v>785</v>
      </c>
      <c r="Y48" s="332"/>
      <c r="Z48" s="224"/>
      <c r="AA48" s="321" t="s">
        <v>775</v>
      </c>
      <c r="AB48" s="342">
        <v>42927</v>
      </c>
      <c r="AC48" s="218" t="s">
        <v>1287</v>
      </c>
      <c r="AD48" s="214" t="str">
        <f ca="1">IFERROR(OFFSET(DistanceToCamp[Nearest Town],MATCH(CampList[[#This Row],[CP_Pcode]],DistanceToCamp[CP_Pcode],0)-1,0,1,1),"")</f>
        <v>Pang War Town</v>
      </c>
      <c r="AE48" s="227">
        <f ca="1">IFERROR(OFFSET(DistanceToCamp[distance],MATCH(CampList[[#This Row],[CP_Pcode]],DistanceToCamp[CP_Pcode],0)-1,0,1,1),"")</f>
        <v>12.486065224161463</v>
      </c>
      <c r="AF48" s="228">
        <f ca="1">IFERROR(INT(CampList[[#This Row],[Distance]]/5)+1,"")</f>
        <v>3</v>
      </c>
    </row>
    <row r="49" spans="2:35" ht="15.75" hidden="1" customHeight="1" x14ac:dyDescent="0.25">
      <c r="B49" s="218" t="s">
        <v>776</v>
      </c>
      <c r="C49" s="212" t="s">
        <v>378</v>
      </c>
      <c r="D49" s="212" t="s">
        <v>478</v>
      </c>
      <c r="E49" s="212" t="s">
        <v>237</v>
      </c>
      <c r="F49" s="212" t="s">
        <v>484</v>
      </c>
      <c r="G49" s="212" t="s">
        <v>27</v>
      </c>
      <c r="H49" s="212" t="s">
        <v>487</v>
      </c>
      <c r="I49" s="212"/>
      <c r="J49" s="212"/>
      <c r="K49" s="212"/>
      <c r="L49" s="212"/>
      <c r="M49" s="212" t="s">
        <v>32</v>
      </c>
      <c r="N49" s="212" t="s">
        <v>31</v>
      </c>
      <c r="O49" s="219"/>
      <c r="P49" s="219"/>
      <c r="Q49" s="233"/>
      <c r="R49" s="302"/>
      <c r="S49" s="303"/>
      <c r="T49" s="222" t="str">
        <f>IF(CampList[[#This Row],[HH]]&gt;0,CampList[[#This Row],[Total]]/CampList[[#This Row],[HH]],"NA")</f>
        <v>NA</v>
      </c>
      <c r="U49" s="214" t="s">
        <v>464</v>
      </c>
      <c r="V49" s="214" t="s">
        <v>997</v>
      </c>
      <c r="W49" s="214" t="s">
        <v>507</v>
      </c>
      <c r="X49" s="214" t="s">
        <v>785</v>
      </c>
      <c r="Y49" s="234"/>
      <c r="Z49" s="223" t="s">
        <v>938</v>
      </c>
      <c r="AA49" s="239" t="s">
        <v>775</v>
      </c>
      <c r="AB49" s="225">
        <v>42096</v>
      </c>
      <c r="AC49" s="218" t="s">
        <v>1030</v>
      </c>
      <c r="AD49" s="214" t="str">
        <f ca="1">IFERROR(OFFSET(DistanceToCamp[Nearest Town],MATCH(CampList[[#This Row],[CP_Pcode]],DistanceToCamp[CP_Pcode],0)-1,0,1,1),"")</f>
        <v/>
      </c>
      <c r="AE49" s="227" t="str">
        <f ca="1">IFERROR(OFFSET(DistanceToCamp[distance],MATCH(CampList[[#This Row],[CP_Pcode]],DistanceToCamp[CP_Pcode],0)-1,0,1,1),"")</f>
        <v/>
      </c>
      <c r="AF49" s="228" t="str">
        <f ca="1">IFERROR(INT(CampList[[#This Row],[Distance]]/5)+1,"")</f>
        <v/>
      </c>
    </row>
    <row r="50" spans="2:35" ht="15.75" customHeight="1" x14ac:dyDescent="0.25">
      <c r="B50" s="218" t="s">
        <v>460</v>
      </c>
      <c r="C50" s="212" t="s">
        <v>378</v>
      </c>
      <c r="D50" s="212" t="s">
        <v>478</v>
      </c>
      <c r="E50" s="212" t="s">
        <v>5</v>
      </c>
      <c r="F50" s="212" t="s">
        <v>482</v>
      </c>
      <c r="G50" s="212" t="s">
        <v>5</v>
      </c>
      <c r="H50" s="212" t="s">
        <v>483</v>
      </c>
      <c r="I50" s="226" t="s">
        <v>577</v>
      </c>
      <c r="J50" s="226" t="s">
        <v>578</v>
      </c>
      <c r="K50" s="226" t="s">
        <v>583</v>
      </c>
      <c r="L50" s="226" t="s">
        <v>584</v>
      </c>
      <c r="M50" s="212" t="s">
        <v>14</v>
      </c>
      <c r="N50" s="212" t="s">
        <v>13</v>
      </c>
      <c r="O50" s="219">
        <v>97.236919999999998</v>
      </c>
      <c r="P50" s="219">
        <v>24.24766</v>
      </c>
      <c r="Q50" s="220">
        <v>0</v>
      </c>
      <c r="R50" s="292">
        <v>41</v>
      </c>
      <c r="S50" s="292">
        <v>227</v>
      </c>
      <c r="T50" s="222">
        <f>IF(CampList[[#This Row],[HH]]&gt;0,CampList[[#This Row],[Total]]/CampList[[#This Row],[HH]],"NA")</f>
        <v>5.5365853658536581</v>
      </c>
      <c r="U50" s="214" t="s">
        <v>464</v>
      </c>
      <c r="V50" s="214" t="s">
        <v>997</v>
      </c>
      <c r="W50" s="214" t="s">
        <v>507</v>
      </c>
      <c r="X50" s="214" t="s">
        <v>742</v>
      </c>
      <c r="Y50" s="331">
        <v>40878</v>
      </c>
      <c r="Z50" s="223" t="s">
        <v>424</v>
      </c>
      <c r="AA50" s="239" t="s">
        <v>775</v>
      </c>
      <c r="AB50" s="225">
        <v>43220</v>
      </c>
      <c r="AC50" s="218" t="s">
        <v>1721</v>
      </c>
      <c r="AD50" s="214" t="str">
        <f ca="1">IFERROR(OFFSET(DistanceToCamp[Nearest Town],MATCH(CampList[[#This Row],[CP_Pcode]],DistanceToCamp[CP_Pcode],0)-1,0,1,1),"")</f>
        <v>Bhamo Town</v>
      </c>
      <c r="AE50" s="227">
        <f ca="1">IFERROR(OFFSET(DistanceToCamp[distance],MATCH(CampList[[#This Row],[CP_Pcode]],DistanceToCamp[CP_Pcode],0)-1,0,1,1),"")</f>
        <v>0.84749304721635399</v>
      </c>
      <c r="AF50" s="228">
        <f ca="1">IFERROR(INT(CampList[[#This Row],[Distance]]/5)+1,"")</f>
        <v>1</v>
      </c>
    </row>
    <row r="51" spans="2:35" ht="15.75" hidden="1" customHeight="1" x14ac:dyDescent="0.25">
      <c r="B51" s="218" t="s">
        <v>776</v>
      </c>
      <c r="C51" s="212" t="s">
        <v>378</v>
      </c>
      <c r="D51" s="212" t="s">
        <v>478</v>
      </c>
      <c r="E51" s="212" t="s">
        <v>5</v>
      </c>
      <c r="F51" s="212" t="s">
        <v>482</v>
      </c>
      <c r="G51" s="212" t="s">
        <v>5</v>
      </c>
      <c r="H51" s="212" t="s">
        <v>483</v>
      </c>
      <c r="I51" s="212"/>
      <c r="J51" s="212"/>
      <c r="K51" s="212"/>
      <c r="L51" s="212"/>
      <c r="M51" s="212" t="s">
        <v>16</v>
      </c>
      <c r="N51" s="212" t="s">
        <v>15</v>
      </c>
      <c r="O51" s="219">
        <v>97.221556500999995</v>
      </c>
      <c r="P51" s="219">
        <v>24.262418020999998</v>
      </c>
      <c r="Q51" s="233"/>
      <c r="R51" s="302"/>
      <c r="S51" s="303"/>
      <c r="T51" s="222" t="str">
        <f>IF(CampList[[#This Row],[HH]]&gt;0,CampList[[#This Row],[Total]]/CampList[[#This Row],[HH]],"NA")</f>
        <v>NA</v>
      </c>
      <c r="U51" s="214" t="s">
        <v>464</v>
      </c>
      <c r="V51" s="214" t="s">
        <v>997</v>
      </c>
      <c r="W51" s="214" t="s">
        <v>507</v>
      </c>
      <c r="X51" s="214"/>
      <c r="Y51" s="234"/>
      <c r="Z51" s="224"/>
      <c r="AA51" s="239" t="s">
        <v>775</v>
      </c>
      <c r="AB51" s="225">
        <v>41661</v>
      </c>
      <c r="AC51" s="218" t="s">
        <v>845</v>
      </c>
      <c r="AD51" s="214" t="str">
        <f ca="1">IFERROR(OFFSET(DistanceToCamp[Nearest Town],MATCH(CampList[[#This Row],[CP_Pcode]],DistanceToCamp[CP_Pcode],0)-1,0,1,1),"")</f>
        <v/>
      </c>
      <c r="AE51" s="227" t="str">
        <f ca="1">IFERROR(OFFSET(DistanceToCamp[distance],MATCH(CampList[[#This Row],[CP_Pcode]],DistanceToCamp[CP_Pcode],0)-1,0,1,1),"")</f>
        <v/>
      </c>
      <c r="AF51" s="228" t="str">
        <f ca="1">IFERROR(INT(CampList[[#This Row],[Distance]]/5)+1,"")</f>
        <v/>
      </c>
    </row>
    <row r="52" spans="2:35" ht="15.75" customHeight="1" x14ac:dyDescent="0.25">
      <c r="B52" s="218" t="s">
        <v>460</v>
      </c>
      <c r="C52" s="212" t="s">
        <v>378</v>
      </c>
      <c r="D52" s="212" t="s">
        <v>478</v>
      </c>
      <c r="E52" s="212" t="s">
        <v>237</v>
      </c>
      <c r="F52" s="212" t="s">
        <v>484</v>
      </c>
      <c r="G52" s="212" t="s">
        <v>237</v>
      </c>
      <c r="H52" s="212" t="s">
        <v>488</v>
      </c>
      <c r="I52" s="226" t="s">
        <v>588</v>
      </c>
      <c r="J52" s="226" t="s">
        <v>589</v>
      </c>
      <c r="K52" s="226" t="s">
        <v>588</v>
      </c>
      <c r="L52" s="226">
        <v>165698</v>
      </c>
      <c r="M52" s="212" t="s">
        <v>264</v>
      </c>
      <c r="N52" s="212" t="s">
        <v>263</v>
      </c>
      <c r="O52" s="219">
        <v>97.290952037037002</v>
      </c>
      <c r="P52" s="219">
        <v>25.371049444444399</v>
      </c>
      <c r="Q52" s="220">
        <v>476</v>
      </c>
      <c r="R52" s="292">
        <v>14</v>
      </c>
      <c r="S52" s="292">
        <v>76</v>
      </c>
      <c r="T52" s="222">
        <f>IF(CampList[[#This Row],[HH]]&gt;0,CampList[[#This Row],[Total]]/CampList[[#This Row],[HH]],"NA")</f>
        <v>5.4285714285714288</v>
      </c>
      <c r="U52" s="214" t="s">
        <v>464</v>
      </c>
      <c r="V52" s="214" t="s">
        <v>997</v>
      </c>
      <c r="W52" s="214" t="s">
        <v>507</v>
      </c>
      <c r="X52" s="214" t="s">
        <v>785</v>
      </c>
      <c r="Y52" s="331">
        <v>40817</v>
      </c>
      <c r="Z52" s="223" t="s">
        <v>462</v>
      </c>
      <c r="AA52" s="239" t="s">
        <v>775</v>
      </c>
      <c r="AB52" s="225">
        <v>43220</v>
      </c>
      <c r="AC52" s="218" t="s">
        <v>1687</v>
      </c>
      <c r="AD52" s="214" t="str">
        <f ca="1">IFERROR(OFFSET(DistanceToCamp[Nearest Town],MATCH(CampList[[#This Row],[CP_Pcode]],DistanceToCamp[CP_Pcode],0)-1,0,1,1),"")</f>
        <v>Myitkyina Town</v>
      </c>
      <c r="AE52" s="227">
        <f ca="1">IFERROR(OFFSET(DistanceToCamp[distance],MATCH(CampList[[#This Row],[CP_Pcode]],DistanceToCamp[CP_Pcode],0)-1,0,1,1),"")</f>
        <v>10.15228229456989</v>
      </c>
      <c r="AF52" s="228">
        <f ca="1">IFERROR(INT(CampList[[#This Row],[Distance]]/5)+1,"")</f>
        <v>3</v>
      </c>
    </row>
    <row r="53" spans="2:35" ht="15.75" customHeight="1" x14ac:dyDescent="0.25">
      <c r="B53" s="231" t="s">
        <v>460</v>
      </c>
      <c r="C53" s="213" t="s">
        <v>378</v>
      </c>
      <c r="D53" s="213" t="s">
        <v>478</v>
      </c>
      <c r="E53" s="213" t="s">
        <v>5</v>
      </c>
      <c r="F53" s="213" t="s">
        <v>482</v>
      </c>
      <c r="G53" s="213" t="s">
        <v>5</v>
      </c>
      <c r="H53" s="213" t="s">
        <v>483</v>
      </c>
      <c r="I53" s="213" t="s">
        <v>1092</v>
      </c>
      <c r="J53" s="232" t="s">
        <v>1093</v>
      </c>
      <c r="K53" s="213" t="s">
        <v>1092</v>
      </c>
      <c r="L53" s="213">
        <v>166836</v>
      </c>
      <c r="M53" s="213" t="s">
        <v>6</v>
      </c>
      <c r="N53" s="213" t="s">
        <v>4</v>
      </c>
      <c r="O53" s="221">
        <v>97.238829999999993</v>
      </c>
      <c r="P53" s="221">
        <v>24.260719999999999</v>
      </c>
      <c r="Q53" s="233"/>
      <c r="R53" s="221">
        <v>257</v>
      </c>
      <c r="S53" s="221">
        <v>1278</v>
      </c>
      <c r="T53" s="222">
        <f>IF(CampList[[#This Row],[HH]]&gt;0,CampList[[#This Row],[Total]]/CampList[[#This Row],[HH]],"NA")</f>
        <v>4.972762645914397</v>
      </c>
      <c r="U53" s="197" t="s">
        <v>464</v>
      </c>
      <c r="V53" s="214" t="s">
        <v>997</v>
      </c>
      <c r="W53" s="197" t="s">
        <v>507</v>
      </c>
      <c r="X53" s="197" t="s">
        <v>742</v>
      </c>
      <c r="Y53" s="332">
        <v>40848</v>
      </c>
      <c r="Z53" s="233" t="s">
        <v>937</v>
      </c>
      <c r="AA53" s="213" t="s">
        <v>775</v>
      </c>
      <c r="AB53" s="225">
        <v>43220</v>
      </c>
      <c r="AC53" s="235" t="s">
        <v>1771</v>
      </c>
      <c r="AD53" s="236" t="str">
        <f ca="1">IFERROR(OFFSET(DistanceToCamp[Nearest Town],MATCH(CampList[[#This Row],[CP_Pcode]],DistanceToCamp[CP_Pcode],0)-1,0,1,1),"")</f>
        <v>Bhamo Town</v>
      </c>
      <c r="AE53" s="227">
        <f ca="1">IFERROR(OFFSET(DistanceToCamp[distance],MATCH(CampList[[#This Row],[CP_Pcode]],DistanceToCamp[CP_Pcode],0)-1,0,1,1),"")</f>
        <v>0.78440046838596356</v>
      </c>
      <c r="AF53" s="237">
        <f ca="1">IFERROR(INT(CampList[[#This Row],[Distance]]/5)+1,"")</f>
        <v>1</v>
      </c>
    </row>
    <row r="54" spans="2:35" ht="15.75" customHeight="1" x14ac:dyDescent="0.25">
      <c r="B54" s="218" t="s">
        <v>460</v>
      </c>
      <c r="C54" s="212" t="s">
        <v>378</v>
      </c>
      <c r="D54" s="212" t="s">
        <v>478</v>
      </c>
      <c r="E54" s="212" t="s">
        <v>180</v>
      </c>
      <c r="F54" s="212" t="s">
        <v>479</v>
      </c>
      <c r="G54" s="212" t="s">
        <v>480</v>
      </c>
      <c r="H54" s="212" t="s">
        <v>481</v>
      </c>
      <c r="I54" s="226" t="s">
        <v>543</v>
      </c>
      <c r="J54" s="226" t="s">
        <v>544</v>
      </c>
      <c r="K54" s="226" t="s">
        <v>547</v>
      </c>
      <c r="L54" s="226" t="s">
        <v>548</v>
      </c>
      <c r="M54" s="212" t="s">
        <v>100</v>
      </c>
      <c r="N54" s="212" t="s">
        <v>99</v>
      </c>
      <c r="O54" s="219">
        <v>96.319829999999996</v>
      </c>
      <c r="P54" s="219">
        <v>25.6145</v>
      </c>
      <c r="Q54" s="220">
        <v>65</v>
      </c>
      <c r="R54" s="292">
        <v>4</v>
      </c>
      <c r="S54" s="292">
        <v>15</v>
      </c>
      <c r="T54" s="222">
        <f>IF(CampList[[#This Row],[HH]]&gt;0,CampList[[#This Row],[Total]]/CampList[[#This Row],[HH]],"NA")</f>
        <v>3.75</v>
      </c>
      <c r="U54" s="214" t="s">
        <v>464</v>
      </c>
      <c r="V54" s="214" t="s">
        <v>997</v>
      </c>
      <c r="W54" s="214" t="s">
        <v>1399</v>
      </c>
      <c r="X54" s="214" t="s">
        <v>742</v>
      </c>
      <c r="Y54" s="331">
        <v>41122</v>
      </c>
      <c r="Z54" s="223" t="s">
        <v>1327</v>
      </c>
      <c r="AA54" s="239" t="s">
        <v>775</v>
      </c>
      <c r="AB54" s="225">
        <v>43220</v>
      </c>
      <c r="AC54" s="218" t="s">
        <v>1697</v>
      </c>
      <c r="AD54" s="214" t="str">
        <f ca="1">IFERROR(OFFSET(DistanceToCamp[Nearest Town],MATCH(CampList[[#This Row],[CP_Pcode]],DistanceToCamp[CP_Pcode],0)-1,0,1,1),"")</f>
        <v>Hpakant Town</v>
      </c>
      <c r="AE54" s="227">
        <f ca="1">IFERROR(OFFSET(DistanceToCamp[distance],MATCH(CampList[[#This Row],[CP_Pcode]],DistanceToCamp[CP_Pcode],0)-1,0,1,1),"")</f>
        <v>0.79577754007276646</v>
      </c>
      <c r="AF54" s="228">
        <f ca="1">IFERROR(INT(CampList[[#This Row],[Distance]]/5)+1,"")</f>
        <v>1</v>
      </c>
    </row>
    <row r="55" spans="2:35" s="720" customFormat="1" ht="15.75" customHeight="1" x14ac:dyDescent="0.25">
      <c r="B55" s="721" t="s">
        <v>460</v>
      </c>
      <c r="C55" s="722" t="s">
        <v>378</v>
      </c>
      <c r="D55" s="212" t="s">
        <v>478</v>
      </c>
      <c r="E55" s="722" t="s">
        <v>5</v>
      </c>
      <c r="F55" s="212" t="s">
        <v>482</v>
      </c>
      <c r="G55" s="722" t="s">
        <v>185</v>
      </c>
      <c r="H55" s="212" t="s">
        <v>486</v>
      </c>
      <c r="I55" s="723" t="s">
        <v>602</v>
      </c>
      <c r="J55" s="226" t="s">
        <v>603</v>
      </c>
      <c r="K55" s="723" t="s">
        <v>604</v>
      </c>
      <c r="L55" s="226" t="s">
        <v>605</v>
      </c>
      <c r="M55" s="722" t="s">
        <v>209</v>
      </c>
      <c r="N55" s="722" t="s">
        <v>208</v>
      </c>
      <c r="O55" s="724">
        <v>97.344359999999995</v>
      </c>
      <c r="P55" s="724">
        <v>24.250689999999999</v>
      </c>
      <c r="Q55" s="220">
        <v>0</v>
      </c>
      <c r="R55" s="725">
        <v>415</v>
      </c>
      <c r="S55" s="725">
        <v>1898</v>
      </c>
      <c r="T55" s="726">
        <f>IF(CampList[[#This Row],[HH]]&gt;0,CampList[[#This Row],[Total]]/CampList[[#This Row],[HH]],"NA")</f>
        <v>4.5734939759036148</v>
      </c>
      <c r="U55" s="727" t="s">
        <v>464</v>
      </c>
      <c r="V55" s="727" t="s">
        <v>997</v>
      </c>
      <c r="W55" s="727" t="s">
        <v>507</v>
      </c>
      <c r="X55" s="727" t="s">
        <v>742</v>
      </c>
      <c r="Y55" s="728">
        <v>40695</v>
      </c>
      <c r="Z55" s="729" t="s">
        <v>424</v>
      </c>
      <c r="AA55" s="730" t="s">
        <v>775</v>
      </c>
      <c r="AB55" s="225">
        <v>43220</v>
      </c>
      <c r="AC55" s="721" t="s">
        <v>1722</v>
      </c>
      <c r="AD55" s="727" t="str">
        <f ca="1">IFERROR(OFFSET(DistanceToCamp[Nearest Town],MATCH(CampList[[#This Row],[CP_Pcode]],DistanceToCamp[CP_Pcode],0)-1,0,1,1),"")</f>
        <v>Momauk Town</v>
      </c>
      <c r="AE55" s="732">
        <f ca="1">IFERROR(OFFSET(DistanceToCamp[distance],MATCH(CampList[[#This Row],[CP_Pcode]],DistanceToCamp[CP_Pcode],0)-1,0,1,1),"")</f>
        <v>0.62513510418653162</v>
      </c>
      <c r="AF55" s="733">
        <f ca="1">IFERROR(INT(CampList[[#This Row],[Distance]]/5)+1,"")</f>
        <v>1</v>
      </c>
      <c r="AH55" s="734"/>
      <c r="AI55" s="734"/>
    </row>
    <row r="56" spans="2:35" ht="15.75" customHeight="1" x14ac:dyDescent="0.25">
      <c r="B56" s="218" t="s">
        <v>460</v>
      </c>
      <c r="C56" s="212" t="s">
        <v>378</v>
      </c>
      <c r="D56" s="212" t="s">
        <v>478</v>
      </c>
      <c r="E56" s="212" t="s">
        <v>5</v>
      </c>
      <c r="F56" s="212" t="s">
        <v>482</v>
      </c>
      <c r="G56" s="212" t="s">
        <v>5</v>
      </c>
      <c r="H56" s="212" t="s">
        <v>483</v>
      </c>
      <c r="I56" s="226" t="s">
        <v>577</v>
      </c>
      <c r="J56" s="226" t="s">
        <v>578</v>
      </c>
      <c r="K56" s="226" t="s">
        <v>583</v>
      </c>
      <c r="L56" s="226" t="s">
        <v>584</v>
      </c>
      <c r="M56" s="212" t="s">
        <v>8</v>
      </c>
      <c r="N56" s="212" t="s">
        <v>7</v>
      </c>
      <c r="O56" s="219">
        <v>97.234200000000001</v>
      </c>
      <c r="P56" s="219">
        <v>24.253067000000001</v>
      </c>
      <c r="Q56" s="220">
        <v>0</v>
      </c>
      <c r="R56" s="292">
        <v>14</v>
      </c>
      <c r="S56" s="292">
        <v>59</v>
      </c>
      <c r="T56" s="222">
        <f>IF(CampList[[#This Row],[HH]]&gt;0,CampList[[#This Row],[Total]]/CampList[[#This Row],[HH]],"NA")</f>
        <v>4.2142857142857144</v>
      </c>
      <c r="U56" s="214" t="s">
        <v>464</v>
      </c>
      <c r="V56" s="214" t="s">
        <v>997</v>
      </c>
      <c r="W56" s="214" t="s">
        <v>507</v>
      </c>
      <c r="X56" s="214" t="s">
        <v>742</v>
      </c>
      <c r="Y56" s="331">
        <v>41183</v>
      </c>
      <c r="Z56" s="223" t="s">
        <v>462</v>
      </c>
      <c r="AA56" s="239" t="s">
        <v>775</v>
      </c>
      <c r="AB56" s="225">
        <v>43220</v>
      </c>
      <c r="AC56" s="218" t="s">
        <v>1688</v>
      </c>
      <c r="AD56" s="214" t="str">
        <f ca="1">IFERROR(OFFSET(DistanceToCamp[Nearest Town],MATCH(CampList[[#This Row],[CP_Pcode]],DistanceToCamp[CP_Pcode],0)-1,0,1,1),"")</f>
        <v>Bhamo Town</v>
      </c>
      <c r="AE56" s="227">
        <f ca="1">IFERROR(OFFSET(DistanceToCamp[distance],MATCH(CampList[[#This Row],[CP_Pcode]],DistanceToCamp[CP_Pcode],0)-1,0,1,1),"")</f>
        <v>0.20824727902294948</v>
      </c>
      <c r="AF56" s="228">
        <f ca="1">IFERROR(INT(CampList[[#This Row],[Distance]]/5)+1,"")</f>
        <v>1</v>
      </c>
    </row>
    <row r="57" spans="2:35" ht="15.75" customHeight="1" x14ac:dyDescent="0.25">
      <c r="B57" s="218" t="s">
        <v>460</v>
      </c>
      <c r="C57" s="212" t="s">
        <v>378</v>
      </c>
      <c r="D57" s="212" t="s">
        <v>478</v>
      </c>
      <c r="E57" s="212" t="s">
        <v>5</v>
      </c>
      <c r="F57" s="212" t="s">
        <v>482</v>
      </c>
      <c r="G57" s="226" t="s">
        <v>151</v>
      </c>
      <c r="H57" s="226" t="s">
        <v>492</v>
      </c>
      <c r="I57" s="226" t="s">
        <v>679</v>
      </c>
      <c r="J57" s="226" t="s">
        <v>680</v>
      </c>
      <c r="K57" s="226" t="s">
        <v>679</v>
      </c>
      <c r="L57" s="226" t="s">
        <v>679</v>
      </c>
      <c r="M57" s="212" t="s">
        <v>188</v>
      </c>
      <c r="N57" s="212" t="s">
        <v>187</v>
      </c>
      <c r="O57" s="219">
        <v>97.609832999999995</v>
      </c>
      <c r="P57" s="219">
        <v>24.002433</v>
      </c>
      <c r="Q57" s="220">
        <v>854</v>
      </c>
      <c r="R57" s="329">
        <v>365</v>
      </c>
      <c r="S57" s="330">
        <v>1730</v>
      </c>
      <c r="T57" s="222">
        <f>IF(CampList[[#This Row],[HH]]&gt;0,CampList[[#This Row],[Total]]/CampList[[#This Row],[HH]],"NA")</f>
        <v>4.7397260273972606</v>
      </c>
      <c r="U57" s="214" t="s">
        <v>466</v>
      </c>
      <c r="V57" s="214" t="s">
        <v>997</v>
      </c>
      <c r="W57" s="214" t="s">
        <v>507</v>
      </c>
      <c r="X57" s="214" t="s">
        <v>785</v>
      </c>
      <c r="Y57" s="331">
        <v>40817</v>
      </c>
      <c r="Z57" s="223" t="s">
        <v>937</v>
      </c>
      <c r="AA57" s="239" t="s">
        <v>775</v>
      </c>
      <c r="AB57" s="225">
        <v>43220</v>
      </c>
      <c r="AC57" s="218" t="s">
        <v>1782</v>
      </c>
      <c r="AD57" s="214" t="str">
        <f ca="1">IFERROR(OFFSET(DistanceToCamp[Nearest Town],MATCH(CampList[[#This Row],[CP_Pcode]],DistanceToCamp[CP_Pcode],0)-1,0,1,1),"")</f>
        <v>Namhkan Town</v>
      </c>
      <c r="AE57" s="227">
        <f ca="1">IFERROR(OFFSET(DistanceToCamp[distance],MATCH(CampList[[#This Row],[CP_Pcode]],DistanceToCamp[CP_Pcode],0)-1,0,1,1),"")</f>
        <v>19.796407430638478</v>
      </c>
      <c r="AF57" s="228">
        <f ca="1">IFERROR(INT(CampList[[#This Row],[Distance]]/5)+1,"")</f>
        <v>4</v>
      </c>
    </row>
    <row r="58" spans="2:35" ht="15.75" customHeight="1" x14ac:dyDescent="0.25">
      <c r="B58" s="218" t="s">
        <v>460</v>
      </c>
      <c r="C58" s="212" t="s">
        <v>378</v>
      </c>
      <c r="D58" s="212" t="s">
        <v>478</v>
      </c>
      <c r="E58" s="212" t="s">
        <v>180</v>
      </c>
      <c r="F58" s="212" t="s">
        <v>479</v>
      </c>
      <c r="G58" s="212" t="s">
        <v>480</v>
      </c>
      <c r="H58" s="212" t="s">
        <v>481</v>
      </c>
      <c r="I58" s="226" t="s">
        <v>549</v>
      </c>
      <c r="J58" s="226" t="s">
        <v>550</v>
      </c>
      <c r="K58" s="226" t="s">
        <v>549</v>
      </c>
      <c r="L58" s="226">
        <v>166776</v>
      </c>
      <c r="M58" s="212" t="s">
        <v>551</v>
      </c>
      <c r="N58" s="212" t="s">
        <v>46</v>
      </c>
      <c r="O58" s="219">
        <v>96.339590000000001</v>
      </c>
      <c r="P58" s="219">
        <v>25.617998</v>
      </c>
      <c r="Q58" s="233"/>
      <c r="R58" s="292">
        <v>11</v>
      </c>
      <c r="S58" s="292">
        <v>46</v>
      </c>
      <c r="T58" s="222">
        <f>IF(CampList[[#This Row],[HH]]&gt;0,CampList[[#This Row],[Total]]/CampList[[#This Row],[HH]],"NA")</f>
        <v>4.1818181818181817</v>
      </c>
      <c r="U58" s="214" t="s">
        <v>464</v>
      </c>
      <c r="V58" s="214" t="s">
        <v>997</v>
      </c>
      <c r="W58" s="214" t="s">
        <v>1399</v>
      </c>
      <c r="X58" s="214" t="s">
        <v>742</v>
      </c>
      <c r="Y58" s="331">
        <v>41275</v>
      </c>
      <c r="Z58" s="223" t="s">
        <v>1327</v>
      </c>
      <c r="AA58" s="239" t="s">
        <v>775</v>
      </c>
      <c r="AB58" s="225">
        <v>43220</v>
      </c>
      <c r="AC58" s="218" t="s">
        <v>1700</v>
      </c>
      <c r="AD58" s="214" t="str">
        <f ca="1">IFERROR(OFFSET(DistanceToCamp[Nearest Town],MATCH(CampList[[#This Row],[CP_Pcode]],DistanceToCamp[CP_Pcode],0)-1,0,1,1),"")</f>
        <v>Hpakant Town</v>
      </c>
      <c r="AE58" s="227">
        <f ca="1">IFERROR(OFFSET(DistanceToCamp[distance],MATCH(CampList[[#This Row],[CP_Pcode]],DistanceToCamp[CP_Pcode],0)-1,0,1,1),"")</f>
        <v>2.814225084976667</v>
      </c>
      <c r="AF58" s="228">
        <f ca="1">IFERROR(INT(CampList[[#This Row],[Distance]]/5)+1,"")</f>
        <v>1</v>
      </c>
    </row>
    <row r="59" spans="2:35" ht="15.75" hidden="1" customHeight="1" x14ac:dyDescent="0.25">
      <c r="B59" s="218" t="s">
        <v>776</v>
      </c>
      <c r="C59" s="212" t="s">
        <v>506</v>
      </c>
      <c r="D59" s="212" t="s">
        <v>489</v>
      </c>
      <c r="E59" s="212" t="s">
        <v>230</v>
      </c>
      <c r="F59" s="212" t="s">
        <v>490</v>
      </c>
      <c r="G59" s="212" t="s">
        <v>288</v>
      </c>
      <c r="H59" s="212" t="s">
        <v>502</v>
      </c>
      <c r="I59" s="212" t="s">
        <v>691</v>
      </c>
      <c r="J59" s="212" t="s">
        <v>692</v>
      </c>
      <c r="K59" s="212" t="s">
        <v>691</v>
      </c>
      <c r="L59" s="212">
        <v>208353</v>
      </c>
      <c r="M59" s="212" t="s">
        <v>293</v>
      </c>
      <c r="N59" s="212" t="s">
        <v>292</v>
      </c>
      <c r="O59" s="219"/>
      <c r="P59" s="219"/>
      <c r="Q59" s="233"/>
      <c r="R59" s="302"/>
      <c r="S59" s="303"/>
      <c r="T59" s="222" t="str">
        <f>IF(CampList[[#This Row],[HH]]&gt;0,CampList[[#This Row],[Total]]/CampList[[#This Row],[HH]],"NA")</f>
        <v>NA</v>
      </c>
      <c r="U59" s="214" t="s">
        <v>466</v>
      </c>
      <c r="V59" s="214" t="s">
        <v>997</v>
      </c>
      <c r="W59" s="214" t="s">
        <v>507</v>
      </c>
      <c r="X59" s="214"/>
      <c r="Y59" s="234"/>
      <c r="Z59" s="224"/>
      <c r="AA59" s="239" t="s">
        <v>775</v>
      </c>
      <c r="AB59" s="225">
        <v>41701</v>
      </c>
      <c r="AC59" s="218" t="s">
        <v>872</v>
      </c>
      <c r="AD59" s="214" t="str">
        <f ca="1">IFERROR(OFFSET(DistanceToCamp[Nearest Town],MATCH(CampList[[#This Row],[CP_Pcode]],DistanceToCamp[CP_Pcode],0)-1,0,1,1),"")</f>
        <v/>
      </c>
      <c r="AE59" s="227" t="str">
        <f ca="1">IFERROR(OFFSET(DistanceToCamp[distance],MATCH(CampList[[#This Row],[CP_Pcode]],DistanceToCamp[CP_Pcode],0)-1,0,1,1),"")</f>
        <v/>
      </c>
      <c r="AF59" s="228" t="str">
        <f ca="1">IFERROR(INT(CampList[[#This Row],[Distance]]/5)+1,"")</f>
        <v/>
      </c>
    </row>
    <row r="60" spans="2:35" ht="15.75" customHeight="1" x14ac:dyDescent="0.25">
      <c r="B60" s="218" t="s">
        <v>460</v>
      </c>
      <c r="C60" s="212" t="s">
        <v>378</v>
      </c>
      <c r="D60" s="212" t="s">
        <v>478</v>
      </c>
      <c r="E60" s="212" t="s">
        <v>5</v>
      </c>
      <c r="F60" s="212" t="s">
        <v>482</v>
      </c>
      <c r="G60" s="212" t="s">
        <v>151</v>
      </c>
      <c r="H60" s="212" t="s">
        <v>492</v>
      </c>
      <c r="I60" s="226" t="s">
        <v>590</v>
      </c>
      <c r="J60" s="226" t="s">
        <v>591</v>
      </c>
      <c r="K60" s="226" t="s">
        <v>592</v>
      </c>
      <c r="L60" s="226" t="s">
        <v>593</v>
      </c>
      <c r="M60" s="212" t="s">
        <v>152</v>
      </c>
      <c r="N60" s="212" t="s">
        <v>150</v>
      </c>
      <c r="O60" s="219">
        <v>97.291820000000001</v>
      </c>
      <c r="P60" s="219">
        <v>24.129059999999999</v>
      </c>
      <c r="Q60" s="220">
        <v>0</v>
      </c>
      <c r="R60" s="292">
        <v>185</v>
      </c>
      <c r="S60" s="292">
        <v>830</v>
      </c>
      <c r="T60" s="222">
        <f>IF(CampList[[#This Row],[HH]]&gt;0,CampList[[#This Row],[Total]]/CampList[[#This Row],[HH]],"NA")</f>
        <v>4.4864864864864868</v>
      </c>
      <c r="U60" s="214" t="s">
        <v>464</v>
      </c>
      <c r="V60" s="214" t="s">
        <v>997</v>
      </c>
      <c r="W60" s="214" t="s">
        <v>507</v>
      </c>
      <c r="X60" s="214" t="s">
        <v>742</v>
      </c>
      <c r="Y60" s="331">
        <v>41579</v>
      </c>
      <c r="Z60" s="223" t="s">
        <v>424</v>
      </c>
      <c r="AA60" s="239" t="s">
        <v>775</v>
      </c>
      <c r="AB60" s="225">
        <v>43220</v>
      </c>
      <c r="AC60" s="218" t="s">
        <v>1723</v>
      </c>
      <c r="AD60" s="214" t="str">
        <f ca="1">IFERROR(OFFSET(DistanceToCamp[Nearest Town],MATCH(CampList[[#This Row],[CP_Pcode]],DistanceToCamp[CP_Pcode],0)-1,0,1,1),"")</f>
        <v>Mansi Town</v>
      </c>
      <c r="AE60" s="227">
        <f ca="1">IFERROR(OFFSET(DistanceToCamp[distance],MATCH(CampList[[#This Row],[CP_Pcode]],DistanceToCamp[CP_Pcode],0)-1,0,1,1),"")</f>
        <v>1.0576516850656514</v>
      </c>
      <c r="AF60" s="228">
        <f ca="1">IFERROR(INT(CampList[[#This Row],[Distance]]/5)+1,"")</f>
        <v>1</v>
      </c>
    </row>
    <row r="61" spans="2:35" ht="15.75" customHeight="1" x14ac:dyDescent="0.25">
      <c r="B61" s="231" t="s">
        <v>460</v>
      </c>
      <c r="C61" s="213" t="s">
        <v>506</v>
      </c>
      <c r="D61" s="213" t="s">
        <v>489</v>
      </c>
      <c r="E61" s="213" t="s">
        <v>230</v>
      </c>
      <c r="F61" s="213" t="s">
        <v>490</v>
      </c>
      <c r="G61" s="213" t="s">
        <v>288</v>
      </c>
      <c r="H61" s="213" t="s">
        <v>502</v>
      </c>
      <c r="I61" s="213" t="s">
        <v>691</v>
      </c>
      <c r="J61" s="232" t="s">
        <v>692</v>
      </c>
      <c r="K61" s="213" t="s">
        <v>691</v>
      </c>
      <c r="L61" s="213">
        <v>208353</v>
      </c>
      <c r="M61" s="213" t="s">
        <v>372</v>
      </c>
      <c r="N61" s="213" t="s">
        <v>294</v>
      </c>
      <c r="O61" s="221">
        <v>97.670360000000002</v>
      </c>
      <c r="P61" s="221">
        <v>23.828150000000001</v>
      </c>
      <c r="Q61" s="233">
        <v>751.8</v>
      </c>
      <c r="R61" s="221">
        <v>43</v>
      </c>
      <c r="S61" s="233">
        <v>222</v>
      </c>
      <c r="T61" s="222">
        <f>IF(CampList[[#This Row],[HH]]&gt;0,CampList[[#This Row],[Total]]/CampList[[#This Row],[HH]],"NA")</f>
        <v>5.1627906976744189</v>
      </c>
      <c r="U61" s="197" t="s">
        <v>464</v>
      </c>
      <c r="V61" s="214" t="s">
        <v>997</v>
      </c>
      <c r="W61" s="197" t="s">
        <v>507</v>
      </c>
      <c r="X61" s="197" t="s">
        <v>742</v>
      </c>
      <c r="Y61" s="234">
        <v>40878</v>
      </c>
      <c r="Z61" s="233" t="s">
        <v>1050</v>
      </c>
      <c r="AA61" s="213" t="s">
        <v>775</v>
      </c>
      <c r="AB61" s="566">
        <v>43220</v>
      </c>
      <c r="AC61" s="235" t="s">
        <v>1764</v>
      </c>
      <c r="AD61" s="236" t="str">
        <f ca="1">IFERROR(OFFSET(DistanceToCamp[Nearest Town],MATCH(CampList[[#This Row],[CP_Pcode]],DistanceToCamp[CP_Pcode],0)-1,0,1,1),"")</f>
        <v>Namhkan Town</v>
      </c>
      <c r="AE61" s="227">
        <f ca="1">IFERROR(OFFSET(DistanceToCamp[distance],MATCH(CampList[[#This Row],[CP_Pcode]],DistanceToCamp[CP_Pcode],0)-1,0,1,1),"")</f>
        <v>1.5239325151406049</v>
      </c>
      <c r="AF61" s="237">
        <f ca="1">IFERROR(INT(CampList[[#This Row],[Distance]]/5)+1,"")</f>
        <v>1</v>
      </c>
    </row>
    <row r="62" spans="2:35" ht="15.75" hidden="1" customHeight="1" x14ac:dyDescent="0.25">
      <c r="B62" s="218" t="s">
        <v>776</v>
      </c>
      <c r="C62" s="212" t="s">
        <v>378</v>
      </c>
      <c r="D62" s="212" t="s">
        <v>478</v>
      </c>
      <c r="E62" s="212" t="s">
        <v>5</v>
      </c>
      <c r="F62" s="212" t="s">
        <v>482</v>
      </c>
      <c r="G62" s="212" t="s">
        <v>185</v>
      </c>
      <c r="H62" s="212" t="s">
        <v>486</v>
      </c>
      <c r="I62" s="226" t="s">
        <v>602</v>
      </c>
      <c r="J62" s="226" t="s">
        <v>603</v>
      </c>
      <c r="K62" s="226" t="s">
        <v>607</v>
      </c>
      <c r="L62" s="226" t="s">
        <v>608</v>
      </c>
      <c r="M62" s="212" t="s">
        <v>211</v>
      </c>
      <c r="N62" s="212" t="s">
        <v>210</v>
      </c>
      <c r="O62" s="219">
        <v>97.346950000000007</v>
      </c>
      <c r="P62" s="219">
        <v>24.25177</v>
      </c>
      <c r="Q62" s="220">
        <v>0</v>
      </c>
      <c r="R62" s="302"/>
      <c r="S62" s="303"/>
      <c r="T62" s="222" t="str">
        <f>IF(CampList[[#This Row],[HH]]&gt;0,CampList[[#This Row],[Total]]/CampList[[#This Row],[HH]],"NA")</f>
        <v>NA</v>
      </c>
      <c r="U62" s="214" t="s">
        <v>464</v>
      </c>
      <c r="V62" s="214" t="s">
        <v>997</v>
      </c>
      <c r="W62" s="214" t="s">
        <v>507</v>
      </c>
      <c r="X62" s="214" t="s">
        <v>742</v>
      </c>
      <c r="Y62" s="223">
        <v>40756</v>
      </c>
      <c r="Z62" s="223" t="s">
        <v>937</v>
      </c>
      <c r="AA62" s="239" t="s">
        <v>775</v>
      </c>
      <c r="AB62" s="225">
        <v>41971</v>
      </c>
      <c r="AC62" s="218" t="s">
        <v>957</v>
      </c>
      <c r="AD62" s="214" t="str">
        <f ca="1">IFERROR(OFFSET(DistanceToCamp[Nearest Town],MATCH(CampList[[#This Row],[CP_Pcode]],DistanceToCamp[CP_Pcode],0)-1,0,1,1),"")</f>
        <v/>
      </c>
      <c r="AE62" s="227" t="str">
        <f ca="1">IFERROR(OFFSET(DistanceToCamp[distance],MATCH(CampList[[#This Row],[CP_Pcode]],DistanceToCamp[CP_Pcode],0)-1,0,1,1),"")</f>
        <v/>
      </c>
      <c r="AF62" s="228" t="str">
        <f ca="1">IFERROR(INT(CampList[[#This Row],[Distance]]/5)+1,"")</f>
        <v/>
      </c>
    </row>
    <row r="63" spans="2:35" ht="15.75" hidden="1" customHeight="1" x14ac:dyDescent="0.25">
      <c r="B63" s="218" t="s">
        <v>776</v>
      </c>
      <c r="C63" s="212" t="s">
        <v>378</v>
      </c>
      <c r="D63" s="212" t="s">
        <v>478</v>
      </c>
      <c r="E63" s="212" t="s">
        <v>5</v>
      </c>
      <c r="F63" s="212" t="s">
        <v>482</v>
      </c>
      <c r="G63" s="212" t="s">
        <v>185</v>
      </c>
      <c r="H63" s="212" t="s">
        <v>486</v>
      </c>
      <c r="I63" s="226" t="s">
        <v>602</v>
      </c>
      <c r="J63" s="226" t="s">
        <v>603</v>
      </c>
      <c r="K63" s="226" t="s">
        <v>604</v>
      </c>
      <c r="L63" s="226" t="s">
        <v>605</v>
      </c>
      <c r="M63" s="212" t="s">
        <v>207</v>
      </c>
      <c r="N63" s="212" t="s">
        <v>206</v>
      </c>
      <c r="O63" s="219">
        <v>97.346940000000004</v>
      </c>
      <c r="P63" s="219">
        <v>24.251860000000001</v>
      </c>
      <c r="Q63" s="220">
        <v>0</v>
      </c>
      <c r="R63" s="302"/>
      <c r="S63" s="303"/>
      <c r="T63" s="222" t="str">
        <f>IF(CampList[[#This Row],[HH]]&gt;0,CampList[[#This Row],[Total]]/CampList[[#This Row],[HH]],"NA")</f>
        <v>NA</v>
      </c>
      <c r="U63" s="214" t="s">
        <v>464</v>
      </c>
      <c r="V63" s="214" t="s">
        <v>997</v>
      </c>
      <c r="W63" s="214" t="s">
        <v>507</v>
      </c>
      <c r="X63" s="214" t="s">
        <v>742</v>
      </c>
      <c r="Y63" s="223">
        <v>40817</v>
      </c>
      <c r="Z63" s="223"/>
      <c r="AA63" s="239" t="s">
        <v>775</v>
      </c>
      <c r="AB63" s="225">
        <v>42317</v>
      </c>
      <c r="AC63" s="218" t="s">
        <v>1080</v>
      </c>
      <c r="AD63" s="214"/>
      <c r="AE63" s="227"/>
      <c r="AF63" s="228"/>
    </row>
    <row r="64" spans="2:35" ht="15.75" hidden="1" customHeight="1" x14ac:dyDescent="0.25">
      <c r="B64" s="218" t="s">
        <v>776</v>
      </c>
      <c r="C64" s="212" t="s">
        <v>378</v>
      </c>
      <c r="D64" s="212" t="s">
        <v>478</v>
      </c>
      <c r="E64" s="212" t="s">
        <v>5</v>
      </c>
      <c r="F64" s="212" t="s">
        <v>482</v>
      </c>
      <c r="G64" s="212" t="s">
        <v>185</v>
      </c>
      <c r="H64" s="212" t="s">
        <v>486</v>
      </c>
      <c r="I64" s="212" t="s">
        <v>602</v>
      </c>
      <c r="J64" s="212" t="s">
        <v>603</v>
      </c>
      <c r="K64" s="212" t="s">
        <v>604</v>
      </c>
      <c r="L64" s="212" t="s">
        <v>605</v>
      </c>
      <c r="M64" s="212" t="s">
        <v>217</v>
      </c>
      <c r="N64" s="212" t="s">
        <v>216</v>
      </c>
      <c r="O64" s="219">
        <v>97.347740000000002</v>
      </c>
      <c r="P64" s="219">
        <v>24.253769999999999</v>
      </c>
      <c r="Q64" s="220">
        <v>0</v>
      </c>
      <c r="R64" s="236"/>
      <c r="S64" s="241"/>
      <c r="T64" s="222" t="str">
        <f>IF(CampList[[#This Row],[HH]]&gt;0,CampList[[#This Row],[Total]]/CampList[[#This Row],[HH]],"NA")</f>
        <v>NA</v>
      </c>
      <c r="U64" s="214" t="s">
        <v>464</v>
      </c>
      <c r="V64" s="214" t="s">
        <v>997</v>
      </c>
      <c r="W64" s="214" t="s">
        <v>507</v>
      </c>
      <c r="X64" s="214" t="s">
        <v>742</v>
      </c>
      <c r="Y64" s="223">
        <v>40817</v>
      </c>
      <c r="Z64" s="223" t="s">
        <v>462</v>
      </c>
      <c r="AA64" s="212" t="s">
        <v>775</v>
      </c>
      <c r="AB64" s="225">
        <v>42537</v>
      </c>
      <c r="AC64" s="226" t="s">
        <v>1119</v>
      </c>
      <c r="AD64" s="214" t="str">
        <f ca="1">IFERROR(OFFSET(DistanceToCamp[Nearest Town],MATCH(CampList[[#This Row],[CP_Pcode]],DistanceToCamp[CP_Pcode],0)-1,0,1,1),"")</f>
        <v>Momauk Town</v>
      </c>
      <c r="AE64" s="227">
        <f ca="1">IFERROR(OFFSET(DistanceToCamp[distance],MATCH(CampList[[#This Row],[CP_Pcode]],DistanceToCamp[CP_Pcode],0)-1,0,1,1),"")</f>
        <v>0.32830807173487342</v>
      </c>
      <c r="AF64" s="228">
        <f ca="1">IFERROR(INT(CampList[[#This Row],[Distance]]/5)+1,"")</f>
        <v>1</v>
      </c>
    </row>
    <row r="65" spans="2:32" ht="15.75" hidden="1" customHeight="1" x14ac:dyDescent="0.25">
      <c r="B65" s="218" t="s">
        <v>776</v>
      </c>
      <c r="C65" s="212" t="s">
        <v>378</v>
      </c>
      <c r="D65" s="212" t="s">
        <v>478</v>
      </c>
      <c r="E65" s="212" t="s">
        <v>5</v>
      </c>
      <c r="F65" s="212" t="s">
        <v>482</v>
      </c>
      <c r="G65" s="212" t="s">
        <v>185</v>
      </c>
      <c r="H65" s="212" t="s">
        <v>486</v>
      </c>
      <c r="I65" s="212" t="s">
        <v>736</v>
      </c>
      <c r="J65" s="212" t="s">
        <v>737</v>
      </c>
      <c r="K65" s="212" t="s">
        <v>736</v>
      </c>
      <c r="L65" s="212">
        <v>167086</v>
      </c>
      <c r="M65" s="212" t="s">
        <v>227</v>
      </c>
      <c r="N65" s="212" t="s">
        <v>226</v>
      </c>
      <c r="O65" s="219">
        <v>97.416826999999998</v>
      </c>
      <c r="P65" s="219">
        <v>24.492493</v>
      </c>
      <c r="Q65" s="220"/>
      <c r="R65" s="220"/>
      <c r="S65" s="233"/>
      <c r="T65" s="222" t="str">
        <f>IF(CampList[[#This Row],[HH]]&gt;0,CampList[[#This Row],[Total]]/CampList[[#This Row],[HH]],"NA")</f>
        <v>NA</v>
      </c>
      <c r="U65" s="214" t="s">
        <v>464</v>
      </c>
      <c r="V65" s="214" t="s">
        <v>997</v>
      </c>
      <c r="W65" s="214" t="s">
        <v>12</v>
      </c>
      <c r="X65" s="214" t="s">
        <v>785</v>
      </c>
      <c r="Y65" s="331"/>
      <c r="Z65" s="223"/>
      <c r="AA65" s="239" t="s">
        <v>774</v>
      </c>
      <c r="AB65" s="225">
        <v>42927</v>
      </c>
      <c r="AC65" s="226" t="s">
        <v>1288</v>
      </c>
      <c r="AD65" s="214" t="str">
        <f ca="1">IFERROR(OFFSET(DistanceToCamp[Nearest Town],MATCH(CampList[[#This Row],[CP_Pcode]],DistanceToCamp[CP_Pcode],0)-1,0,1,1),"")</f>
        <v>Dawthponeyan  Town</v>
      </c>
      <c r="AE65" s="227">
        <f ca="1">IFERROR(OFFSET(DistanceToCamp[distance],MATCH(CampList[[#This Row],[CP_Pcode]],DistanceToCamp[CP_Pcode],0)-1,0,1,1),"")</f>
        <v>14.236592976936194</v>
      </c>
      <c r="AF65" s="228">
        <f ca="1">IFERROR(INT(CampList[[#This Row],[Distance]]/5)+1,"")</f>
        <v>3</v>
      </c>
    </row>
    <row r="66" spans="2:32" ht="15.75" customHeight="1" x14ac:dyDescent="0.25">
      <c r="B66" s="218" t="s">
        <v>460</v>
      </c>
      <c r="C66" s="212" t="s">
        <v>378</v>
      </c>
      <c r="D66" s="212" t="s">
        <v>478</v>
      </c>
      <c r="E66" s="212" t="s">
        <v>5</v>
      </c>
      <c r="F66" s="212" t="s">
        <v>482</v>
      </c>
      <c r="G66" s="212" t="s">
        <v>185</v>
      </c>
      <c r="H66" s="212" t="s">
        <v>486</v>
      </c>
      <c r="I66" s="226" t="s">
        <v>738</v>
      </c>
      <c r="J66" s="226" t="s">
        <v>739</v>
      </c>
      <c r="K66" s="226" t="s">
        <v>738</v>
      </c>
      <c r="L66" s="226">
        <v>167048</v>
      </c>
      <c r="M66" s="212" t="s">
        <v>213</v>
      </c>
      <c r="N66" s="212" t="s">
        <v>212</v>
      </c>
      <c r="O66" s="219">
        <v>97.407787999999996</v>
      </c>
      <c r="P66" s="219">
        <v>24.404876999999999</v>
      </c>
      <c r="Q66" s="233"/>
      <c r="R66" s="329">
        <v>47</v>
      </c>
      <c r="S66" s="330">
        <v>153</v>
      </c>
      <c r="T66" s="222">
        <f>IF(CampList[[#This Row],[HH]]&gt;0,CampList[[#This Row],[Total]]/CampList[[#This Row],[HH]],"NA")</f>
        <v>3.2553191489361701</v>
      </c>
      <c r="U66" s="214" t="s">
        <v>464</v>
      </c>
      <c r="V66" s="214" t="s">
        <v>997</v>
      </c>
      <c r="W66" s="244" t="s">
        <v>12</v>
      </c>
      <c r="X66" s="214" t="s">
        <v>785</v>
      </c>
      <c r="Y66" s="332"/>
      <c r="Z66" s="224"/>
      <c r="AA66" s="239" t="s">
        <v>774</v>
      </c>
      <c r="AB66" s="247">
        <v>43090</v>
      </c>
      <c r="AC66" s="218" t="s">
        <v>1579</v>
      </c>
      <c r="AD66" s="214" t="str">
        <f ca="1">IFERROR(OFFSET(DistanceToCamp[Nearest Town],MATCH(CampList[[#This Row],[CP_Pcode]],DistanceToCamp[CP_Pcode],0)-1,0,1,1),"")</f>
        <v>Momauk Town</v>
      </c>
      <c r="AE66" s="227">
        <f ca="1">IFERROR(OFFSET(DistanceToCamp[distance],MATCH(CampList[[#This Row],[CP_Pcode]],DistanceToCamp[CP_Pcode],0)-1,0,1,1),"")</f>
        <v>17.689123339899055</v>
      </c>
      <c r="AF66" s="228">
        <f ca="1">IFERROR(INT(CampList[[#This Row],[Distance]]/5)+1,"")</f>
        <v>4</v>
      </c>
    </row>
    <row r="67" spans="2:32" ht="15.75" customHeight="1" x14ac:dyDescent="0.25">
      <c r="B67" s="231" t="s">
        <v>460</v>
      </c>
      <c r="C67" s="213" t="s">
        <v>378</v>
      </c>
      <c r="D67" s="213" t="s">
        <v>478</v>
      </c>
      <c r="E67" s="213" t="s">
        <v>5</v>
      </c>
      <c r="F67" s="213" t="s">
        <v>482</v>
      </c>
      <c r="G67" s="213" t="s">
        <v>151</v>
      </c>
      <c r="H67" s="213" t="s">
        <v>492</v>
      </c>
      <c r="I67" s="213" t="s">
        <v>683</v>
      </c>
      <c r="J67" s="232" t="s">
        <v>684</v>
      </c>
      <c r="K67" s="213" t="s">
        <v>685</v>
      </c>
      <c r="L67" s="213">
        <v>216948</v>
      </c>
      <c r="M67" s="213" t="s">
        <v>198</v>
      </c>
      <c r="N67" s="213" t="s">
        <v>197</v>
      </c>
      <c r="O67" s="221">
        <v>97.625617000000005</v>
      </c>
      <c r="P67" s="221">
        <v>24.056132999999999</v>
      </c>
      <c r="Q67" s="233">
        <v>866</v>
      </c>
      <c r="R67" s="221">
        <v>547</v>
      </c>
      <c r="S67" s="330">
        <v>2368</v>
      </c>
      <c r="T67" s="222">
        <f>IF(CampList[[#This Row],[HH]]&gt;0,CampList[[#This Row],[Total]]/CampList[[#This Row],[HH]],"NA")</f>
        <v>4.3290676416819016</v>
      </c>
      <c r="U67" s="197" t="s">
        <v>466</v>
      </c>
      <c r="V67" s="214" t="s">
        <v>997</v>
      </c>
      <c r="W67" s="197" t="s">
        <v>507</v>
      </c>
      <c r="X67" s="197" t="s">
        <v>785</v>
      </c>
      <c r="Y67" s="332">
        <v>40817</v>
      </c>
      <c r="Z67" s="233" t="s">
        <v>937</v>
      </c>
      <c r="AA67" s="213" t="s">
        <v>775</v>
      </c>
      <c r="AB67" s="225">
        <v>43220</v>
      </c>
      <c r="AC67" s="235" t="s">
        <v>1781</v>
      </c>
      <c r="AD67" s="236" t="str">
        <f ca="1">IFERROR(OFFSET(DistanceToCamp[Nearest Town],MATCH(CampList[[#This Row],[CP_Pcode]],DistanceToCamp[CP_Pcode],0)-1,0,1,1),"")</f>
        <v>Lwegel Town</v>
      </c>
      <c r="AE67" s="227">
        <f ca="1">IFERROR(OFFSET(DistanceToCamp[distance],MATCH(CampList[[#This Row],[CP_Pcode]],DistanceToCamp[CP_Pcode],0)-1,0,1,1),"")</f>
        <v>18.620903555062636</v>
      </c>
      <c r="AF67" s="237">
        <f ca="1">IFERROR(INT(CampList[[#This Row],[Distance]]/5)+1,"")</f>
        <v>4</v>
      </c>
    </row>
    <row r="68" spans="2:32" ht="15.75" hidden="1" customHeight="1" x14ac:dyDescent="0.25">
      <c r="B68" s="218" t="s">
        <v>776</v>
      </c>
      <c r="C68" s="212" t="s">
        <v>378</v>
      </c>
      <c r="D68" s="212" t="s">
        <v>478</v>
      </c>
      <c r="E68" s="212" t="s">
        <v>5</v>
      </c>
      <c r="F68" s="212" t="s">
        <v>482</v>
      </c>
      <c r="G68" s="212" t="s">
        <v>185</v>
      </c>
      <c r="H68" s="212" t="s">
        <v>486</v>
      </c>
      <c r="I68" s="226" t="s">
        <v>596</v>
      </c>
      <c r="J68" s="226" t="s">
        <v>597</v>
      </c>
      <c r="K68" s="226" t="s">
        <v>596</v>
      </c>
      <c r="L68" s="226">
        <v>167063</v>
      </c>
      <c r="M68" s="212" t="s">
        <v>204</v>
      </c>
      <c r="N68" s="212" t="s">
        <v>203</v>
      </c>
      <c r="O68" s="219">
        <v>97.321659999999994</v>
      </c>
      <c r="P68" s="219">
        <v>24.410008999999999</v>
      </c>
      <c r="Q68" s="233"/>
      <c r="R68" s="329"/>
      <c r="S68" s="330"/>
      <c r="T68" s="222" t="str">
        <f>IF(CampList[[#This Row],[HH]]&gt;0,CampList[[#This Row],[Total]]/CampList[[#This Row],[HH]],"NA")</f>
        <v>NA</v>
      </c>
      <c r="U68" s="214" t="s">
        <v>464</v>
      </c>
      <c r="V68" s="214" t="s">
        <v>997</v>
      </c>
      <c r="W68" s="244" t="s">
        <v>12</v>
      </c>
      <c r="X68" s="214" t="s">
        <v>785</v>
      </c>
      <c r="Y68" s="332"/>
      <c r="Z68" s="224"/>
      <c r="AA68" s="239" t="s">
        <v>774</v>
      </c>
      <c r="AB68" s="225">
        <v>42927</v>
      </c>
      <c r="AC68" s="218" t="s">
        <v>1289</v>
      </c>
      <c r="AD68" s="214" t="str">
        <f ca="1">IFERROR(OFFSET(DistanceToCamp[Nearest Town],MATCH(CampList[[#This Row],[CP_Pcode]],DistanceToCamp[CP_Pcode],0)-1,0,1,1),"")</f>
        <v>Momauk Town</v>
      </c>
      <c r="AE68" s="227">
        <f ca="1">IFERROR(OFFSET(DistanceToCamp[distance],MATCH(CampList[[#This Row],[CP_Pcode]],DistanceToCamp[CP_Pcode],0)-1,0,1,1),"")</f>
        <v>17.282528446236295</v>
      </c>
      <c r="AF68" s="228">
        <f ca="1">IFERROR(INT(CampList[[#This Row],[Distance]]/5)+1,"")</f>
        <v>4</v>
      </c>
    </row>
    <row r="69" spans="2:32" ht="15.75" hidden="1" customHeight="1" x14ac:dyDescent="0.25">
      <c r="B69" s="218" t="s">
        <v>776</v>
      </c>
      <c r="C69" s="212" t="s">
        <v>378</v>
      </c>
      <c r="D69" s="212" t="s">
        <v>478</v>
      </c>
      <c r="E69" s="212" t="s">
        <v>5</v>
      </c>
      <c r="F69" s="212" t="s">
        <v>482</v>
      </c>
      <c r="G69" s="212" t="s">
        <v>185</v>
      </c>
      <c r="H69" s="212" t="s">
        <v>486</v>
      </c>
      <c r="I69" s="226" t="s">
        <v>1116</v>
      </c>
      <c r="J69" s="226" t="s">
        <v>1117</v>
      </c>
      <c r="K69" s="226" t="s">
        <v>1116</v>
      </c>
      <c r="L69" s="238">
        <v>167078</v>
      </c>
      <c r="M69" s="212" t="s">
        <v>200</v>
      </c>
      <c r="N69" s="212" t="s">
        <v>199</v>
      </c>
      <c r="O69" s="219">
        <v>97.409474000000003</v>
      </c>
      <c r="P69" s="219">
        <v>24.441697000000001</v>
      </c>
      <c r="Q69" s="233"/>
      <c r="R69" s="292"/>
      <c r="S69" s="292"/>
      <c r="T69" s="222" t="str">
        <f>IF(CampList[[#This Row],[HH]]&gt;0,CampList[[#This Row],[Total]]/CampList[[#This Row],[HH]],"NA")</f>
        <v>NA</v>
      </c>
      <c r="U69" s="214" t="s">
        <v>464</v>
      </c>
      <c r="V69" s="214" t="s">
        <v>997</v>
      </c>
      <c r="W69" s="244" t="s">
        <v>12</v>
      </c>
      <c r="X69" s="214" t="s">
        <v>785</v>
      </c>
      <c r="Y69" s="332"/>
      <c r="Z69" s="224"/>
      <c r="AA69" s="239" t="s">
        <v>774</v>
      </c>
      <c r="AB69" s="225">
        <v>42927</v>
      </c>
      <c r="AC69" s="218" t="s">
        <v>1290</v>
      </c>
      <c r="AD69" s="214" t="str">
        <f ca="1">IFERROR(OFFSET(DistanceToCamp[Nearest Town],MATCH(CampList[[#This Row],[CP_Pcode]],DistanceToCamp[CP_Pcode],0)-1,0,1,1),"")</f>
        <v>Dawthponeyan  Town</v>
      </c>
      <c r="AE69" s="227">
        <f ca="1">IFERROR(OFFSET(DistanceToCamp[distance],MATCH(CampList[[#This Row],[CP_Pcode]],DistanceToCamp[CP_Pcode],0)-1,0,1,1),"")</f>
        <v>19.860265975801305</v>
      </c>
      <c r="AF69" s="228">
        <f ca="1">IFERROR(INT(CampList[[#This Row],[Distance]]/5)+1,"")</f>
        <v>4</v>
      </c>
    </row>
    <row r="70" spans="2:32" ht="15.75" hidden="1" customHeight="1" x14ac:dyDescent="0.25">
      <c r="B70" s="218" t="s">
        <v>776</v>
      </c>
      <c r="C70" s="212" t="s">
        <v>378</v>
      </c>
      <c r="D70" s="212" t="s">
        <v>478</v>
      </c>
      <c r="E70" s="212" t="s">
        <v>5</v>
      </c>
      <c r="F70" s="212" t="s">
        <v>482</v>
      </c>
      <c r="G70" s="212" t="s">
        <v>185</v>
      </c>
      <c r="H70" s="212" t="s">
        <v>486</v>
      </c>
      <c r="I70" s="212" t="s">
        <v>645</v>
      </c>
      <c r="J70" s="212" t="s">
        <v>646</v>
      </c>
      <c r="K70" s="212" t="s">
        <v>647</v>
      </c>
      <c r="L70" s="212">
        <v>167242</v>
      </c>
      <c r="M70" s="212" t="s">
        <v>221</v>
      </c>
      <c r="N70" s="212" t="s">
        <v>220</v>
      </c>
      <c r="O70" s="219">
        <v>97.429860000000005</v>
      </c>
      <c r="P70" s="219">
        <v>24.630859999999998</v>
      </c>
      <c r="Q70" s="220"/>
      <c r="R70" s="220"/>
      <c r="S70" s="233"/>
      <c r="T70" s="222" t="str">
        <f>IF(CampList[[#This Row],[HH]]&gt;0,CampList[[#This Row],[Total]]/CampList[[#This Row],[HH]],"NA")</f>
        <v>NA</v>
      </c>
      <c r="U70" s="214" t="s">
        <v>464</v>
      </c>
      <c r="V70" s="214" t="s">
        <v>997</v>
      </c>
      <c r="W70" s="214" t="s">
        <v>12</v>
      </c>
      <c r="X70" s="214" t="s">
        <v>785</v>
      </c>
      <c r="Y70" s="331"/>
      <c r="Z70" s="223"/>
      <c r="AA70" s="239" t="s">
        <v>774</v>
      </c>
      <c r="AB70" s="225">
        <v>42927</v>
      </c>
      <c r="AC70" s="226" t="s">
        <v>1291</v>
      </c>
      <c r="AD70" s="214" t="str">
        <f ca="1">IFERROR(OFFSET(DistanceToCamp[Nearest Town],MATCH(CampList[[#This Row],[CP_Pcode]],DistanceToCamp[CP_Pcode],0)-1,0,1,1),"")</f>
        <v>Dawthponeyan  Town</v>
      </c>
      <c r="AE70" s="227">
        <f ca="1">IFERROR(OFFSET(DistanceToCamp[distance],MATCH(CampList[[#This Row],[CP_Pcode]],DistanceToCamp[CP_Pcode],0)-1,0,1,1),"")</f>
        <v>3.6887624513681017</v>
      </c>
      <c r="AF70" s="228">
        <f ca="1">IFERROR(INT(CampList[[#This Row],[Distance]]/5)+1,"")</f>
        <v>1</v>
      </c>
    </row>
    <row r="71" spans="2:32" ht="15.75" customHeight="1" x14ac:dyDescent="0.25">
      <c r="B71" s="239" t="s">
        <v>460</v>
      </c>
      <c r="C71" s="212" t="s">
        <v>378</v>
      </c>
      <c r="D71" s="212" t="s">
        <v>478</v>
      </c>
      <c r="E71" s="212" t="s">
        <v>5</v>
      </c>
      <c r="F71" s="212" t="s">
        <v>482</v>
      </c>
      <c r="G71" s="212" t="s">
        <v>301</v>
      </c>
      <c r="H71" s="212" t="s">
        <v>493</v>
      </c>
      <c r="I71" s="212" t="s">
        <v>561</v>
      </c>
      <c r="J71" s="212" t="s">
        <v>562</v>
      </c>
      <c r="K71" s="212" t="s">
        <v>561</v>
      </c>
      <c r="L71" s="212" t="s">
        <v>563</v>
      </c>
      <c r="M71" s="212" t="s">
        <v>305</v>
      </c>
      <c r="N71" s="212" t="s">
        <v>304</v>
      </c>
      <c r="O71" s="219">
        <v>96.807353000000006</v>
      </c>
      <c r="P71" s="219">
        <v>24.200361000000001</v>
      </c>
      <c r="Q71" s="220">
        <v>0</v>
      </c>
      <c r="R71" s="292">
        <v>88</v>
      </c>
      <c r="S71" s="292">
        <v>330</v>
      </c>
      <c r="T71" s="222">
        <f>IF(CampList[[#This Row],[HH]]&gt;0,CampList[[#This Row],[Total]]/CampList[[#This Row],[HH]],"NA")</f>
        <v>3.75</v>
      </c>
      <c r="U71" s="214" t="s">
        <v>464</v>
      </c>
      <c r="V71" s="214" t="s">
        <v>997</v>
      </c>
      <c r="W71" s="214" t="s">
        <v>507</v>
      </c>
      <c r="X71" s="214" t="s">
        <v>742</v>
      </c>
      <c r="Y71" s="331">
        <v>40725</v>
      </c>
      <c r="Z71" s="223" t="s">
        <v>424</v>
      </c>
      <c r="AA71" s="212" t="s">
        <v>775</v>
      </c>
      <c r="AB71" s="225">
        <v>43220</v>
      </c>
      <c r="AC71" s="226" t="s">
        <v>1724</v>
      </c>
      <c r="AD71" s="214" t="str">
        <f ca="1">IFERROR(OFFSET(DistanceToCamp[Nearest Town],MATCH(CampList[[#This Row],[CP_Pcode]],DistanceToCamp[CP_Pcode],0)-1,0,1,1),"")</f>
        <v>Shwegu Town</v>
      </c>
      <c r="AE71" s="227">
        <f ca="1">IFERROR(OFFSET(DistanceToCamp[distance],MATCH(CampList[[#This Row],[CP_Pcode]],DistanceToCamp[CP_Pcode],0)-1,0,1,1),"")</f>
        <v>0.74396039478864395</v>
      </c>
      <c r="AF71" s="228">
        <f ca="1">IFERROR(INT(CampList[[#This Row],[Distance]]/5)+1,"")</f>
        <v>1</v>
      </c>
    </row>
    <row r="72" spans="2:32" ht="15.75" customHeight="1" x14ac:dyDescent="0.25">
      <c r="B72" s="218" t="s">
        <v>460</v>
      </c>
      <c r="C72" s="212" t="s">
        <v>378</v>
      </c>
      <c r="D72" s="212" t="s">
        <v>478</v>
      </c>
      <c r="E72" s="212" t="s">
        <v>5</v>
      </c>
      <c r="F72" s="212" t="s">
        <v>482</v>
      </c>
      <c r="G72" s="212" t="s">
        <v>185</v>
      </c>
      <c r="H72" s="212" t="s">
        <v>486</v>
      </c>
      <c r="I72" s="226" t="s">
        <v>693</v>
      </c>
      <c r="J72" s="226" t="s">
        <v>694</v>
      </c>
      <c r="K72" s="226" t="s">
        <v>698</v>
      </c>
      <c r="L72" s="226" t="s">
        <v>699</v>
      </c>
      <c r="M72" s="212" t="s">
        <v>190</v>
      </c>
      <c r="N72" s="212" t="s">
        <v>189</v>
      </c>
      <c r="O72" s="219">
        <v>97.717133000000004</v>
      </c>
      <c r="P72" s="219">
        <v>24.200433</v>
      </c>
      <c r="Q72" s="220">
        <v>0</v>
      </c>
      <c r="R72" s="292">
        <v>203</v>
      </c>
      <c r="S72" s="292">
        <v>1138</v>
      </c>
      <c r="T72" s="222">
        <f>IF(CampList[[#This Row],[HH]]&gt;0,CampList[[#This Row],[Total]]/CampList[[#This Row],[HH]],"NA")</f>
        <v>5.6059113300492607</v>
      </c>
      <c r="U72" s="214" t="s">
        <v>464</v>
      </c>
      <c r="V72" s="214" t="s">
        <v>997</v>
      </c>
      <c r="W72" s="214" t="s">
        <v>507</v>
      </c>
      <c r="X72" s="214" t="s">
        <v>742</v>
      </c>
      <c r="Y72" s="331">
        <v>41000</v>
      </c>
      <c r="Z72" s="223" t="s">
        <v>424</v>
      </c>
      <c r="AA72" s="239" t="s">
        <v>775</v>
      </c>
      <c r="AB72" s="225">
        <v>43220</v>
      </c>
      <c r="AC72" s="218" t="s">
        <v>1725</v>
      </c>
      <c r="AD72" s="214" t="str">
        <f ca="1">IFERROR(OFFSET(DistanceToCamp[Nearest Town],MATCH(CampList[[#This Row],[CP_Pcode]],DistanceToCamp[CP_Pcode],0)-1,0,1,1),"")</f>
        <v>Lwegel Town</v>
      </c>
      <c r="AE72" s="227">
        <f ca="1">IFERROR(OFFSET(DistanceToCamp[distance],MATCH(CampList[[#This Row],[CP_Pcode]],DistanceToCamp[CP_Pcode],0)-1,0,1,1),"")</f>
        <v>0.38934692601696641</v>
      </c>
      <c r="AF72" s="228">
        <f ca="1">IFERROR(INT(CampList[[#This Row],[Distance]]/5)+1,"")</f>
        <v>1</v>
      </c>
    </row>
    <row r="73" spans="2:32" ht="15.75" customHeight="1" x14ac:dyDescent="0.25">
      <c r="B73" s="231" t="s">
        <v>460</v>
      </c>
      <c r="C73" s="213" t="s">
        <v>378</v>
      </c>
      <c r="D73" s="213" t="s">
        <v>478</v>
      </c>
      <c r="E73" s="213" t="s">
        <v>5</v>
      </c>
      <c r="F73" s="213" t="s">
        <v>482</v>
      </c>
      <c r="G73" s="213" t="s">
        <v>185</v>
      </c>
      <c r="H73" s="213" t="s">
        <v>486</v>
      </c>
      <c r="I73" s="213" t="s">
        <v>693</v>
      </c>
      <c r="J73" s="232" t="s">
        <v>694</v>
      </c>
      <c r="K73" s="245" t="s">
        <v>1103</v>
      </c>
      <c r="L73" s="245" t="s">
        <v>1104</v>
      </c>
      <c r="M73" s="213" t="s">
        <v>223</v>
      </c>
      <c r="N73" s="213" t="s">
        <v>222</v>
      </c>
      <c r="O73" s="221">
        <v>97.724566999999993</v>
      </c>
      <c r="P73" s="221">
        <v>24.205417000000001</v>
      </c>
      <c r="Q73" s="233"/>
      <c r="R73" s="221">
        <v>129</v>
      </c>
      <c r="S73" s="221">
        <v>640</v>
      </c>
      <c r="T73" s="222">
        <f>IF(CampList[[#This Row],[HH]]&gt;0,CampList[[#This Row],[Total]]/CampList[[#This Row],[HH]],"NA")</f>
        <v>4.9612403100775193</v>
      </c>
      <c r="U73" s="197" t="s">
        <v>464</v>
      </c>
      <c r="V73" s="214" t="s">
        <v>997</v>
      </c>
      <c r="W73" s="197" t="s">
        <v>507</v>
      </c>
      <c r="X73" s="197" t="s">
        <v>742</v>
      </c>
      <c r="Y73" s="332">
        <v>40848</v>
      </c>
      <c r="Z73" s="233" t="s">
        <v>937</v>
      </c>
      <c r="AA73" s="213" t="s">
        <v>775</v>
      </c>
      <c r="AB73" s="225">
        <v>43220</v>
      </c>
      <c r="AC73" s="235" t="s">
        <v>1780</v>
      </c>
      <c r="AD73" s="236" t="str">
        <f ca="1">IFERROR(OFFSET(DistanceToCamp[Nearest Town],MATCH(CampList[[#This Row],[CP_Pcode]],DistanceToCamp[CP_Pcode],0)-1,0,1,1),"")</f>
        <v>Lwegel Town</v>
      </c>
      <c r="AE73" s="227">
        <f ca="1">IFERROR(OFFSET(DistanceToCamp[distance],MATCH(CampList[[#This Row],[CP_Pcode]],DistanceToCamp[CP_Pcode],0)-1,0,1,1),"")</f>
        <v>0.77978735578277303</v>
      </c>
      <c r="AF73" s="237">
        <f ca="1">IFERROR(INT(CampList[[#This Row],[Distance]]/5)+1,"")</f>
        <v>1</v>
      </c>
    </row>
    <row r="74" spans="2:32" ht="15.75" customHeight="1" x14ac:dyDescent="0.25">
      <c r="B74" s="218" t="s">
        <v>460</v>
      </c>
      <c r="C74" s="212" t="s">
        <v>378</v>
      </c>
      <c r="D74" s="212" t="s">
        <v>478</v>
      </c>
      <c r="E74" s="212" t="s">
        <v>5</v>
      </c>
      <c r="F74" s="212" t="s">
        <v>482</v>
      </c>
      <c r="G74" s="212" t="s">
        <v>151</v>
      </c>
      <c r="H74" s="212" t="s">
        <v>492</v>
      </c>
      <c r="I74" s="212" t="s">
        <v>812</v>
      </c>
      <c r="J74" s="212" t="s">
        <v>1111</v>
      </c>
      <c r="K74" s="212" t="s">
        <v>812</v>
      </c>
      <c r="L74" s="212">
        <v>167301</v>
      </c>
      <c r="M74" s="212" t="s">
        <v>849</v>
      </c>
      <c r="N74" s="212" t="s">
        <v>848</v>
      </c>
      <c r="O74" s="219">
        <v>97.227057000000002</v>
      </c>
      <c r="P74" s="219">
        <v>23.976571</v>
      </c>
      <c r="Q74" s="233">
        <v>478</v>
      </c>
      <c r="R74" s="221">
        <v>172</v>
      </c>
      <c r="S74" s="221">
        <v>783</v>
      </c>
      <c r="T74" s="222">
        <f>IF(CampList[[#This Row],[HH]]&gt;0,CampList[[#This Row],[Total]]/CampList[[#This Row],[HH]],"NA")</f>
        <v>4.5523255813953485</v>
      </c>
      <c r="U74" s="214" t="s">
        <v>464</v>
      </c>
      <c r="V74" s="214" t="s">
        <v>997</v>
      </c>
      <c r="W74" s="214" t="s">
        <v>507</v>
      </c>
      <c r="X74" s="214" t="s">
        <v>785</v>
      </c>
      <c r="Y74" s="331">
        <v>41548</v>
      </c>
      <c r="Z74" s="223" t="s">
        <v>937</v>
      </c>
      <c r="AA74" s="212" t="s">
        <v>775</v>
      </c>
      <c r="AB74" s="225">
        <v>43220</v>
      </c>
      <c r="AC74" s="226" t="s">
        <v>1779</v>
      </c>
      <c r="AD74" s="214" t="str">
        <f ca="1">IFERROR(OFFSET(DistanceToCamp[Nearest Town],MATCH(CampList[[#This Row],[CP_Pcode]],DistanceToCamp[CP_Pcode],0)-1,0,1,1),"")</f>
        <v>Kamaing Town</v>
      </c>
      <c r="AE74" s="227">
        <f ca="1">IFERROR(OFFSET(DistanceToCamp[distance],MATCH(CampList[[#This Row],[CP_Pcode]],DistanceToCamp[CP_Pcode],0)-1,0,1,1),"")</f>
        <v>12.257552920582597</v>
      </c>
      <c r="AF74" s="228">
        <f ca="1">IFERROR(INT(CampList[[#This Row],[Distance]]/5)+1,"")</f>
        <v>3</v>
      </c>
    </row>
    <row r="75" spans="2:32" ht="15.75" customHeight="1" x14ac:dyDescent="0.25">
      <c r="B75" s="218" t="s">
        <v>460</v>
      </c>
      <c r="C75" s="212" t="s">
        <v>378</v>
      </c>
      <c r="D75" s="212" t="s">
        <v>478</v>
      </c>
      <c r="E75" s="212" t="s">
        <v>5</v>
      </c>
      <c r="F75" s="212" t="s">
        <v>482</v>
      </c>
      <c r="G75" s="212" t="s">
        <v>185</v>
      </c>
      <c r="H75" s="212" t="s">
        <v>486</v>
      </c>
      <c r="I75" s="226" t="s">
        <v>693</v>
      </c>
      <c r="J75" s="226" t="s">
        <v>694</v>
      </c>
      <c r="K75" s="245" t="s">
        <v>1103</v>
      </c>
      <c r="L75" s="245" t="s">
        <v>1104</v>
      </c>
      <c r="M75" s="212" t="s">
        <v>186</v>
      </c>
      <c r="N75" s="212" t="s">
        <v>184</v>
      </c>
      <c r="O75" s="219">
        <v>97.718582999999995</v>
      </c>
      <c r="P75" s="219">
        <v>24.200972</v>
      </c>
      <c r="Q75" s="233"/>
      <c r="R75" s="292">
        <v>40</v>
      </c>
      <c r="S75" s="292">
        <v>240</v>
      </c>
      <c r="T75" s="222">
        <f>IF(CampList[[#This Row],[HH]]&gt;0,CampList[[#This Row],[Total]]/CampList[[#This Row],[HH]],"NA")</f>
        <v>6</v>
      </c>
      <c r="U75" s="214" t="s">
        <v>464</v>
      </c>
      <c r="V75" s="214" t="s">
        <v>997</v>
      </c>
      <c r="W75" s="214" t="s">
        <v>507</v>
      </c>
      <c r="X75" s="214" t="s">
        <v>742</v>
      </c>
      <c r="Y75" s="332">
        <v>41030</v>
      </c>
      <c r="Z75" s="223" t="s">
        <v>424</v>
      </c>
      <c r="AA75" s="239" t="s">
        <v>775</v>
      </c>
      <c r="AB75" s="225">
        <v>43220</v>
      </c>
      <c r="AC75" s="218" t="s">
        <v>1726</v>
      </c>
      <c r="AD75" s="214" t="str">
        <f ca="1">IFERROR(OFFSET(DistanceToCamp[Nearest Town],MATCH(CampList[[#This Row],[CP_Pcode]],DistanceToCamp[CP_Pcode],0)-1,0,1,1),"")</f>
        <v>Lwegel Town</v>
      </c>
      <c r="AE75" s="227">
        <f ca="1">IFERROR(OFFSET(DistanceToCamp[distance],MATCH(CampList[[#This Row],[CP_Pcode]],DistanceToCamp[CP_Pcode],0)-1,0,1,1),"")</f>
        <v>0.28829825866869707</v>
      </c>
      <c r="AF75" s="228">
        <f ca="1">IFERROR(INT(CampList[[#This Row],[Distance]]/5)+1,"")</f>
        <v>1</v>
      </c>
    </row>
    <row r="76" spans="2:32" ht="15.75" customHeight="1" x14ac:dyDescent="0.25">
      <c r="B76" s="218" t="s">
        <v>460</v>
      </c>
      <c r="C76" s="212" t="s">
        <v>378</v>
      </c>
      <c r="D76" s="212" t="s">
        <v>478</v>
      </c>
      <c r="E76" s="212" t="s">
        <v>5</v>
      </c>
      <c r="F76" s="212" t="s">
        <v>482</v>
      </c>
      <c r="G76" s="212" t="s">
        <v>185</v>
      </c>
      <c r="H76" s="212" t="s">
        <v>486</v>
      </c>
      <c r="I76" s="212" t="s">
        <v>693</v>
      </c>
      <c r="J76" s="212" t="s">
        <v>1045</v>
      </c>
      <c r="K76" s="245" t="s">
        <v>698</v>
      </c>
      <c r="L76" s="245" t="s">
        <v>699</v>
      </c>
      <c r="M76" s="212" t="s">
        <v>229</v>
      </c>
      <c r="N76" s="212" t="s">
        <v>228</v>
      </c>
      <c r="O76" s="219">
        <v>97.724483000000006</v>
      </c>
      <c r="P76" s="219">
        <v>24.205417000000001</v>
      </c>
      <c r="Q76" s="220">
        <v>0</v>
      </c>
      <c r="R76" s="292">
        <v>48</v>
      </c>
      <c r="S76" s="292">
        <v>293</v>
      </c>
      <c r="T76" s="222">
        <f>IF(CampList[[#This Row],[HH]]&gt;0,CampList[[#This Row],[Total]]/CampList[[#This Row],[HH]],"NA")</f>
        <v>6.104166666666667</v>
      </c>
      <c r="U76" s="214" t="s">
        <v>464</v>
      </c>
      <c r="V76" s="214" t="s">
        <v>997</v>
      </c>
      <c r="W76" s="214" t="s">
        <v>507</v>
      </c>
      <c r="X76" s="214" t="s">
        <v>742</v>
      </c>
      <c r="Y76" s="331">
        <v>41122</v>
      </c>
      <c r="Z76" s="223" t="s">
        <v>424</v>
      </c>
      <c r="AA76" s="212" t="s">
        <v>775</v>
      </c>
      <c r="AB76" s="225">
        <v>43220</v>
      </c>
      <c r="AC76" s="226" t="s">
        <v>1727</v>
      </c>
      <c r="AD76" s="214" t="str">
        <f ca="1">IFERROR(OFFSET(DistanceToCamp[Nearest Town],MATCH(CampList[[#This Row],[CP_Pcode]],DistanceToCamp[CP_Pcode],0)-1,0,1,1),"")</f>
        <v>Lwegel Town</v>
      </c>
      <c r="AE76" s="227">
        <f ca="1">IFERROR(OFFSET(DistanceToCamp[distance],MATCH(CampList[[#This Row],[CP_Pcode]],DistanceToCamp[CP_Pcode],0)-1,0,1,1),"")</f>
        <v>0.77561767807574999</v>
      </c>
      <c r="AF76" s="228">
        <f ca="1">IFERROR(INT(CampList[[#This Row],[Distance]]/5)+1,"")</f>
        <v>1</v>
      </c>
    </row>
    <row r="77" spans="2:32" ht="15.75" customHeight="1" x14ac:dyDescent="0.25">
      <c r="B77" s="218" t="s">
        <v>460</v>
      </c>
      <c r="C77" s="212" t="s">
        <v>378</v>
      </c>
      <c r="D77" s="212" t="s">
        <v>478</v>
      </c>
      <c r="E77" s="212" t="s">
        <v>5</v>
      </c>
      <c r="F77" s="212" t="s">
        <v>482</v>
      </c>
      <c r="G77" s="212" t="s">
        <v>185</v>
      </c>
      <c r="H77" s="212" t="s">
        <v>486</v>
      </c>
      <c r="I77" s="212" t="s">
        <v>693</v>
      </c>
      <c r="J77" s="212" t="s">
        <v>694</v>
      </c>
      <c r="K77" s="212" t="s">
        <v>1109</v>
      </c>
      <c r="L77" s="212" t="s">
        <v>1110</v>
      </c>
      <c r="M77" s="212" t="s">
        <v>225</v>
      </c>
      <c r="N77" s="212" t="s">
        <v>224</v>
      </c>
      <c r="O77" s="219">
        <v>97.710864000000001</v>
      </c>
      <c r="P77" s="219">
        <v>24.207332999999998</v>
      </c>
      <c r="Q77" s="220">
        <v>0</v>
      </c>
      <c r="R77" s="292">
        <v>43</v>
      </c>
      <c r="S77" s="292">
        <v>269</v>
      </c>
      <c r="T77" s="222">
        <f>IF(CampList[[#This Row],[HH]]&gt;0,CampList[[#This Row],[Total]]/CampList[[#This Row],[HH]],"NA")</f>
        <v>6.2558139534883717</v>
      </c>
      <c r="U77" s="214" t="s">
        <v>464</v>
      </c>
      <c r="V77" s="214" t="s">
        <v>997</v>
      </c>
      <c r="W77" s="214" t="s">
        <v>507</v>
      </c>
      <c r="X77" s="214" t="s">
        <v>742</v>
      </c>
      <c r="Y77" s="331">
        <v>41122</v>
      </c>
      <c r="Z77" s="223" t="s">
        <v>424</v>
      </c>
      <c r="AA77" s="212" t="s">
        <v>775</v>
      </c>
      <c r="AB77" s="225">
        <v>43220</v>
      </c>
      <c r="AC77" s="226" t="s">
        <v>1722</v>
      </c>
      <c r="AD77" s="214" t="str">
        <f ca="1">IFERROR(OFFSET(DistanceToCamp[Nearest Town],MATCH(CampList[[#This Row],[CP_Pcode]],DistanceToCamp[CP_Pcode],0)-1,0,1,1),"")</f>
        <v>Lwegel Town</v>
      </c>
      <c r="AE77" s="227">
        <f ca="1">IFERROR(OFFSET(DistanceToCamp[distance],MATCH(CampList[[#This Row],[CP_Pcode]],DistanceToCamp[CP_Pcode],0)-1,0,1,1),"")</f>
        <v>1.343152344964242</v>
      </c>
      <c r="AF77" s="228">
        <f ca="1">IFERROR(INT(CampList[[#This Row],[Distance]]/5)+1,"")</f>
        <v>1</v>
      </c>
    </row>
    <row r="78" spans="2:32" ht="15.75" customHeight="1" x14ac:dyDescent="0.25">
      <c r="B78" s="218" t="s">
        <v>460</v>
      </c>
      <c r="C78" s="212" t="s">
        <v>378</v>
      </c>
      <c r="D78" s="212" t="s">
        <v>478</v>
      </c>
      <c r="E78" s="212" t="s">
        <v>180</v>
      </c>
      <c r="F78" s="212" t="s">
        <v>479</v>
      </c>
      <c r="G78" s="212" t="s">
        <v>173</v>
      </c>
      <c r="H78" s="212" t="s">
        <v>498</v>
      </c>
      <c r="I78" s="226" t="s">
        <v>572</v>
      </c>
      <c r="J78" s="226" t="s">
        <v>573</v>
      </c>
      <c r="K78" s="226" t="s">
        <v>574</v>
      </c>
      <c r="L78" s="226">
        <v>166676</v>
      </c>
      <c r="M78" s="212" t="s">
        <v>1510</v>
      </c>
      <c r="N78" s="212" t="s">
        <v>175</v>
      </c>
      <c r="O78" s="219">
        <v>96.942279999999997</v>
      </c>
      <c r="P78" s="219">
        <v>25.296579999999999</v>
      </c>
      <c r="Q78" s="220">
        <v>0</v>
      </c>
      <c r="R78" s="292">
        <v>16</v>
      </c>
      <c r="S78" s="292">
        <v>79</v>
      </c>
      <c r="T78" s="222">
        <f>IF(CampList[[#This Row],[HH]]&gt;0,CampList[[#This Row],[Total]]/CampList[[#This Row],[HH]],"NA")</f>
        <v>4.9375</v>
      </c>
      <c r="U78" s="214" t="s">
        <v>464</v>
      </c>
      <c r="V78" s="214" t="s">
        <v>997</v>
      </c>
      <c r="W78" s="214" t="s">
        <v>507</v>
      </c>
      <c r="X78" s="214" t="s">
        <v>742</v>
      </c>
      <c r="Y78" s="331">
        <v>41030</v>
      </c>
      <c r="Z78" s="223" t="s">
        <v>424</v>
      </c>
      <c r="AA78" s="239" t="s">
        <v>775</v>
      </c>
      <c r="AB78" s="225">
        <v>43220</v>
      </c>
      <c r="AC78" s="218" t="s">
        <v>1728</v>
      </c>
      <c r="AD78" s="214" t="str">
        <f ca="1">IFERROR(OFFSET(DistanceToCamp[Nearest Town],MATCH(CampList[[#This Row],[CP_Pcode]],DistanceToCamp[CP_Pcode],0)-1,0,1,1),"")</f>
        <v>Mogaung Town</v>
      </c>
      <c r="AE78" s="227">
        <f ca="1">IFERROR(OFFSET(DistanceToCamp[distance],MATCH(CampList[[#This Row],[CP_Pcode]],DistanceToCamp[CP_Pcode],0)-1,0,1,1),"")</f>
        <v>0.71141459237180937</v>
      </c>
      <c r="AF78" s="228">
        <f ca="1">IFERROR(INT(CampList[[#This Row],[Distance]]/5)+1,"")</f>
        <v>1</v>
      </c>
    </row>
    <row r="79" spans="2:32" ht="15.75" hidden="1" customHeight="1" x14ac:dyDescent="0.25">
      <c r="B79" s="218" t="s">
        <v>776</v>
      </c>
      <c r="C79" s="212" t="s">
        <v>378</v>
      </c>
      <c r="D79" s="212" t="s">
        <v>478</v>
      </c>
      <c r="E79" s="212" t="s">
        <v>299</v>
      </c>
      <c r="F79" s="212" t="s">
        <v>499</v>
      </c>
      <c r="G79" s="212" t="s">
        <v>144</v>
      </c>
      <c r="H79" s="212" t="s">
        <v>500</v>
      </c>
      <c r="I79" s="226" t="s">
        <v>723</v>
      </c>
      <c r="J79" s="226" t="s">
        <v>724</v>
      </c>
      <c r="K79" s="226" t="s">
        <v>145</v>
      </c>
      <c r="L79" s="226">
        <v>168236</v>
      </c>
      <c r="M79" s="212" t="s">
        <v>145</v>
      </c>
      <c r="N79" s="212" t="s">
        <v>143</v>
      </c>
      <c r="O79" s="219">
        <v>98.144502500000002</v>
      </c>
      <c r="P79" s="219">
        <v>26.890058</v>
      </c>
      <c r="Q79" s="233">
        <v>1393</v>
      </c>
      <c r="R79" s="302"/>
      <c r="S79" s="303"/>
      <c r="T79" s="222" t="str">
        <f>IF(CampList[[#This Row],[HH]]&gt;0,CampList[[#This Row],[Total]]/CampList[[#This Row],[HH]],"NA")</f>
        <v>NA</v>
      </c>
      <c r="U79" s="214" t="s">
        <v>464</v>
      </c>
      <c r="V79" s="214" t="s">
        <v>997</v>
      </c>
      <c r="W79" s="214" t="s">
        <v>507</v>
      </c>
      <c r="X79" s="214" t="s">
        <v>785</v>
      </c>
      <c r="Y79" s="234"/>
      <c r="Z79" s="224"/>
      <c r="AA79" s="239" t="s">
        <v>774</v>
      </c>
      <c r="AB79" s="225">
        <v>42768</v>
      </c>
      <c r="AC79" s="218" t="s">
        <v>1222</v>
      </c>
      <c r="AD79" s="214" t="str">
        <f ca="1">IFERROR(OFFSET(DistanceToCamp[Nearest Town],MATCH(CampList[[#This Row],[CP_Pcode]],DistanceToCamp[CP_Pcode],0)-1,0,1,1),"")</f>
        <v>Khaunglanhpu Town</v>
      </c>
      <c r="AE79" s="227">
        <f ca="1">IFERROR(OFFSET(DistanceToCamp[distance],MATCH(CampList[[#This Row],[CP_Pcode]],DistanceToCamp[CP_Pcode],0)-1,0,1,1),"")</f>
        <v>28.422357500443528</v>
      </c>
      <c r="AF79" s="228">
        <f ca="1">IFERROR(INT(CampList[[#This Row],[Distance]]/5)+1,"")</f>
        <v>6</v>
      </c>
    </row>
    <row r="80" spans="2:32" ht="15.75" customHeight="1" x14ac:dyDescent="0.25">
      <c r="B80" s="239" t="s">
        <v>460</v>
      </c>
      <c r="C80" s="212" t="s">
        <v>378</v>
      </c>
      <c r="D80" s="212" t="s">
        <v>478</v>
      </c>
      <c r="E80" s="212" t="s">
        <v>299</v>
      </c>
      <c r="F80" s="212" t="s">
        <v>499</v>
      </c>
      <c r="G80" s="212" t="s">
        <v>299</v>
      </c>
      <c r="H80" s="212" t="s">
        <v>505</v>
      </c>
      <c r="I80" s="212" t="s">
        <v>740</v>
      </c>
      <c r="J80" s="212" t="s">
        <v>741</v>
      </c>
      <c r="K80" s="212" t="s">
        <v>888</v>
      </c>
      <c r="L80" s="212" t="s">
        <v>889</v>
      </c>
      <c r="M80" s="212" t="s">
        <v>300</v>
      </c>
      <c r="N80" s="212" t="s">
        <v>298</v>
      </c>
      <c r="O80" s="219">
        <v>97.415289999999999</v>
      </c>
      <c r="P80" s="219">
        <v>27.311699999999998</v>
      </c>
      <c r="Q80" s="220">
        <v>476.7</v>
      </c>
      <c r="R80" s="220">
        <v>14</v>
      </c>
      <c r="S80" s="233">
        <v>75</v>
      </c>
      <c r="T80" s="222">
        <f>IF(CampList[[#This Row],[HH]]&gt;0,CampList[[#This Row],[Total]]/CampList[[#This Row],[HH]],"NA")</f>
        <v>5.3571428571428568</v>
      </c>
      <c r="U80" s="214" t="s">
        <v>464</v>
      </c>
      <c r="V80" s="214" t="s">
        <v>997</v>
      </c>
      <c r="W80" s="214" t="s">
        <v>12</v>
      </c>
      <c r="X80" s="214" t="s">
        <v>785</v>
      </c>
      <c r="Y80" s="331"/>
      <c r="Z80" s="223"/>
      <c r="AA80" s="212" t="s">
        <v>775</v>
      </c>
      <c r="AB80" s="225">
        <v>42874</v>
      </c>
      <c r="AC80" s="226" t="s">
        <v>1274</v>
      </c>
      <c r="AD80" s="214" t="str">
        <f ca="1">IFERROR(OFFSET(DistanceToCamp[Nearest Town],MATCH(CampList[[#This Row],[CP_Pcode]],DistanceToCamp[CP_Pcode],0)-1,0,1,1),"")</f>
        <v>Puta-O Town</v>
      </c>
      <c r="AE80" s="227">
        <f ca="1">IFERROR(OFFSET(DistanceToCamp[distance],MATCH(CampList[[#This Row],[CP_Pcode]],DistanceToCamp[CP_Pcode],0)-1,0,1,1),"")</f>
        <v>1.3759254000531889</v>
      </c>
      <c r="AF80" s="228">
        <f ca="1">IFERROR(INT(CampList[[#This Row],[Distance]]/5)+1,"")</f>
        <v>1</v>
      </c>
    </row>
    <row r="81" spans="2:32" ht="15.75" customHeight="1" x14ac:dyDescent="0.25">
      <c r="B81" s="218" t="s">
        <v>460</v>
      </c>
      <c r="C81" s="212" t="s">
        <v>378</v>
      </c>
      <c r="D81" s="212" t="s">
        <v>478</v>
      </c>
      <c r="E81" s="212" t="s">
        <v>180</v>
      </c>
      <c r="F81" s="212" t="s">
        <v>479</v>
      </c>
      <c r="G81" s="212" t="s">
        <v>173</v>
      </c>
      <c r="H81" s="212" t="s">
        <v>498</v>
      </c>
      <c r="I81" s="226" t="s">
        <v>570</v>
      </c>
      <c r="J81" s="226" t="s">
        <v>571</v>
      </c>
      <c r="K81" s="245" t="s">
        <v>1101</v>
      </c>
      <c r="L81" s="245" t="s">
        <v>1102</v>
      </c>
      <c r="M81" s="212" t="s">
        <v>174</v>
      </c>
      <c r="N81" s="212" t="s">
        <v>172</v>
      </c>
      <c r="O81" s="219">
        <v>96.922619999999995</v>
      </c>
      <c r="P81" s="219">
        <v>25.305669999999999</v>
      </c>
      <c r="Q81" s="220">
        <v>470</v>
      </c>
      <c r="R81" s="292">
        <v>13</v>
      </c>
      <c r="S81" s="292">
        <v>70</v>
      </c>
      <c r="T81" s="222">
        <f>IF(CampList[[#This Row],[HH]]&gt;0,CampList[[#This Row],[Total]]/CampList[[#This Row],[HH]],"NA")</f>
        <v>5.384615384615385</v>
      </c>
      <c r="U81" s="214" t="s">
        <v>464</v>
      </c>
      <c r="V81" s="214" t="s">
        <v>997</v>
      </c>
      <c r="W81" s="214" t="s">
        <v>507</v>
      </c>
      <c r="X81" s="214" t="s">
        <v>742</v>
      </c>
      <c r="Y81" s="331">
        <v>41030</v>
      </c>
      <c r="Z81" s="223" t="s">
        <v>424</v>
      </c>
      <c r="AA81" s="239" t="s">
        <v>775</v>
      </c>
      <c r="AB81" s="225">
        <v>43220</v>
      </c>
      <c r="AC81" s="218" t="s">
        <v>1728</v>
      </c>
      <c r="AD81" s="214" t="str">
        <f ca="1">IFERROR(OFFSET(DistanceToCamp[Nearest Town],MATCH(CampList[[#This Row],[CP_Pcode]],DistanceToCamp[CP_Pcode],0)-1,0,1,1),"")</f>
        <v>Mogaung Town</v>
      </c>
      <c r="AE81" s="227">
        <f ca="1">IFERROR(OFFSET(DistanceToCamp[distance],MATCH(CampList[[#This Row],[CP_Pcode]],DistanceToCamp[CP_Pcode],0)-1,0,1,1),"")</f>
        <v>1.815139598767344</v>
      </c>
      <c r="AF81" s="228">
        <f ca="1">IFERROR(INT(CampList[[#This Row],[Distance]]/5)+1,"")</f>
        <v>1</v>
      </c>
    </row>
    <row r="82" spans="2:32" ht="15.75" customHeight="1" x14ac:dyDescent="0.25">
      <c r="B82" s="218" t="s">
        <v>460</v>
      </c>
      <c r="C82" s="212" t="s">
        <v>378</v>
      </c>
      <c r="D82" s="212" t="s">
        <v>478</v>
      </c>
      <c r="E82" s="212" t="s">
        <v>180</v>
      </c>
      <c r="F82" s="212" t="s">
        <v>479</v>
      </c>
      <c r="G82" s="212" t="s">
        <v>173</v>
      </c>
      <c r="H82" s="212" t="s">
        <v>498</v>
      </c>
      <c r="I82" s="212" t="s">
        <v>570</v>
      </c>
      <c r="J82" s="212" t="s">
        <v>571</v>
      </c>
      <c r="K82" s="212" t="s">
        <v>575</v>
      </c>
      <c r="L82" s="212" t="s">
        <v>576</v>
      </c>
      <c r="M82" s="212" t="s">
        <v>178</v>
      </c>
      <c r="N82" s="212" t="s">
        <v>177</v>
      </c>
      <c r="O82" s="219">
        <v>96.948740000000001</v>
      </c>
      <c r="P82" s="219">
        <v>25.30442</v>
      </c>
      <c r="Q82" s="220">
        <v>100</v>
      </c>
      <c r="R82" s="292">
        <v>10</v>
      </c>
      <c r="S82" s="292">
        <v>41</v>
      </c>
      <c r="T82" s="222">
        <f>IF(CampList[[#This Row],[HH]]&gt;0,CampList[[#This Row],[Total]]/CampList[[#This Row],[HH]],"NA")</f>
        <v>4.0999999999999996</v>
      </c>
      <c r="U82" s="214" t="s">
        <v>464</v>
      </c>
      <c r="V82" s="214" t="s">
        <v>997</v>
      </c>
      <c r="W82" s="214" t="s">
        <v>507</v>
      </c>
      <c r="X82" s="214" t="s">
        <v>742</v>
      </c>
      <c r="Y82" s="331">
        <v>40969</v>
      </c>
      <c r="Z82" s="223" t="s">
        <v>424</v>
      </c>
      <c r="AA82" s="212" t="s">
        <v>775</v>
      </c>
      <c r="AB82" s="225">
        <v>43220</v>
      </c>
      <c r="AC82" s="226" t="s">
        <v>1729</v>
      </c>
      <c r="AD82" s="214" t="str">
        <f ca="1">IFERROR(OFFSET(DistanceToCamp[Nearest Town],MATCH(CampList[[#This Row],[CP_Pcode]],DistanceToCamp[CP_Pcode],0)-1,0,1,1),"")</f>
        <v>Mogaung Town</v>
      </c>
      <c r="AE82" s="227">
        <f ca="1">IFERROR(OFFSET(DistanceToCamp[distance],MATCH(CampList[[#This Row],[CP_Pcode]],DistanceToCamp[CP_Pcode],0)-1,0,1,1),"")</f>
        <v>0.86042374061342075</v>
      </c>
      <c r="AF82" s="228">
        <f ca="1">IFERROR(INT(CampList[[#This Row],[Distance]]/5)+1,"")</f>
        <v>1</v>
      </c>
    </row>
    <row r="83" spans="2:32" ht="15.75" customHeight="1" x14ac:dyDescent="0.25">
      <c r="B83" s="218" t="s">
        <v>460</v>
      </c>
      <c r="C83" s="212" t="s">
        <v>378</v>
      </c>
      <c r="D83" s="212" t="s">
        <v>478</v>
      </c>
      <c r="E83" s="212" t="s">
        <v>180</v>
      </c>
      <c r="F83" s="212" t="s">
        <v>479</v>
      </c>
      <c r="G83" s="212" t="s">
        <v>480</v>
      </c>
      <c r="H83" s="212" t="s">
        <v>481</v>
      </c>
      <c r="I83" s="226" t="s">
        <v>549</v>
      </c>
      <c r="J83" s="226" t="s">
        <v>550</v>
      </c>
      <c r="K83" s="212" t="s">
        <v>549</v>
      </c>
      <c r="L83" s="232">
        <v>166776</v>
      </c>
      <c r="M83" s="212" t="s">
        <v>140</v>
      </c>
      <c r="N83" s="212" t="s">
        <v>139</v>
      </c>
      <c r="O83" s="219">
        <v>96.306910999999999</v>
      </c>
      <c r="P83" s="219">
        <v>25.599250000000001</v>
      </c>
      <c r="Q83" s="220">
        <v>0</v>
      </c>
      <c r="R83" s="292">
        <v>16</v>
      </c>
      <c r="S83" s="292">
        <v>66</v>
      </c>
      <c r="T83" s="222">
        <f>IF(CampList[[#This Row],[HH]]&gt;0,CampList[[#This Row],[Total]]/CampList[[#This Row],[HH]],"NA")</f>
        <v>4.125</v>
      </c>
      <c r="U83" s="214" t="s">
        <v>464</v>
      </c>
      <c r="V83" s="214" t="s">
        <v>997</v>
      </c>
      <c r="W83" s="214" t="s">
        <v>507</v>
      </c>
      <c r="X83" s="214" t="s">
        <v>742</v>
      </c>
      <c r="Y83" s="331">
        <v>41122</v>
      </c>
      <c r="Z83" s="223" t="s">
        <v>424</v>
      </c>
      <c r="AA83" s="212" t="s">
        <v>775</v>
      </c>
      <c r="AB83" s="225">
        <v>43220</v>
      </c>
      <c r="AC83" s="226" t="s">
        <v>1730</v>
      </c>
      <c r="AD83" s="214" t="str">
        <f ca="1">IFERROR(OFFSET(DistanceToCamp[Nearest Town],MATCH(CampList[[#This Row],[CP_Pcode]],DistanceToCamp[CP_Pcode],0)-1,0,1,1),"")</f>
        <v>Hpakant Town</v>
      </c>
      <c r="AE83" s="227">
        <f ca="1">IFERROR(OFFSET(DistanceToCamp[distance],MATCH(CampList[[#This Row],[CP_Pcode]],DistanceToCamp[CP_Pcode],0)-1,0,1,1),"")</f>
        <v>1.5942018764815451</v>
      </c>
      <c r="AF83" s="228">
        <f ca="1">IFERROR(INT(CampList[[#This Row],[Distance]]/5)+1,"")</f>
        <v>1</v>
      </c>
    </row>
    <row r="84" spans="2:32" ht="15.75" customHeight="1" x14ac:dyDescent="0.25">
      <c r="B84" s="231" t="s">
        <v>460</v>
      </c>
      <c r="C84" s="213" t="s">
        <v>378</v>
      </c>
      <c r="D84" s="213" t="s">
        <v>478</v>
      </c>
      <c r="E84" s="213" t="s">
        <v>5</v>
      </c>
      <c r="F84" s="213" t="s">
        <v>482</v>
      </c>
      <c r="G84" s="213" t="s">
        <v>185</v>
      </c>
      <c r="H84" s="213" t="s">
        <v>486</v>
      </c>
      <c r="I84" s="213" t="s">
        <v>674</v>
      </c>
      <c r="J84" s="232" t="s">
        <v>675</v>
      </c>
      <c r="K84" s="213" t="s">
        <v>676</v>
      </c>
      <c r="L84" s="213">
        <v>167223</v>
      </c>
      <c r="M84" s="213" t="s">
        <v>194</v>
      </c>
      <c r="N84" s="213" t="s">
        <v>193</v>
      </c>
      <c r="O84" s="221">
        <v>97.573126000000002</v>
      </c>
      <c r="P84" s="221">
        <v>24.661905999999998</v>
      </c>
      <c r="Q84" s="233">
        <v>415</v>
      </c>
      <c r="R84" s="292">
        <v>719</v>
      </c>
      <c r="S84" s="292">
        <v>3659</v>
      </c>
      <c r="T84" s="222">
        <f>IF(CampList[[#This Row],[HH]]&gt;0,CampList[[#This Row],[Total]]/CampList[[#This Row],[HH]],"NA")</f>
        <v>5.0890125173852576</v>
      </c>
      <c r="U84" s="197" t="s">
        <v>466</v>
      </c>
      <c r="V84" s="214" t="s">
        <v>997</v>
      </c>
      <c r="W84" s="197" t="s">
        <v>507</v>
      </c>
      <c r="X84" s="197" t="s">
        <v>785</v>
      </c>
      <c r="Y84" s="332">
        <v>40695</v>
      </c>
      <c r="Z84" s="233" t="s">
        <v>938</v>
      </c>
      <c r="AA84" s="213" t="s">
        <v>775</v>
      </c>
      <c r="AB84" s="731">
        <v>43220</v>
      </c>
      <c r="AC84" s="235" t="s">
        <v>1786</v>
      </c>
      <c r="AD84" s="236" t="str">
        <f ca="1">IFERROR(OFFSET(DistanceToCamp[Nearest Town],MATCH(CampList[[#This Row],[CP_Pcode]],DistanceToCamp[CP_Pcode],0)-1,0,1,1),"")</f>
        <v>Laiza town</v>
      </c>
      <c r="AE84" s="227">
        <f ca="1">IFERROR(OFFSET(DistanceToCamp[distance],MATCH(CampList[[#This Row],[CP_Pcode]],DistanceToCamp[CP_Pcode],0)-1,0,1,1),"")</f>
        <v>10.953347686331073</v>
      </c>
      <c r="AF84" s="237">
        <f ca="1">IFERROR(INT(CampList[[#This Row],[Distance]]/5)+1,"")</f>
        <v>3</v>
      </c>
    </row>
    <row r="85" spans="2:32" ht="15.75" hidden="1" customHeight="1" x14ac:dyDescent="0.25">
      <c r="B85" s="218" t="s">
        <v>776</v>
      </c>
      <c r="C85" s="212" t="s">
        <v>378</v>
      </c>
      <c r="D85" s="212" t="s">
        <v>478</v>
      </c>
      <c r="E85" s="212" t="s">
        <v>180</v>
      </c>
      <c r="F85" s="212" t="s">
        <v>479</v>
      </c>
      <c r="G85" s="212" t="s">
        <v>180</v>
      </c>
      <c r="H85" s="212" t="s">
        <v>504</v>
      </c>
      <c r="I85" s="226" t="s">
        <v>556</v>
      </c>
      <c r="J85" s="226" t="s">
        <v>557</v>
      </c>
      <c r="K85" s="226" t="s">
        <v>556</v>
      </c>
      <c r="L85" s="226">
        <v>166591</v>
      </c>
      <c r="M85" s="212" t="s">
        <v>183</v>
      </c>
      <c r="N85" s="212" t="s">
        <v>182</v>
      </c>
      <c r="O85" s="219">
        <v>96.364949999999993</v>
      </c>
      <c r="P85" s="219">
        <v>24.998349999999999</v>
      </c>
      <c r="Q85" s="220">
        <v>0</v>
      </c>
      <c r="R85" s="302">
        <v>0</v>
      </c>
      <c r="S85" s="303">
        <v>0</v>
      </c>
      <c r="T85" s="222" t="str">
        <f>IF(CampList[[#This Row],[HH]]&gt;0,CampList[[#This Row],[Total]]/CampList[[#This Row],[HH]],"NA")</f>
        <v>NA</v>
      </c>
      <c r="U85" s="214" t="s">
        <v>464</v>
      </c>
      <c r="V85" s="214" t="s">
        <v>997</v>
      </c>
      <c r="W85" s="214" t="s">
        <v>507</v>
      </c>
      <c r="X85" s="214" t="s">
        <v>785</v>
      </c>
      <c r="Y85" s="223">
        <v>40969</v>
      </c>
      <c r="Z85" s="223" t="s">
        <v>424</v>
      </c>
      <c r="AA85" s="239" t="s">
        <v>774</v>
      </c>
      <c r="AB85" s="225">
        <v>41837</v>
      </c>
      <c r="AC85" s="218" t="s">
        <v>942</v>
      </c>
      <c r="AD85" s="214" t="str">
        <f ca="1">IFERROR(OFFSET(DistanceToCamp[Nearest Town],MATCH(CampList[[#This Row],[CP_Pcode]],DistanceToCamp[CP_Pcode],0)-1,0,1,1),"")</f>
        <v/>
      </c>
      <c r="AE85" s="227" t="str">
        <f ca="1">IFERROR(OFFSET(DistanceToCamp[distance],MATCH(CampList[[#This Row],[CP_Pcode]],DistanceToCamp[CP_Pcode],0)-1,0,1,1),"")</f>
        <v/>
      </c>
      <c r="AF85" s="228" t="str">
        <f ca="1">IFERROR(INT(CampList[[#This Row],[Distance]]/5)+1,"")</f>
        <v/>
      </c>
    </row>
    <row r="86" spans="2:32" ht="15.75" hidden="1" customHeight="1" x14ac:dyDescent="0.25">
      <c r="B86" s="218" t="s">
        <v>776</v>
      </c>
      <c r="C86" s="212" t="s">
        <v>378</v>
      </c>
      <c r="D86" s="212" t="s">
        <v>478</v>
      </c>
      <c r="E86" s="212" t="s">
        <v>180</v>
      </c>
      <c r="F86" s="212" t="s">
        <v>479</v>
      </c>
      <c r="G86" s="212" t="s">
        <v>480</v>
      </c>
      <c r="H86" s="212" t="s">
        <v>481</v>
      </c>
      <c r="I86" s="226" t="s">
        <v>543</v>
      </c>
      <c r="J86" s="226" t="s">
        <v>544</v>
      </c>
      <c r="K86" s="226" t="s">
        <v>545</v>
      </c>
      <c r="L86" s="226" t="s">
        <v>546</v>
      </c>
      <c r="M86" s="212" t="s">
        <v>110</v>
      </c>
      <c r="N86" s="212" t="s">
        <v>109</v>
      </c>
      <c r="O86" s="219">
        <v>96.312790000000007</v>
      </c>
      <c r="P86" s="219">
        <v>25.611160000000002</v>
      </c>
      <c r="Q86" s="220">
        <v>0</v>
      </c>
      <c r="R86" s="302">
        <v>0</v>
      </c>
      <c r="S86" s="303">
        <v>0</v>
      </c>
      <c r="T86" s="222" t="str">
        <f>IF(CampList[[#This Row],[HH]]&gt;0,CampList[[#This Row],[Total]]/CampList[[#This Row],[HH]],"NA")</f>
        <v>NA</v>
      </c>
      <c r="U86" s="214" t="s">
        <v>464</v>
      </c>
      <c r="V86" s="214" t="s">
        <v>997</v>
      </c>
      <c r="W86" s="214" t="s">
        <v>507</v>
      </c>
      <c r="X86" s="214" t="s">
        <v>742</v>
      </c>
      <c r="Y86" s="223">
        <v>41122</v>
      </c>
      <c r="Z86" s="223" t="s">
        <v>424</v>
      </c>
      <c r="AA86" s="239" t="s">
        <v>775</v>
      </c>
      <c r="AB86" s="225">
        <v>41774</v>
      </c>
      <c r="AC86" s="218" t="s">
        <v>899</v>
      </c>
      <c r="AD86" s="214" t="str">
        <f ca="1">IFERROR(OFFSET(DistanceToCamp[Nearest Town],MATCH(CampList[[#This Row],[CP_Pcode]],DistanceToCamp[CP_Pcode],0)-1,0,1,1),"")</f>
        <v/>
      </c>
      <c r="AE86" s="227" t="str">
        <f ca="1">IFERROR(OFFSET(DistanceToCamp[distance],MATCH(CampList[[#This Row],[CP_Pcode]],DistanceToCamp[CP_Pcode],0)-1,0,1,1),"")</f>
        <v/>
      </c>
      <c r="AF86" s="228" t="str">
        <f ca="1">IFERROR(INT(CampList[[#This Row],[Distance]]/5)+1,"")</f>
        <v/>
      </c>
    </row>
    <row r="87" spans="2:32" ht="15.75" hidden="1" customHeight="1" x14ac:dyDescent="0.25">
      <c r="B87" s="218" t="s">
        <v>776</v>
      </c>
      <c r="C87" s="212" t="s">
        <v>378</v>
      </c>
      <c r="D87" s="212" t="s">
        <v>478</v>
      </c>
      <c r="E87" s="212" t="s">
        <v>180</v>
      </c>
      <c r="F87" s="212" t="s">
        <v>479</v>
      </c>
      <c r="G87" s="212" t="s">
        <v>480</v>
      </c>
      <c r="H87" s="212" t="s">
        <v>481</v>
      </c>
      <c r="I87" s="226" t="s">
        <v>543</v>
      </c>
      <c r="J87" s="226" t="s">
        <v>544</v>
      </c>
      <c r="K87" s="226" t="s">
        <v>545</v>
      </c>
      <c r="L87" s="226" t="s">
        <v>546</v>
      </c>
      <c r="M87" s="212" t="s">
        <v>112</v>
      </c>
      <c r="N87" s="212" t="s">
        <v>111</v>
      </c>
      <c r="O87" s="219">
        <v>96.31326</v>
      </c>
      <c r="P87" s="219">
        <v>25.611899999999999</v>
      </c>
      <c r="Q87" s="233"/>
      <c r="R87" s="302">
        <v>0</v>
      </c>
      <c r="S87" s="303">
        <v>0</v>
      </c>
      <c r="T87" s="222" t="str">
        <f>IF(CampList[[#This Row],[HH]]&gt;0,CampList[[#This Row],[Total]]/CampList[[#This Row],[HH]],"NA")</f>
        <v>NA</v>
      </c>
      <c r="U87" s="214" t="s">
        <v>464</v>
      </c>
      <c r="V87" s="214" t="s">
        <v>997</v>
      </c>
      <c r="W87" s="214" t="s">
        <v>507</v>
      </c>
      <c r="X87" s="214"/>
      <c r="Y87" s="234"/>
      <c r="Z87" s="224"/>
      <c r="AA87" s="239"/>
      <c r="AB87" s="243"/>
      <c r="AC87" s="218" t="s">
        <v>541</v>
      </c>
      <c r="AD87" s="214" t="str">
        <f ca="1">IFERROR(OFFSET(DistanceToCamp[Nearest Town],MATCH(CampList[[#This Row],[CP_Pcode]],DistanceToCamp[CP_Pcode],0)-1,0,1,1),"")</f>
        <v/>
      </c>
      <c r="AE87" s="227" t="str">
        <f ca="1">IFERROR(OFFSET(DistanceToCamp[distance],MATCH(CampList[[#This Row],[CP_Pcode]],DistanceToCamp[CP_Pcode],0)-1,0,1,1),"")</f>
        <v/>
      </c>
      <c r="AF87" s="228" t="str">
        <f ca="1">IFERROR(INT(CampList[[#This Row],[Distance]]/5)+1,"")</f>
        <v/>
      </c>
    </row>
    <row r="88" spans="2:32" ht="15.75" hidden="1" customHeight="1" x14ac:dyDescent="0.25">
      <c r="B88" s="218" t="s">
        <v>776</v>
      </c>
      <c r="C88" s="212" t="s">
        <v>378</v>
      </c>
      <c r="D88" s="212" t="s">
        <v>478</v>
      </c>
      <c r="E88" s="212" t="s">
        <v>180</v>
      </c>
      <c r="F88" s="212" t="s">
        <v>479</v>
      </c>
      <c r="G88" s="212" t="s">
        <v>480</v>
      </c>
      <c r="H88" s="212" t="s">
        <v>481</v>
      </c>
      <c r="I88" s="226" t="s">
        <v>543</v>
      </c>
      <c r="J88" s="226" t="s">
        <v>544</v>
      </c>
      <c r="K88" s="226" t="s">
        <v>547</v>
      </c>
      <c r="L88" s="226" t="s">
        <v>548</v>
      </c>
      <c r="M88" s="212" t="s">
        <v>86</v>
      </c>
      <c r="N88" s="212" t="s">
        <v>85</v>
      </c>
      <c r="O88" s="219"/>
      <c r="P88" s="219"/>
      <c r="Q88" s="233"/>
      <c r="R88" s="302">
        <v>0</v>
      </c>
      <c r="S88" s="303">
        <v>0</v>
      </c>
      <c r="T88" s="222" t="str">
        <f>IF(CampList[[#This Row],[HH]]&gt;0,CampList[[#This Row],[Total]]/CampList[[#This Row],[HH]],"NA")</f>
        <v>NA</v>
      </c>
      <c r="U88" s="214" t="s">
        <v>464</v>
      </c>
      <c r="V88" s="214" t="s">
        <v>997</v>
      </c>
      <c r="W88" s="214" t="s">
        <v>507</v>
      </c>
      <c r="X88" s="214"/>
      <c r="Y88" s="234"/>
      <c r="Z88" s="224"/>
      <c r="AA88" s="239"/>
      <c r="AB88" s="243"/>
      <c r="AC88" s="218" t="s">
        <v>541</v>
      </c>
      <c r="AD88" s="214" t="str">
        <f ca="1">IFERROR(OFFSET(DistanceToCamp[Nearest Town],MATCH(CampList[[#This Row],[CP_Pcode]],DistanceToCamp[CP_Pcode],0)-1,0,1,1),"")</f>
        <v/>
      </c>
      <c r="AE88" s="227" t="str">
        <f ca="1">IFERROR(OFFSET(DistanceToCamp[distance],MATCH(CampList[[#This Row],[CP_Pcode]],DistanceToCamp[CP_Pcode],0)-1,0,1,1),"")</f>
        <v/>
      </c>
      <c r="AF88" s="228" t="str">
        <f ca="1">IFERROR(INT(CampList[[#This Row],[Distance]]/5)+1,"")</f>
        <v/>
      </c>
    </row>
    <row r="89" spans="2:32" ht="15.75" hidden="1" customHeight="1" x14ac:dyDescent="0.25">
      <c r="B89" s="218" t="s">
        <v>776</v>
      </c>
      <c r="C89" s="212" t="s">
        <v>378</v>
      </c>
      <c r="D89" s="212" t="s">
        <v>478</v>
      </c>
      <c r="E89" s="212" t="s">
        <v>180</v>
      </c>
      <c r="F89" s="212" t="s">
        <v>479</v>
      </c>
      <c r="G89" s="212" t="s">
        <v>480</v>
      </c>
      <c r="H89" s="212" t="s">
        <v>481</v>
      </c>
      <c r="I89" s="226" t="s">
        <v>543</v>
      </c>
      <c r="J89" s="226" t="s">
        <v>544</v>
      </c>
      <c r="K89" s="226" t="s">
        <v>547</v>
      </c>
      <c r="L89" s="226" t="s">
        <v>548</v>
      </c>
      <c r="M89" s="212" t="s">
        <v>84</v>
      </c>
      <c r="N89" s="212" t="s">
        <v>83</v>
      </c>
      <c r="O89" s="219">
        <v>96.316210999999996</v>
      </c>
      <c r="P89" s="219">
        <v>25.619221</v>
      </c>
      <c r="Q89" s="233"/>
      <c r="R89" s="302">
        <v>0</v>
      </c>
      <c r="S89" s="303">
        <v>0</v>
      </c>
      <c r="T89" s="222" t="str">
        <f>IF(CampList[[#This Row],[HH]]&gt;0,CampList[[#This Row],[Total]]/CampList[[#This Row],[HH]],"NA")</f>
        <v>NA</v>
      </c>
      <c r="U89" s="214" t="s">
        <v>464</v>
      </c>
      <c r="V89" s="214" t="s">
        <v>997</v>
      </c>
      <c r="W89" s="214" t="s">
        <v>507</v>
      </c>
      <c r="X89" s="214"/>
      <c r="Y89" s="234"/>
      <c r="Z89" s="224"/>
      <c r="AA89" s="239"/>
      <c r="AB89" s="243"/>
      <c r="AC89" s="218" t="s">
        <v>541</v>
      </c>
      <c r="AD89" s="214" t="str">
        <f ca="1">IFERROR(OFFSET(DistanceToCamp[Nearest Town],MATCH(CampList[[#This Row],[CP_Pcode]],DistanceToCamp[CP_Pcode],0)-1,0,1,1),"")</f>
        <v/>
      </c>
      <c r="AE89" s="227" t="str">
        <f ca="1">IFERROR(OFFSET(DistanceToCamp[distance],MATCH(CampList[[#This Row],[CP_Pcode]],DistanceToCamp[CP_Pcode],0)-1,0,1,1),"")</f>
        <v/>
      </c>
      <c r="AF89" s="228" t="str">
        <f ca="1">IFERROR(INT(CampList[[#This Row],[Distance]]/5)+1,"")</f>
        <v/>
      </c>
    </row>
    <row r="90" spans="2:32" ht="15.75" hidden="1" customHeight="1" x14ac:dyDescent="0.25">
      <c r="B90" s="218" t="s">
        <v>776</v>
      </c>
      <c r="C90" s="212" t="s">
        <v>378</v>
      </c>
      <c r="D90" s="212" t="s">
        <v>478</v>
      </c>
      <c r="E90" s="212" t="s">
        <v>180</v>
      </c>
      <c r="F90" s="212" t="s">
        <v>479</v>
      </c>
      <c r="G90" s="212" t="s">
        <v>480</v>
      </c>
      <c r="H90" s="212" t="s">
        <v>481</v>
      </c>
      <c r="I90" s="212"/>
      <c r="J90" s="212"/>
      <c r="K90" s="212"/>
      <c r="L90" s="212"/>
      <c r="M90" s="212" t="s">
        <v>70</v>
      </c>
      <c r="N90" s="212" t="s">
        <v>69</v>
      </c>
      <c r="O90" s="219"/>
      <c r="P90" s="219"/>
      <c r="Q90" s="233"/>
      <c r="R90" s="302"/>
      <c r="S90" s="303"/>
      <c r="T90" s="222" t="str">
        <f>IF(CampList[[#This Row],[HH]]&gt;0,CampList[[#This Row],[Total]]/CampList[[#This Row],[HH]],"NA")</f>
        <v>NA</v>
      </c>
      <c r="U90" s="214" t="s">
        <v>464</v>
      </c>
      <c r="V90" s="214" t="s">
        <v>997</v>
      </c>
      <c r="W90" s="214" t="s">
        <v>507</v>
      </c>
      <c r="X90" s="214"/>
      <c r="Y90" s="234"/>
      <c r="Z90" s="224"/>
      <c r="AA90" s="239"/>
      <c r="AB90" s="243"/>
      <c r="AC90" s="218" t="s">
        <v>541</v>
      </c>
      <c r="AD90" s="214" t="str">
        <f ca="1">IFERROR(OFFSET(DistanceToCamp[Nearest Town],MATCH(CampList[[#This Row],[CP_Pcode]],DistanceToCamp[CP_Pcode],0)-1,0,1,1),"")</f>
        <v/>
      </c>
      <c r="AE90" s="227" t="str">
        <f ca="1">IFERROR(OFFSET(DistanceToCamp[distance],MATCH(CampList[[#This Row],[CP_Pcode]],DistanceToCamp[CP_Pcode],0)-1,0,1,1),"")</f>
        <v/>
      </c>
      <c r="AF90" s="228" t="str">
        <f ca="1">IFERROR(INT(CampList[[#This Row],[Distance]]/5)+1,"")</f>
        <v/>
      </c>
    </row>
    <row r="91" spans="2:32" ht="15.75" hidden="1" customHeight="1" x14ac:dyDescent="0.25">
      <c r="B91" s="218" t="s">
        <v>776</v>
      </c>
      <c r="C91" s="212" t="s">
        <v>378</v>
      </c>
      <c r="D91" s="212" t="s">
        <v>478</v>
      </c>
      <c r="E91" s="212" t="s">
        <v>180</v>
      </c>
      <c r="F91" s="212" t="s">
        <v>479</v>
      </c>
      <c r="G91" s="212" t="s">
        <v>480</v>
      </c>
      <c r="H91" s="212" t="s">
        <v>481</v>
      </c>
      <c r="I91" s="226" t="s">
        <v>543</v>
      </c>
      <c r="J91" s="226" t="s">
        <v>544</v>
      </c>
      <c r="K91" s="226" t="s">
        <v>547</v>
      </c>
      <c r="L91" s="226" t="s">
        <v>548</v>
      </c>
      <c r="M91" s="212" t="s">
        <v>104</v>
      </c>
      <c r="N91" s="212" t="s">
        <v>103</v>
      </c>
      <c r="O91" s="219"/>
      <c r="P91" s="219"/>
      <c r="Q91" s="233"/>
      <c r="R91" s="302">
        <v>0</v>
      </c>
      <c r="S91" s="303">
        <v>0</v>
      </c>
      <c r="T91" s="222" t="str">
        <f>IF(CampList[[#This Row],[HH]]&gt;0,CampList[[#This Row],[Total]]/CampList[[#This Row],[HH]],"NA")</f>
        <v>NA</v>
      </c>
      <c r="U91" s="214" t="s">
        <v>464</v>
      </c>
      <c r="V91" s="214" t="s">
        <v>997</v>
      </c>
      <c r="W91" s="214" t="s">
        <v>507</v>
      </c>
      <c r="X91" s="214"/>
      <c r="Y91" s="234"/>
      <c r="Z91" s="224"/>
      <c r="AA91" s="239"/>
      <c r="AB91" s="243"/>
      <c r="AC91" s="218" t="s">
        <v>541</v>
      </c>
      <c r="AD91" s="214" t="str">
        <f ca="1">IFERROR(OFFSET(DistanceToCamp[Nearest Town],MATCH(CampList[[#This Row],[CP_Pcode]],DistanceToCamp[CP_Pcode],0)-1,0,1,1),"")</f>
        <v/>
      </c>
      <c r="AE91" s="227" t="str">
        <f ca="1">IFERROR(OFFSET(DistanceToCamp[distance],MATCH(CampList[[#This Row],[CP_Pcode]],DistanceToCamp[CP_Pcode],0)-1,0,1,1),"")</f>
        <v/>
      </c>
      <c r="AF91" s="228" t="str">
        <f ca="1">IFERROR(INT(CampList[[#This Row],[Distance]]/5)+1,"")</f>
        <v/>
      </c>
    </row>
    <row r="92" spans="2:32" ht="15.75" hidden="1" customHeight="1" x14ac:dyDescent="0.25">
      <c r="B92" s="218" t="s">
        <v>776</v>
      </c>
      <c r="C92" s="212" t="s">
        <v>378</v>
      </c>
      <c r="D92" s="212" t="s">
        <v>478</v>
      </c>
      <c r="E92" s="212" t="s">
        <v>180</v>
      </c>
      <c r="F92" s="212" t="s">
        <v>479</v>
      </c>
      <c r="G92" s="212" t="s">
        <v>480</v>
      </c>
      <c r="H92" s="212" t="s">
        <v>481</v>
      </c>
      <c r="I92" s="226" t="s">
        <v>543</v>
      </c>
      <c r="J92" s="226" t="s">
        <v>544</v>
      </c>
      <c r="K92" s="226" t="s">
        <v>547</v>
      </c>
      <c r="L92" s="226" t="s">
        <v>548</v>
      </c>
      <c r="M92" s="212" t="s">
        <v>68</v>
      </c>
      <c r="N92" s="212" t="s">
        <v>67</v>
      </c>
      <c r="O92" s="219"/>
      <c r="P92" s="219"/>
      <c r="Q92" s="233"/>
      <c r="R92" s="302">
        <v>0</v>
      </c>
      <c r="S92" s="303">
        <v>0</v>
      </c>
      <c r="T92" s="222" t="str">
        <f>IF(CampList[[#This Row],[HH]]&gt;0,CampList[[#This Row],[Total]]/CampList[[#This Row],[HH]],"NA")</f>
        <v>NA</v>
      </c>
      <c r="U92" s="214" t="s">
        <v>464</v>
      </c>
      <c r="V92" s="214" t="s">
        <v>997</v>
      </c>
      <c r="W92" s="214" t="s">
        <v>507</v>
      </c>
      <c r="X92" s="214"/>
      <c r="Y92" s="234"/>
      <c r="Z92" s="224"/>
      <c r="AA92" s="239"/>
      <c r="AB92" s="243"/>
      <c r="AC92" s="218" t="s">
        <v>541</v>
      </c>
      <c r="AD92" s="214" t="str">
        <f ca="1">IFERROR(OFFSET(DistanceToCamp[Nearest Town],MATCH(CampList[[#This Row],[CP_Pcode]],DistanceToCamp[CP_Pcode],0)-1,0,1,1),"")</f>
        <v/>
      </c>
      <c r="AE92" s="227" t="str">
        <f ca="1">IFERROR(OFFSET(DistanceToCamp[distance],MATCH(CampList[[#This Row],[CP_Pcode]],DistanceToCamp[CP_Pcode],0)-1,0,1,1),"")</f>
        <v/>
      </c>
      <c r="AF92" s="228" t="str">
        <f ca="1">IFERROR(INT(CampList[[#This Row],[Distance]]/5)+1,"")</f>
        <v/>
      </c>
    </row>
    <row r="93" spans="2:32" ht="15.75" customHeight="1" x14ac:dyDescent="0.25">
      <c r="B93" s="239" t="s">
        <v>460</v>
      </c>
      <c r="C93" s="212" t="s">
        <v>378</v>
      </c>
      <c r="D93" s="212" t="s">
        <v>478</v>
      </c>
      <c r="E93" s="212" t="s">
        <v>237</v>
      </c>
      <c r="F93" s="212" t="s">
        <v>484</v>
      </c>
      <c r="G93" s="212" t="s">
        <v>309</v>
      </c>
      <c r="H93" s="212" t="s">
        <v>485</v>
      </c>
      <c r="I93" s="212" t="s">
        <v>963</v>
      </c>
      <c r="J93" s="212" t="s">
        <v>1039</v>
      </c>
      <c r="K93" s="212" t="s">
        <v>606</v>
      </c>
      <c r="L93" s="212">
        <v>165745</v>
      </c>
      <c r="M93" s="212" t="s">
        <v>342</v>
      </c>
      <c r="N93" s="212" t="s">
        <v>341</v>
      </c>
      <c r="O93" s="219">
        <v>97.345039</v>
      </c>
      <c r="P93" s="219">
        <v>25.351965</v>
      </c>
      <c r="Q93" s="220"/>
      <c r="R93" s="292">
        <v>20</v>
      </c>
      <c r="S93" s="292">
        <v>86</v>
      </c>
      <c r="T93" s="222">
        <f>IF(CampList[[#This Row],[HH]]&gt;0,CampList[[#This Row],[Total]]/CampList[[#This Row],[HH]],"NA")</f>
        <v>4.3</v>
      </c>
      <c r="U93" s="214" t="s">
        <v>464</v>
      </c>
      <c r="V93" s="214" t="s">
        <v>997</v>
      </c>
      <c r="W93" s="214" t="s">
        <v>507</v>
      </c>
      <c r="X93" s="214" t="s">
        <v>785</v>
      </c>
      <c r="Y93" s="331">
        <v>41030</v>
      </c>
      <c r="Z93" s="223" t="s">
        <v>462</v>
      </c>
      <c r="AA93" s="212" t="s">
        <v>775</v>
      </c>
      <c r="AB93" s="225">
        <v>43220</v>
      </c>
      <c r="AC93" s="226" t="s">
        <v>1689</v>
      </c>
      <c r="AD93" s="214" t="str">
        <f ca="1">IFERROR(OFFSET(DistanceToCamp[Nearest Town],MATCH(CampList[[#This Row],[CP_Pcode]],DistanceToCamp[CP_Pcode],0)-1,0,1,1),"")</f>
        <v>Myitkyina Town</v>
      </c>
      <c r="AE93" s="227">
        <f ca="1">IFERROR(OFFSET(DistanceToCamp[distance],MATCH(CampList[[#This Row],[CP_Pcode]],DistanceToCamp[CP_Pcode],0)-1,0,1,1),"")</f>
        <v>6.0275881703713861</v>
      </c>
      <c r="AF93" s="228">
        <f ca="1">IFERROR(INT(CampList[[#This Row],[Distance]]/5)+1,"")</f>
        <v>2</v>
      </c>
    </row>
    <row r="94" spans="2:32" ht="15.75" customHeight="1" x14ac:dyDescent="0.25">
      <c r="B94" s="239" t="s">
        <v>460</v>
      </c>
      <c r="C94" s="212" t="s">
        <v>378</v>
      </c>
      <c r="D94" s="212" t="s">
        <v>478</v>
      </c>
      <c r="E94" s="212" t="s">
        <v>237</v>
      </c>
      <c r="F94" s="212" t="s">
        <v>484</v>
      </c>
      <c r="G94" s="212" t="s">
        <v>309</v>
      </c>
      <c r="H94" s="212" t="s">
        <v>485</v>
      </c>
      <c r="I94" s="212" t="s">
        <v>710</v>
      </c>
      <c r="J94" s="212" t="s">
        <v>709</v>
      </c>
      <c r="K94" s="230" t="s">
        <v>1099</v>
      </c>
      <c r="L94" s="230"/>
      <c r="M94" s="212" t="s">
        <v>335</v>
      </c>
      <c r="N94" s="212" t="s">
        <v>334</v>
      </c>
      <c r="O94" s="219">
        <v>97.807182999999995</v>
      </c>
      <c r="P94" s="219">
        <v>25.200333000000001</v>
      </c>
      <c r="Q94" s="220">
        <v>1023</v>
      </c>
      <c r="R94" s="292">
        <v>154</v>
      </c>
      <c r="S94" s="292">
        <v>919</v>
      </c>
      <c r="T94" s="222">
        <f>IF(CampList[[#This Row],[HH]]&gt;0,CampList[[#This Row],[Total]]/CampList[[#This Row],[HH]],"NA")</f>
        <v>5.9675324675324672</v>
      </c>
      <c r="U94" s="214" t="s">
        <v>466</v>
      </c>
      <c r="V94" s="214" t="s">
        <v>997</v>
      </c>
      <c r="W94" s="214" t="s">
        <v>507</v>
      </c>
      <c r="X94" s="214" t="s">
        <v>785</v>
      </c>
      <c r="Y94" s="331">
        <v>40878</v>
      </c>
      <c r="Z94" s="223" t="s">
        <v>424</v>
      </c>
      <c r="AA94" s="239" t="s">
        <v>775</v>
      </c>
      <c r="AB94" s="225">
        <v>43220</v>
      </c>
      <c r="AC94" s="218" t="s">
        <v>1731</v>
      </c>
      <c r="AD94" s="214" t="str">
        <f ca="1">IFERROR(OFFSET(DistanceToCamp[Nearest Town],MATCH(CampList[[#This Row],[CP_Pcode]],DistanceToCamp[CP_Pcode],0)-1,0,1,1),"")</f>
        <v>Sadung Town</v>
      </c>
      <c r="AE94" s="227">
        <f ca="1">IFERROR(OFFSET(DistanceToCamp[distance],MATCH(CampList[[#This Row],[CP_Pcode]],DistanceToCamp[CP_Pcode],0)-1,0,1,1),"")</f>
        <v>21.287604662770121</v>
      </c>
      <c r="AF94" s="228">
        <f ca="1">IFERROR(INT(CampList[[#This Row],[Distance]]/5)+1,"")</f>
        <v>5</v>
      </c>
    </row>
    <row r="95" spans="2:32" ht="15.75" hidden="1" customHeight="1" x14ac:dyDescent="0.25">
      <c r="B95" s="218" t="s">
        <v>776</v>
      </c>
      <c r="C95" s="212" t="s">
        <v>506</v>
      </c>
      <c r="D95" s="212" t="s">
        <v>489</v>
      </c>
      <c r="E95" s="212" t="s">
        <v>230</v>
      </c>
      <c r="F95" s="212" t="s">
        <v>490</v>
      </c>
      <c r="G95" s="212" t="s">
        <v>230</v>
      </c>
      <c r="H95" s="212" t="s">
        <v>491</v>
      </c>
      <c r="I95" s="212" t="s">
        <v>235</v>
      </c>
      <c r="J95" s="212" t="s">
        <v>964</v>
      </c>
      <c r="K95" s="212" t="s">
        <v>235</v>
      </c>
      <c r="L95" s="212"/>
      <c r="M95" s="212" t="s">
        <v>235</v>
      </c>
      <c r="N95" s="212" t="s">
        <v>234</v>
      </c>
      <c r="O95" s="219">
        <v>98.054946000000001</v>
      </c>
      <c r="P95" s="219">
        <v>24.008452999999999</v>
      </c>
      <c r="Q95" s="233">
        <v>3396</v>
      </c>
      <c r="R95" s="196"/>
      <c r="S95" s="310"/>
      <c r="T95" s="222" t="str">
        <f>IF(CampList[[#This Row],[HH]]&gt;0,CampList[[#This Row],[Total]]/CampList[[#This Row],[HH]],"NA")</f>
        <v>NA</v>
      </c>
      <c r="U95" s="214" t="s">
        <v>466</v>
      </c>
      <c r="V95" s="214" t="s">
        <v>997</v>
      </c>
      <c r="W95" s="214" t="s">
        <v>12</v>
      </c>
      <c r="X95" s="214" t="s">
        <v>785</v>
      </c>
      <c r="Y95" s="234"/>
      <c r="Z95" s="224"/>
      <c r="AA95" s="212" t="s">
        <v>522</v>
      </c>
      <c r="AB95" s="225">
        <v>42831</v>
      </c>
      <c r="AC95" s="218" t="s">
        <v>1232</v>
      </c>
      <c r="AD95" s="214" t="str">
        <f ca="1">IFERROR(OFFSET(DistanceToCamp[Nearest Town],MATCH(CampList[[#This Row],[CP_Pcode]],DistanceToCamp[CP_Pcode],0)-1,0,1,1),"")</f>
        <v>Pang Hseng (Kyu Koke) Town</v>
      </c>
      <c r="AE95" s="227">
        <f ca="1">IFERROR(OFFSET(DistanceToCamp[distance],MATCH(CampList[[#This Row],[CP_Pcode]],DistanceToCamp[CP_Pcode],0)-1,0,1,1),"")</f>
        <v>7.490291417449443</v>
      </c>
      <c r="AF95" s="228">
        <f ca="1">IFERROR(INT(CampList[[#This Row],[Distance]]/5)+1,"")</f>
        <v>2</v>
      </c>
    </row>
    <row r="96" spans="2:32" ht="15.75" hidden="1" customHeight="1" x14ac:dyDescent="0.25">
      <c r="B96" s="218" t="s">
        <v>776</v>
      </c>
      <c r="C96" s="212" t="s">
        <v>378</v>
      </c>
      <c r="D96" s="212" t="s">
        <v>478</v>
      </c>
      <c r="E96" s="212" t="s">
        <v>180</v>
      </c>
      <c r="F96" s="212" t="s">
        <v>479</v>
      </c>
      <c r="G96" s="212" t="s">
        <v>480</v>
      </c>
      <c r="H96" s="212" t="s">
        <v>481</v>
      </c>
      <c r="I96" s="226" t="s">
        <v>543</v>
      </c>
      <c r="J96" s="226" t="s">
        <v>544</v>
      </c>
      <c r="K96" s="226" t="s">
        <v>639</v>
      </c>
      <c r="L96" s="226" t="s">
        <v>640</v>
      </c>
      <c r="M96" s="212" t="s">
        <v>50</v>
      </c>
      <c r="N96" s="212" t="s">
        <v>49</v>
      </c>
      <c r="O96" s="219"/>
      <c r="P96" s="219"/>
      <c r="Q96" s="233"/>
      <c r="R96" s="302"/>
      <c r="S96" s="303"/>
      <c r="T96" s="222" t="str">
        <f>IF(CampList[[#This Row],[HH]]&gt;0,CampList[[#This Row],[Total]]/CampList[[#This Row],[HH]],"NA")</f>
        <v>NA</v>
      </c>
      <c r="U96" s="214" t="s">
        <v>464</v>
      </c>
      <c r="V96" s="214" t="s">
        <v>997</v>
      </c>
      <c r="W96" s="214" t="s">
        <v>507</v>
      </c>
      <c r="X96" s="214"/>
      <c r="Y96" s="234"/>
      <c r="Z96" s="224"/>
      <c r="AA96" s="239"/>
      <c r="AB96" s="243"/>
      <c r="AC96" s="218" t="s">
        <v>541</v>
      </c>
      <c r="AD96" s="214" t="str">
        <f ca="1">IFERROR(OFFSET(DistanceToCamp[Nearest Town],MATCH(CampList[[#This Row],[CP_Pcode]],DistanceToCamp[CP_Pcode],0)-1,0,1,1),"")</f>
        <v/>
      </c>
      <c r="AE96" s="227" t="str">
        <f ca="1">IFERROR(OFFSET(DistanceToCamp[distance],MATCH(CampList[[#This Row],[CP_Pcode]],DistanceToCamp[CP_Pcode],0)-1,0,1,1),"")</f>
        <v/>
      </c>
      <c r="AF96" s="228" t="str">
        <f ca="1">IFERROR(INT(CampList[[#This Row],[Distance]]/5)+1,"")</f>
        <v/>
      </c>
    </row>
    <row r="97" spans="2:32" ht="15.75" customHeight="1" x14ac:dyDescent="0.25">
      <c r="B97" s="239" t="s">
        <v>460</v>
      </c>
      <c r="C97" s="212" t="s">
        <v>378</v>
      </c>
      <c r="D97" s="212" t="s">
        <v>478</v>
      </c>
      <c r="E97" s="212" t="s">
        <v>237</v>
      </c>
      <c r="F97" s="212" t="s">
        <v>484</v>
      </c>
      <c r="G97" s="212" t="s">
        <v>309</v>
      </c>
      <c r="H97" s="212" t="s">
        <v>485</v>
      </c>
      <c r="I97" s="212" t="s">
        <v>695</v>
      </c>
      <c r="J97" s="212" t="s">
        <v>696</v>
      </c>
      <c r="K97" s="229" t="s">
        <v>1123</v>
      </c>
      <c r="L97" s="229">
        <v>165792</v>
      </c>
      <c r="M97" s="212" t="s">
        <v>1032</v>
      </c>
      <c r="N97" s="212" t="s">
        <v>343</v>
      </c>
      <c r="O97" s="219">
        <v>97.751389000000003</v>
      </c>
      <c r="P97" s="219">
        <v>24.831944</v>
      </c>
      <c r="Q97" s="220">
        <v>2330</v>
      </c>
      <c r="R97" s="292">
        <v>163</v>
      </c>
      <c r="S97" s="292">
        <v>909</v>
      </c>
      <c r="T97" s="222">
        <f>IF(CampList[[#This Row],[HH]]&gt;0,CampList[[#This Row],[Total]]/CampList[[#This Row],[HH]],"NA")</f>
        <v>5.5766871165644174</v>
      </c>
      <c r="U97" s="214" t="s">
        <v>466</v>
      </c>
      <c r="V97" s="214" t="s">
        <v>997</v>
      </c>
      <c r="W97" s="214" t="s">
        <v>507</v>
      </c>
      <c r="X97" s="214" t="s">
        <v>785</v>
      </c>
      <c r="Y97" s="331">
        <v>40725</v>
      </c>
      <c r="Z97" s="223" t="s">
        <v>424</v>
      </c>
      <c r="AA97" s="212" t="s">
        <v>775</v>
      </c>
      <c r="AB97" s="225">
        <v>43220</v>
      </c>
      <c r="AC97" s="226" t="s">
        <v>1732</v>
      </c>
      <c r="AD97" s="214" t="str">
        <f ca="1">IFERROR(OFFSET(DistanceToCamp[Nearest Town],MATCH(CampList[[#This Row],[CP_Pcode]],DistanceToCamp[CP_Pcode],0)-1,0,1,1),"")</f>
        <v>Laiza town</v>
      </c>
      <c r="AE97" s="227">
        <f ca="1">IFERROR(OFFSET(DistanceToCamp[distance],MATCH(CampList[[#This Row],[CP_Pcode]],DistanceToCamp[CP_Pcode],0)-1,0,1,1),"")</f>
        <v>20.599512012485512</v>
      </c>
      <c r="AF97" s="228">
        <f ca="1">IFERROR(INT(CampList[[#This Row],[Distance]]/5)+1,"")</f>
        <v>5</v>
      </c>
    </row>
    <row r="98" spans="2:32" ht="15.75" hidden="1" customHeight="1" x14ac:dyDescent="0.25">
      <c r="B98" s="218" t="s">
        <v>776</v>
      </c>
      <c r="C98" s="212" t="s">
        <v>378</v>
      </c>
      <c r="D98" s="212" t="s">
        <v>478</v>
      </c>
      <c r="E98" s="212" t="s">
        <v>180</v>
      </c>
      <c r="F98" s="212" t="s">
        <v>479</v>
      </c>
      <c r="G98" s="212" t="s">
        <v>480</v>
      </c>
      <c r="H98" s="212" t="s">
        <v>481</v>
      </c>
      <c r="I98" s="226" t="s">
        <v>543</v>
      </c>
      <c r="J98" s="226" t="s">
        <v>544</v>
      </c>
      <c r="K98" s="226" t="s">
        <v>641</v>
      </c>
      <c r="L98" s="226" t="s">
        <v>642</v>
      </c>
      <c r="M98" s="212" t="s">
        <v>66</v>
      </c>
      <c r="N98" s="212" t="s">
        <v>65</v>
      </c>
      <c r="O98" s="219"/>
      <c r="P98" s="219"/>
      <c r="Q98" s="233"/>
      <c r="R98" s="302">
        <v>0</v>
      </c>
      <c r="S98" s="303">
        <v>0</v>
      </c>
      <c r="T98" s="222" t="str">
        <f>IF(CampList[[#This Row],[HH]]&gt;0,CampList[[#This Row],[Total]]/CampList[[#This Row],[HH]],"NA")</f>
        <v>NA</v>
      </c>
      <c r="U98" s="214" t="s">
        <v>464</v>
      </c>
      <c r="V98" s="214" t="s">
        <v>997</v>
      </c>
      <c r="W98" s="214" t="s">
        <v>507</v>
      </c>
      <c r="X98" s="214"/>
      <c r="Y98" s="234"/>
      <c r="Z98" s="224"/>
      <c r="AA98" s="239"/>
      <c r="AB98" s="243"/>
      <c r="AC98" s="218" t="s">
        <v>541</v>
      </c>
      <c r="AD98" s="214" t="str">
        <f ca="1">IFERROR(OFFSET(DistanceToCamp[Nearest Town],MATCH(CampList[[#This Row],[CP_Pcode]],DistanceToCamp[CP_Pcode],0)-1,0,1,1),"")</f>
        <v/>
      </c>
      <c r="AE98" s="227" t="str">
        <f ca="1">IFERROR(OFFSET(DistanceToCamp[distance],MATCH(CampList[[#This Row],[CP_Pcode]],DistanceToCamp[CP_Pcode],0)-1,0,1,1),"")</f>
        <v/>
      </c>
      <c r="AF98" s="228" t="str">
        <f ca="1">IFERROR(INT(CampList[[#This Row],[Distance]]/5)+1,"")</f>
        <v/>
      </c>
    </row>
    <row r="99" spans="2:32" ht="15.75" customHeight="1" x14ac:dyDescent="0.25">
      <c r="B99" s="218" t="s">
        <v>460</v>
      </c>
      <c r="C99" s="212" t="s">
        <v>378</v>
      </c>
      <c r="D99" s="212" t="s">
        <v>478</v>
      </c>
      <c r="E99" s="212" t="s">
        <v>5</v>
      </c>
      <c r="F99" s="212" t="s">
        <v>482</v>
      </c>
      <c r="G99" s="212" t="s">
        <v>151</v>
      </c>
      <c r="H99" s="212" t="s">
        <v>492</v>
      </c>
      <c r="I99" s="226" t="s">
        <v>600</v>
      </c>
      <c r="J99" s="226" t="s">
        <v>601</v>
      </c>
      <c r="K99" s="226" t="s">
        <v>600</v>
      </c>
      <c r="L99" s="238">
        <v>167405</v>
      </c>
      <c r="M99" s="212" t="s">
        <v>160</v>
      </c>
      <c r="N99" s="212" t="s">
        <v>159</v>
      </c>
      <c r="O99" s="219">
        <v>97.589979999999997</v>
      </c>
      <c r="P99" s="219">
        <v>23.83013</v>
      </c>
      <c r="Q99" s="220">
        <v>741</v>
      </c>
      <c r="R99" s="292">
        <v>127</v>
      </c>
      <c r="S99" s="292">
        <v>649</v>
      </c>
      <c r="T99" s="222">
        <f>IF(CampList[[#This Row],[HH]]&gt;0,CampList[[#This Row],[Total]]/CampList[[#This Row],[HH]],"NA")</f>
        <v>5.1102362204724407</v>
      </c>
      <c r="U99" s="214" t="s">
        <v>464</v>
      </c>
      <c r="V99" s="214" t="s">
        <v>997</v>
      </c>
      <c r="W99" s="214" t="s">
        <v>507</v>
      </c>
      <c r="X99" s="214" t="s">
        <v>785</v>
      </c>
      <c r="Y99" s="331">
        <v>40940</v>
      </c>
      <c r="Z99" s="223" t="s">
        <v>424</v>
      </c>
      <c r="AA99" s="239" t="s">
        <v>775</v>
      </c>
      <c r="AB99" s="225">
        <v>43220</v>
      </c>
      <c r="AC99" s="226" t="s">
        <v>1733</v>
      </c>
      <c r="AD99" s="214" t="str">
        <f ca="1">IFERROR(OFFSET(DistanceToCamp[Nearest Town],MATCH(CampList[[#This Row],[CP_Pcode]],DistanceToCamp[CP_Pcode],0)-1,0,1,1),"")</f>
        <v>Namhkan Town</v>
      </c>
      <c r="AE99" s="227">
        <f ca="1">IFERROR(OFFSET(DistanceToCamp[distance],MATCH(CampList[[#This Row],[CP_Pcode]],DistanceToCamp[CP_Pcode],0)-1,0,1,1),"")</f>
        <v>9.3704379947870464</v>
      </c>
      <c r="AF99" s="228">
        <f ca="1">IFERROR(INT(CampList[[#This Row],[Distance]]/5)+1,"")</f>
        <v>2</v>
      </c>
    </row>
    <row r="100" spans="2:32" ht="15.75" hidden="1" customHeight="1" x14ac:dyDescent="0.25">
      <c r="B100" s="218" t="s">
        <v>776</v>
      </c>
      <c r="C100" s="212" t="s">
        <v>378</v>
      </c>
      <c r="D100" s="212" t="s">
        <v>478</v>
      </c>
      <c r="E100" s="212" t="s">
        <v>180</v>
      </c>
      <c r="F100" s="212" t="s">
        <v>479</v>
      </c>
      <c r="G100" s="212" t="s">
        <v>480</v>
      </c>
      <c r="H100" s="212" t="s">
        <v>481</v>
      </c>
      <c r="I100" s="226" t="s">
        <v>543</v>
      </c>
      <c r="J100" s="226" t="s">
        <v>544</v>
      </c>
      <c r="K100" s="226" t="s">
        <v>641</v>
      </c>
      <c r="L100" s="226" t="s">
        <v>642</v>
      </c>
      <c r="M100" s="212" t="s">
        <v>54</v>
      </c>
      <c r="N100" s="212" t="s">
        <v>53</v>
      </c>
      <c r="O100" s="219">
        <v>96.310928000000004</v>
      </c>
      <c r="P100" s="219">
        <v>25.609179999999999</v>
      </c>
      <c r="Q100" s="233"/>
      <c r="R100" s="302">
        <v>0</v>
      </c>
      <c r="S100" s="303">
        <v>0</v>
      </c>
      <c r="T100" s="222" t="str">
        <f>IF(CampList[[#This Row],[HH]]&gt;0,CampList[[#This Row],[Total]]/CampList[[#This Row],[HH]],"NA")</f>
        <v>NA</v>
      </c>
      <c r="U100" s="214" t="s">
        <v>464</v>
      </c>
      <c r="V100" s="214" t="s">
        <v>997</v>
      </c>
      <c r="W100" s="214" t="s">
        <v>507</v>
      </c>
      <c r="X100" s="214"/>
      <c r="Y100" s="234"/>
      <c r="Z100" s="224"/>
      <c r="AA100" s="239"/>
      <c r="AB100" s="243"/>
      <c r="AC100" s="218" t="s">
        <v>541</v>
      </c>
      <c r="AD100" s="214" t="str">
        <f ca="1">IFERROR(OFFSET(DistanceToCamp[Nearest Town],MATCH(CampList[[#This Row],[CP_Pcode]],DistanceToCamp[CP_Pcode],0)-1,0,1,1),"")</f>
        <v/>
      </c>
      <c r="AE100" s="227" t="str">
        <f ca="1">IFERROR(OFFSET(DistanceToCamp[distance],MATCH(CampList[[#This Row],[CP_Pcode]],DistanceToCamp[CP_Pcode],0)-1,0,1,1),"")</f>
        <v/>
      </c>
      <c r="AF100" s="228" t="str">
        <f ca="1">IFERROR(INT(CampList[[#This Row],[Distance]]/5)+1,"")</f>
        <v/>
      </c>
    </row>
    <row r="101" spans="2:32" ht="15.75" customHeight="1" x14ac:dyDescent="0.25">
      <c r="B101" s="218" t="s">
        <v>460</v>
      </c>
      <c r="C101" s="212" t="s">
        <v>378</v>
      </c>
      <c r="D101" s="212" t="s">
        <v>478</v>
      </c>
      <c r="E101" s="212" t="s">
        <v>180</v>
      </c>
      <c r="F101" s="212" t="s">
        <v>479</v>
      </c>
      <c r="G101" s="212" t="s">
        <v>480</v>
      </c>
      <c r="H101" s="212" t="s">
        <v>481</v>
      </c>
      <c r="I101" s="212" t="s">
        <v>961</v>
      </c>
      <c r="J101" s="212" t="s">
        <v>1041</v>
      </c>
      <c r="K101" s="212" t="s">
        <v>1100</v>
      </c>
      <c r="L101" s="238">
        <v>220512</v>
      </c>
      <c r="M101" s="212" t="s">
        <v>88</v>
      </c>
      <c r="N101" s="212" t="s">
        <v>87</v>
      </c>
      <c r="O101" s="219">
        <v>96.705960000000005</v>
      </c>
      <c r="P101" s="219">
        <v>25.51352</v>
      </c>
      <c r="Q101" s="220">
        <v>0</v>
      </c>
      <c r="R101" s="292">
        <v>13</v>
      </c>
      <c r="S101" s="292">
        <v>46</v>
      </c>
      <c r="T101" s="222">
        <f>IF(CampList[[#This Row],[HH]]&gt;0,CampList[[#This Row],[Total]]/CampList[[#This Row],[HH]],"NA")</f>
        <v>3.5384615384615383</v>
      </c>
      <c r="U101" s="214" t="s">
        <v>464</v>
      </c>
      <c r="V101" s="214" t="s">
        <v>997</v>
      </c>
      <c r="W101" s="214" t="s">
        <v>507</v>
      </c>
      <c r="X101" s="214" t="s">
        <v>742</v>
      </c>
      <c r="Y101" s="331">
        <v>41183</v>
      </c>
      <c r="Z101" s="223" t="s">
        <v>424</v>
      </c>
      <c r="AA101" s="239" t="s">
        <v>775</v>
      </c>
      <c r="AB101" s="225">
        <v>43220</v>
      </c>
      <c r="AC101" s="218" t="s">
        <v>1734</v>
      </c>
      <c r="AD101" s="214" t="str">
        <f ca="1">IFERROR(OFFSET(DistanceToCamp[Nearest Town],MATCH(CampList[[#This Row],[CP_Pcode]],DistanceToCamp[CP_Pcode],0)-1,0,1,1),"")</f>
        <v>Kamaing Town</v>
      </c>
      <c r="AE101" s="227">
        <f ca="1">IFERROR(OFFSET(DistanceToCamp[distance],MATCH(CampList[[#This Row],[CP_Pcode]],DistanceToCamp[CP_Pcode],0)-1,0,1,1),"")</f>
        <v>1.1537462444167914</v>
      </c>
      <c r="AF101" s="228">
        <f ca="1">IFERROR(INT(CampList[[#This Row],[Distance]]/5)+1,"")</f>
        <v>1</v>
      </c>
    </row>
    <row r="102" spans="2:32" ht="15.75" hidden="1" customHeight="1" x14ac:dyDescent="0.25">
      <c r="B102" s="218" t="s">
        <v>776</v>
      </c>
      <c r="C102" s="212" t="s">
        <v>506</v>
      </c>
      <c r="D102" s="212" t="s">
        <v>489</v>
      </c>
      <c r="E102" s="212" t="s">
        <v>230</v>
      </c>
      <c r="F102" s="212" t="s">
        <v>495</v>
      </c>
      <c r="G102" s="212" t="s">
        <v>230</v>
      </c>
      <c r="H102" s="212" t="s">
        <v>496</v>
      </c>
      <c r="I102" s="212" t="s">
        <v>923</v>
      </c>
      <c r="J102" s="212" t="s">
        <v>924</v>
      </c>
      <c r="K102" s="212" t="s">
        <v>925</v>
      </c>
      <c r="L102" s="212"/>
      <c r="M102" s="212" t="s">
        <v>169</v>
      </c>
      <c r="N102" s="212" t="s">
        <v>168</v>
      </c>
      <c r="O102" s="219">
        <v>98.116817999999995</v>
      </c>
      <c r="P102" s="219">
        <v>23.917631</v>
      </c>
      <c r="Q102" s="233"/>
      <c r="R102" s="302"/>
      <c r="S102" s="303"/>
      <c r="T102" s="222" t="str">
        <f>IF(CampList[[#This Row],[HH]]&gt;0,CampList[[#This Row],[Total]]/CampList[[#This Row],[HH]],"NA")</f>
        <v>NA</v>
      </c>
      <c r="U102" s="214" t="s">
        <v>464</v>
      </c>
      <c r="V102" s="214" t="s">
        <v>997</v>
      </c>
      <c r="W102" s="214" t="s">
        <v>12</v>
      </c>
      <c r="X102" s="214" t="s">
        <v>785</v>
      </c>
      <c r="Y102" s="234"/>
      <c r="Z102" s="224"/>
      <c r="AA102" s="239" t="s">
        <v>775</v>
      </c>
      <c r="AB102" s="225">
        <v>42831</v>
      </c>
      <c r="AC102" s="218" t="s">
        <v>1231</v>
      </c>
      <c r="AD102" s="214" t="str">
        <f ca="1">IFERROR(OFFSET(DistanceToCamp[Nearest Town],MATCH(CampList[[#This Row],[CP_Pcode]],DistanceToCamp[CP_Pcode],0)-1,0,1,1),"")</f>
        <v>Pang Hseng (Kyu Koke) Town</v>
      </c>
      <c r="AE102" s="227">
        <f ca="1">IFERROR(OFFSET(DistanceToCamp[distance],MATCH(CampList[[#This Row],[CP_Pcode]],DistanceToCamp[CP_Pcode],0)-1,0,1,1),"")</f>
        <v>18.405283544772924</v>
      </c>
      <c r="AF102" s="228">
        <f ca="1">IFERROR(INT(CampList[[#This Row],[Distance]]/5)+1,"")</f>
        <v>4</v>
      </c>
    </row>
    <row r="103" spans="2:32" ht="15.75" hidden="1" customHeight="1" x14ac:dyDescent="0.25">
      <c r="B103" s="218" t="s">
        <v>776</v>
      </c>
      <c r="C103" s="212" t="s">
        <v>378</v>
      </c>
      <c r="D103" s="212" t="s">
        <v>478</v>
      </c>
      <c r="E103" s="212" t="s">
        <v>180</v>
      </c>
      <c r="F103" s="212" t="s">
        <v>479</v>
      </c>
      <c r="G103" s="212" t="s">
        <v>480</v>
      </c>
      <c r="H103" s="212" t="s">
        <v>481</v>
      </c>
      <c r="I103" s="226" t="s">
        <v>543</v>
      </c>
      <c r="J103" s="226" t="s">
        <v>544</v>
      </c>
      <c r="K103" s="226" t="s">
        <v>641</v>
      </c>
      <c r="L103" s="226" t="s">
        <v>642</v>
      </c>
      <c r="M103" s="212" t="s">
        <v>116</v>
      </c>
      <c r="N103" s="212" t="s">
        <v>115</v>
      </c>
      <c r="O103" s="219"/>
      <c r="P103" s="219"/>
      <c r="Q103" s="233"/>
      <c r="R103" s="302">
        <v>0</v>
      </c>
      <c r="S103" s="303">
        <v>0</v>
      </c>
      <c r="T103" s="222" t="str">
        <f>IF(CampList[[#This Row],[HH]]&gt;0,CampList[[#This Row],[Total]]/CampList[[#This Row],[HH]],"NA")</f>
        <v>NA</v>
      </c>
      <c r="U103" s="214" t="s">
        <v>464</v>
      </c>
      <c r="V103" s="214" t="s">
        <v>997</v>
      </c>
      <c r="W103" s="214" t="s">
        <v>507</v>
      </c>
      <c r="X103" s="214"/>
      <c r="Y103" s="234"/>
      <c r="Z103" s="224"/>
      <c r="AA103" s="239"/>
      <c r="AB103" s="243"/>
      <c r="AC103" s="218" t="s">
        <v>541</v>
      </c>
      <c r="AD103" s="214" t="str">
        <f ca="1">IFERROR(OFFSET(DistanceToCamp[Nearest Town],MATCH(CampList[[#This Row],[CP_Pcode]],DistanceToCamp[CP_Pcode],0)-1,0,1,1),"")</f>
        <v/>
      </c>
      <c r="AE103" s="227" t="str">
        <f ca="1">IFERROR(OFFSET(DistanceToCamp[distance],MATCH(CampList[[#This Row],[CP_Pcode]],DistanceToCamp[CP_Pcode],0)-1,0,1,1),"")</f>
        <v/>
      </c>
      <c r="AF103" s="228" t="str">
        <f ca="1">IFERROR(INT(CampList[[#This Row],[Distance]]/5)+1,"")</f>
        <v/>
      </c>
    </row>
    <row r="104" spans="2:32" ht="15.75" hidden="1" customHeight="1" x14ac:dyDescent="0.25">
      <c r="B104" s="218" t="s">
        <v>776</v>
      </c>
      <c r="C104" s="212" t="s">
        <v>506</v>
      </c>
      <c r="D104" s="212" t="s">
        <v>489</v>
      </c>
      <c r="E104" s="212" t="s">
        <v>230</v>
      </c>
      <c r="F104" s="212" t="s">
        <v>495</v>
      </c>
      <c r="G104" s="212" t="s">
        <v>230</v>
      </c>
      <c r="H104" s="212" t="s">
        <v>496</v>
      </c>
      <c r="I104" s="212" t="s">
        <v>920</v>
      </c>
      <c r="J104" s="212" t="s">
        <v>921</v>
      </c>
      <c r="K104" s="212" t="s">
        <v>922</v>
      </c>
      <c r="L104" s="212">
        <v>208167</v>
      </c>
      <c r="M104" s="212" t="s">
        <v>171</v>
      </c>
      <c r="N104" s="212" t="s">
        <v>170</v>
      </c>
      <c r="O104" s="219">
        <v>98.129380999999995</v>
      </c>
      <c r="P104" s="219">
        <v>23.978088</v>
      </c>
      <c r="Q104" s="233"/>
      <c r="R104" s="302"/>
      <c r="S104" s="303"/>
      <c r="T104" s="222" t="str">
        <f>IF(CampList[[#This Row],[HH]]&gt;0,CampList[[#This Row],[Total]]/CampList[[#This Row],[HH]],"NA")</f>
        <v>NA</v>
      </c>
      <c r="U104" s="214" t="s">
        <v>464</v>
      </c>
      <c r="V104" s="214" t="s">
        <v>997</v>
      </c>
      <c r="W104" s="214" t="s">
        <v>12</v>
      </c>
      <c r="X104" s="214" t="s">
        <v>785</v>
      </c>
      <c r="Y104" s="234"/>
      <c r="Z104" s="224"/>
      <c r="AA104" s="239" t="s">
        <v>775</v>
      </c>
      <c r="AB104" s="225">
        <v>42831</v>
      </c>
      <c r="AC104" s="218" t="s">
        <v>1231</v>
      </c>
      <c r="AD104" s="214" t="str">
        <f ca="1">IFERROR(OFFSET(DistanceToCamp[Nearest Town],MATCH(CampList[[#This Row],[CP_Pcode]],DistanceToCamp[CP_Pcode],0)-1,0,1,1),"")</f>
        <v>Pang Hseng (Kyu Koke) Town</v>
      </c>
      <c r="AE104" s="227">
        <f ca="1">IFERROR(OFFSET(DistanceToCamp[distance],MATCH(CampList[[#This Row],[CP_Pcode]],DistanceToCamp[CP_Pcode],0)-1,0,1,1),"")</f>
        <v>12.794700705104317</v>
      </c>
      <c r="AF104" s="228">
        <f ca="1">IFERROR(INT(CampList[[#This Row],[Distance]]/5)+1,"")</f>
        <v>3</v>
      </c>
    </row>
    <row r="105" spans="2:32" ht="15.75" hidden="1" customHeight="1" x14ac:dyDescent="0.25">
      <c r="B105" s="218" t="s">
        <v>776</v>
      </c>
      <c r="C105" s="212" t="s">
        <v>378</v>
      </c>
      <c r="D105" s="212" t="s">
        <v>478</v>
      </c>
      <c r="E105" s="212" t="s">
        <v>180</v>
      </c>
      <c r="F105" s="212" t="s">
        <v>479</v>
      </c>
      <c r="G105" s="212" t="s">
        <v>480</v>
      </c>
      <c r="H105" s="212" t="s">
        <v>481</v>
      </c>
      <c r="I105" s="226" t="s">
        <v>543</v>
      </c>
      <c r="J105" s="226" t="s">
        <v>544</v>
      </c>
      <c r="K105" s="226" t="s">
        <v>641</v>
      </c>
      <c r="L105" s="226" t="s">
        <v>642</v>
      </c>
      <c r="M105" s="212" t="s">
        <v>80</v>
      </c>
      <c r="N105" s="212" t="s">
        <v>79</v>
      </c>
      <c r="O105" s="219"/>
      <c r="P105" s="219"/>
      <c r="Q105" s="233"/>
      <c r="R105" s="302">
        <v>0</v>
      </c>
      <c r="S105" s="303">
        <v>0</v>
      </c>
      <c r="T105" s="222" t="str">
        <f>IF(CampList[[#This Row],[HH]]&gt;0,CampList[[#This Row],[Total]]/CampList[[#This Row],[HH]],"NA")</f>
        <v>NA</v>
      </c>
      <c r="U105" s="214" t="s">
        <v>464</v>
      </c>
      <c r="V105" s="214" t="s">
        <v>997</v>
      </c>
      <c r="W105" s="214" t="s">
        <v>507</v>
      </c>
      <c r="X105" s="214"/>
      <c r="Y105" s="234"/>
      <c r="Z105" s="224"/>
      <c r="AA105" s="239"/>
      <c r="AB105" s="243"/>
      <c r="AC105" s="218" t="s">
        <v>541</v>
      </c>
      <c r="AD105" s="214" t="str">
        <f ca="1">IFERROR(OFFSET(DistanceToCamp[Nearest Town],MATCH(CampList[[#This Row],[CP_Pcode]],DistanceToCamp[CP_Pcode],0)-1,0,1,1),"")</f>
        <v/>
      </c>
      <c r="AE105" s="227" t="str">
        <f ca="1">IFERROR(OFFSET(DistanceToCamp[distance],MATCH(CampList[[#This Row],[CP_Pcode]],DistanceToCamp[CP_Pcode],0)-1,0,1,1),"")</f>
        <v/>
      </c>
      <c r="AF105" s="228" t="str">
        <f ca="1">IFERROR(INT(CampList[[#This Row],[Distance]]/5)+1,"")</f>
        <v/>
      </c>
    </row>
    <row r="106" spans="2:32" ht="15.75" hidden="1" customHeight="1" x14ac:dyDescent="0.25">
      <c r="B106" s="218" t="s">
        <v>776</v>
      </c>
      <c r="C106" s="212" t="s">
        <v>506</v>
      </c>
      <c r="D106" s="212" t="s">
        <v>489</v>
      </c>
      <c r="E106" s="212" t="s">
        <v>230</v>
      </c>
      <c r="F106" s="212" t="s">
        <v>490</v>
      </c>
      <c r="G106" s="212" t="s">
        <v>230</v>
      </c>
      <c r="H106" s="212" t="s">
        <v>491</v>
      </c>
      <c r="I106" s="240" t="s">
        <v>754</v>
      </c>
      <c r="J106" s="212" t="s">
        <v>1044</v>
      </c>
      <c r="K106" s="240" t="s">
        <v>755</v>
      </c>
      <c r="L106" s="240"/>
      <c r="M106" s="212" t="s">
        <v>233</v>
      </c>
      <c r="N106" s="212" t="s">
        <v>232</v>
      </c>
      <c r="O106" s="219">
        <v>98.320651999999995</v>
      </c>
      <c r="P106" s="219">
        <v>24.101320999999999</v>
      </c>
      <c r="Q106" s="220">
        <v>2979</v>
      </c>
      <c r="R106" s="302"/>
      <c r="S106" s="303"/>
      <c r="T106" s="222" t="str">
        <f>IF(CampList[[#This Row],[HH]]&gt;0,CampList[[#This Row],[Total]]/CampList[[#This Row],[HH]],"NA")</f>
        <v>NA</v>
      </c>
      <c r="U106" s="214" t="s">
        <v>466</v>
      </c>
      <c r="V106" s="214" t="s">
        <v>997</v>
      </c>
      <c r="W106" s="214" t="s">
        <v>507</v>
      </c>
      <c r="X106" s="214" t="s">
        <v>742</v>
      </c>
      <c r="Y106" s="223">
        <v>41091</v>
      </c>
      <c r="Z106" s="223" t="s">
        <v>424</v>
      </c>
      <c r="AA106" s="239" t="s">
        <v>775</v>
      </c>
      <c r="AB106" s="225">
        <v>42536</v>
      </c>
      <c r="AC106" s="218" t="s">
        <v>1118</v>
      </c>
      <c r="AD106" s="214" t="str">
        <f ca="1">IFERROR(OFFSET(DistanceToCamp[Nearest Town],MATCH(CampList[[#This Row],[CP_Pcode]],DistanceToCamp[CP_Pcode],0)-1,0,1,1),"")</f>
        <v>Monekoe Town</v>
      </c>
      <c r="AE106" s="227">
        <f ca="1">IFERROR(OFFSET(DistanceToCamp[distance],MATCH(CampList[[#This Row],[CP_Pcode]],DistanceToCamp[CP_Pcode],0)-1,0,1,1),"")</f>
        <v>1.789574394782699</v>
      </c>
      <c r="AF106" s="228">
        <f ca="1">IFERROR(INT(CampList[[#This Row],[Distance]]/5)+1,"")</f>
        <v>1</v>
      </c>
    </row>
    <row r="107" spans="2:32" ht="15.75" hidden="1" customHeight="1" x14ac:dyDescent="0.25">
      <c r="B107" s="218" t="s">
        <v>776</v>
      </c>
      <c r="C107" s="212" t="s">
        <v>378</v>
      </c>
      <c r="D107" s="212" t="s">
        <v>478</v>
      </c>
      <c r="E107" s="212" t="s">
        <v>180</v>
      </c>
      <c r="F107" s="212" t="s">
        <v>479</v>
      </c>
      <c r="G107" s="212" t="s">
        <v>480</v>
      </c>
      <c r="H107" s="212" t="s">
        <v>481</v>
      </c>
      <c r="I107" s="226" t="s">
        <v>543</v>
      </c>
      <c r="J107" s="226" t="s">
        <v>544</v>
      </c>
      <c r="K107" s="226" t="s">
        <v>641</v>
      </c>
      <c r="L107" s="226" t="s">
        <v>642</v>
      </c>
      <c r="M107" s="212" t="s">
        <v>138</v>
      </c>
      <c r="N107" s="212" t="s">
        <v>137</v>
      </c>
      <c r="O107" s="219"/>
      <c r="P107" s="219"/>
      <c r="Q107" s="233"/>
      <c r="R107" s="302">
        <v>0</v>
      </c>
      <c r="S107" s="303">
        <v>0</v>
      </c>
      <c r="T107" s="222" t="str">
        <f>IF(CampList[[#This Row],[HH]]&gt;0,CampList[[#This Row],[Total]]/CampList[[#This Row],[HH]],"NA")</f>
        <v>NA</v>
      </c>
      <c r="U107" s="214" t="s">
        <v>464</v>
      </c>
      <c r="V107" s="214" t="s">
        <v>997</v>
      </c>
      <c r="W107" s="214" t="s">
        <v>507</v>
      </c>
      <c r="X107" s="214"/>
      <c r="Y107" s="234"/>
      <c r="Z107" s="224"/>
      <c r="AA107" s="239"/>
      <c r="AB107" s="243"/>
      <c r="AC107" s="218" t="s">
        <v>541</v>
      </c>
      <c r="AD107" s="214" t="str">
        <f ca="1">IFERROR(OFFSET(DistanceToCamp[Nearest Town],MATCH(CampList[[#This Row],[CP_Pcode]],DistanceToCamp[CP_Pcode],0)-1,0,1,1),"")</f>
        <v/>
      </c>
      <c r="AE107" s="227" t="str">
        <f ca="1">IFERROR(OFFSET(DistanceToCamp[distance],MATCH(CampList[[#This Row],[CP_Pcode]],DistanceToCamp[CP_Pcode],0)-1,0,1,1),"")</f>
        <v/>
      </c>
      <c r="AF107" s="228" t="str">
        <f ca="1">IFERROR(INT(CampList[[#This Row],[Distance]]/5)+1,"")</f>
        <v/>
      </c>
    </row>
    <row r="108" spans="2:32" ht="15.75" hidden="1" customHeight="1" x14ac:dyDescent="0.25">
      <c r="B108" s="218" t="s">
        <v>776</v>
      </c>
      <c r="C108" s="212" t="s">
        <v>378</v>
      </c>
      <c r="D108" s="212" t="s">
        <v>478</v>
      </c>
      <c r="E108" s="212" t="s">
        <v>180</v>
      </c>
      <c r="F108" s="212" t="s">
        <v>479</v>
      </c>
      <c r="G108" s="212" t="s">
        <v>480</v>
      </c>
      <c r="H108" s="212" t="s">
        <v>481</v>
      </c>
      <c r="I108" s="226" t="s">
        <v>543</v>
      </c>
      <c r="J108" s="226" t="s">
        <v>544</v>
      </c>
      <c r="K108" s="226" t="s">
        <v>641</v>
      </c>
      <c r="L108" s="226" t="s">
        <v>642</v>
      </c>
      <c r="M108" s="212" t="s">
        <v>102</v>
      </c>
      <c r="N108" s="212" t="s">
        <v>101</v>
      </c>
      <c r="O108" s="219"/>
      <c r="P108" s="219"/>
      <c r="Q108" s="233"/>
      <c r="R108" s="302">
        <v>0</v>
      </c>
      <c r="S108" s="303">
        <v>0</v>
      </c>
      <c r="T108" s="222" t="str">
        <f>IF(CampList[[#This Row],[HH]]&gt;0,CampList[[#This Row],[Total]]/CampList[[#This Row],[HH]],"NA")</f>
        <v>NA</v>
      </c>
      <c r="U108" s="214" t="s">
        <v>464</v>
      </c>
      <c r="V108" s="214" t="s">
        <v>997</v>
      </c>
      <c r="W108" s="214" t="s">
        <v>507</v>
      </c>
      <c r="X108" s="214"/>
      <c r="Y108" s="234"/>
      <c r="Z108" s="224"/>
      <c r="AA108" s="239"/>
      <c r="AB108" s="243"/>
      <c r="AC108" s="218" t="s">
        <v>541</v>
      </c>
      <c r="AD108" s="214" t="str">
        <f ca="1">IFERROR(OFFSET(DistanceToCamp[Nearest Town],MATCH(CampList[[#This Row],[CP_Pcode]],DistanceToCamp[CP_Pcode],0)-1,0,1,1),"")</f>
        <v/>
      </c>
      <c r="AE108" s="227" t="str">
        <f ca="1">IFERROR(OFFSET(DistanceToCamp[distance],MATCH(CampList[[#This Row],[CP_Pcode]],DistanceToCamp[CP_Pcode],0)-1,0,1,1),"")</f>
        <v/>
      </c>
      <c r="AF108" s="228" t="str">
        <f ca="1">IFERROR(INT(CampList[[#This Row],[Distance]]/5)+1,"")</f>
        <v/>
      </c>
    </row>
    <row r="109" spans="2:32" ht="15.75" hidden="1" customHeight="1" x14ac:dyDescent="0.25">
      <c r="B109" s="218" t="s">
        <v>776</v>
      </c>
      <c r="C109" s="212" t="s">
        <v>378</v>
      </c>
      <c r="D109" s="212" t="s">
        <v>478</v>
      </c>
      <c r="E109" s="212" t="s">
        <v>180</v>
      </c>
      <c r="F109" s="212" t="s">
        <v>479</v>
      </c>
      <c r="G109" s="212" t="s">
        <v>480</v>
      </c>
      <c r="H109" s="212" t="s">
        <v>481</v>
      </c>
      <c r="I109" s="226" t="s">
        <v>543</v>
      </c>
      <c r="J109" s="226" t="s">
        <v>544</v>
      </c>
      <c r="K109" s="226" t="s">
        <v>641</v>
      </c>
      <c r="L109" s="226" t="s">
        <v>642</v>
      </c>
      <c r="M109" s="212" t="s">
        <v>106</v>
      </c>
      <c r="N109" s="212" t="s">
        <v>105</v>
      </c>
      <c r="O109" s="219"/>
      <c r="P109" s="219"/>
      <c r="Q109" s="233"/>
      <c r="R109" s="302">
        <v>0</v>
      </c>
      <c r="S109" s="303">
        <v>0</v>
      </c>
      <c r="T109" s="222" t="str">
        <f>IF(CampList[[#This Row],[HH]]&gt;0,CampList[[#This Row],[Total]]/CampList[[#This Row],[HH]],"NA")</f>
        <v>NA</v>
      </c>
      <c r="U109" s="214" t="s">
        <v>464</v>
      </c>
      <c r="V109" s="214" t="s">
        <v>997</v>
      </c>
      <c r="W109" s="214" t="s">
        <v>507</v>
      </c>
      <c r="X109" s="214"/>
      <c r="Y109" s="234"/>
      <c r="Z109" s="224"/>
      <c r="AA109" s="239"/>
      <c r="AB109" s="243"/>
      <c r="AC109" s="218" t="s">
        <v>541</v>
      </c>
      <c r="AD109" s="214" t="str">
        <f ca="1">IFERROR(OFFSET(DistanceToCamp[Nearest Town],MATCH(CampList[[#This Row],[CP_Pcode]],DistanceToCamp[CP_Pcode],0)-1,0,1,1),"")</f>
        <v/>
      </c>
      <c r="AE109" s="227" t="str">
        <f ca="1">IFERROR(OFFSET(DistanceToCamp[distance],MATCH(CampList[[#This Row],[CP_Pcode]],DistanceToCamp[CP_Pcode],0)-1,0,1,1),"")</f>
        <v/>
      </c>
      <c r="AF109" s="228" t="str">
        <f ca="1">IFERROR(INT(CampList[[#This Row],[Distance]]/5)+1,"")</f>
        <v/>
      </c>
    </row>
    <row r="110" spans="2:32" ht="15.75" hidden="1" customHeight="1" x14ac:dyDescent="0.25">
      <c r="B110" s="218" t="s">
        <v>776</v>
      </c>
      <c r="C110" s="212" t="s">
        <v>378</v>
      </c>
      <c r="D110" s="212" t="s">
        <v>478</v>
      </c>
      <c r="E110" s="212" t="s">
        <v>180</v>
      </c>
      <c r="F110" s="212" t="s">
        <v>479</v>
      </c>
      <c r="G110" s="212" t="s">
        <v>480</v>
      </c>
      <c r="H110" s="212" t="s">
        <v>481</v>
      </c>
      <c r="I110" s="226" t="s">
        <v>543</v>
      </c>
      <c r="J110" s="226" t="s">
        <v>544</v>
      </c>
      <c r="K110" s="226" t="s">
        <v>641</v>
      </c>
      <c r="L110" s="226" t="s">
        <v>642</v>
      </c>
      <c r="M110" s="212" t="s">
        <v>130</v>
      </c>
      <c r="N110" s="212" t="s">
        <v>129</v>
      </c>
      <c r="O110" s="219"/>
      <c r="P110" s="219"/>
      <c r="Q110" s="233"/>
      <c r="R110" s="302">
        <v>0</v>
      </c>
      <c r="S110" s="303">
        <v>0</v>
      </c>
      <c r="T110" s="222" t="str">
        <f>IF(CampList[[#This Row],[HH]]&gt;0,CampList[[#This Row],[Total]]/CampList[[#This Row],[HH]],"NA")</f>
        <v>NA</v>
      </c>
      <c r="U110" s="214" t="s">
        <v>464</v>
      </c>
      <c r="V110" s="214" t="s">
        <v>997</v>
      </c>
      <c r="W110" s="214" t="s">
        <v>507</v>
      </c>
      <c r="X110" s="214"/>
      <c r="Y110" s="234"/>
      <c r="Z110" s="224"/>
      <c r="AA110" s="239"/>
      <c r="AB110" s="243"/>
      <c r="AC110" s="218" t="s">
        <v>541</v>
      </c>
      <c r="AD110" s="214" t="str">
        <f ca="1">IFERROR(OFFSET(DistanceToCamp[Nearest Town],MATCH(CampList[[#This Row],[CP_Pcode]],DistanceToCamp[CP_Pcode],0)-1,0,1,1),"")</f>
        <v/>
      </c>
      <c r="AE110" s="227" t="str">
        <f ca="1">IFERROR(OFFSET(DistanceToCamp[distance],MATCH(CampList[[#This Row],[CP_Pcode]],DistanceToCamp[CP_Pcode],0)-1,0,1,1),"")</f>
        <v/>
      </c>
      <c r="AF110" s="228" t="str">
        <f ca="1">IFERROR(INT(CampList[[#This Row],[Distance]]/5)+1,"")</f>
        <v/>
      </c>
    </row>
    <row r="111" spans="2:32" ht="15.75" hidden="1" customHeight="1" x14ac:dyDescent="0.25">
      <c r="B111" s="218" t="s">
        <v>776</v>
      </c>
      <c r="C111" s="212" t="s">
        <v>378</v>
      </c>
      <c r="D111" s="212" t="s">
        <v>478</v>
      </c>
      <c r="E111" s="212" t="s">
        <v>180</v>
      </c>
      <c r="F111" s="212" t="s">
        <v>479</v>
      </c>
      <c r="G111" s="212" t="s">
        <v>480</v>
      </c>
      <c r="H111" s="212" t="s">
        <v>481</v>
      </c>
      <c r="I111" s="226" t="s">
        <v>543</v>
      </c>
      <c r="J111" s="226" t="s">
        <v>544</v>
      </c>
      <c r="K111" s="226" t="s">
        <v>643</v>
      </c>
      <c r="L111" s="226" t="s">
        <v>644</v>
      </c>
      <c r="M111" s="212" t="s">
        <v>134</v>
      </c>
      <c r="N111" s="212" t="s">
        <v>133</v>
      </c>
      <c r="O111" s="219"/>
      <c r="P111" s="219"/>
      <c r="Q111" s="233"/>
      <c r="R111" s="302"/>
      <c r="S111" s="303"/>
      <c r="T111" s="222" t="str">
        <f>IF(CampList[[#This Row],[HH]]&gt;0,CampList[[#This Row],[Total]]/CampList[[#This Row],[HH]],"NA")</f>
        <v>NA</v>
      </c>
      <c r="U111" s="214" t="s">
        <v>464</v>
      </c>
      <c r="V111" s="214" t="s">
        <v>997</v>
      </c>
      <c r="W111" s="214" t="s">
        <v>507</v>
      </c>
      <c r="X111" s="214"/>
      <c r="Y111" s="234"/>
      <c r="Z111" s="224"/>
      <c r="AA111" s="239"/>
      <c r="AB111" s="243"/>
      <c r="AC111" s="218" t="s">
        <v>541</v>
      </c>
      <c r="AD111" s="214" t="str">
        <f ca="1">IFERROR(OFFSET(DistanceToCamp[Nearest Town],MATCH(CampList[[#This Row],[CP_Pcode]],DistanceToCamp[CP_Pcode],0)-1,0,1,1),"")</f>
        <v/>
      </c>
      <c r="AE111" s="227" t="str">
        <f ca="1">IFERROR(OFFSET(DistanceToCamp[distance],MATCH(CampList[[#This Row],[CP_Pcode]],DistanceToCamp[CP_Pcode],0)-1,0,1,1),"")</f>
        <v/>
      </c>
      <c r="AF111" s="228" t="str">
        <f ca="1">IFERROR(INT(CampList[[#This Row],[Distance]]/5)+1,"")</f>
        <v/>
      </c>
    </row>
    <row r="112" spans="2:32" ht="15.75" hidden="1" customHeight="1" x14ac:dyDescent="0.25">
      <c r="B112" s="218" t="s">
        <v>776</v>
      </c>
      <c r="C112" s="212" t="s">
        <v>378</v>
      </c>
      <c r="D112" s="212" t="s">
        <v>478</v>
      </c>
      <c r="E112" s="212" t="s">
        <v>180</v>
      </c>
      <c r="F112" s="212" t="s">
        <v>479</v>
      </c>
      <c r="G112" s="212" t="s">
        <v>480</v>
      </c>
      <c r="H112" s="212" t="s">
        <v>481</v>
      </c>
      <c r="I112" s="226" t="s">
        <v>543</v>
      </c>
      <c r="J112" s="226" t="s">
        <v>544</v>
      </c>
      <c r="K112" s="226" t="s">
        <v>643</v>
      </c>
      <c r="L112" s="226" t="s">
        <v>644</v>
      </c>
      <c r="M112" s="212" t="s">
        <v>114</v>
      </c>
      <c r="N112" s="212" t="s">
        <v>113</v>
      </c>
      <c r="O112" s="219"/>
      <c r="P112" s="219"/>
      <c r="Q112" s="233"/>
      <c r="R112" s="302">
        <v>0</v>
      </c>
      <c r="S112" s="303">
        <v>0</v>
      </c>
      <c r="T112" s="222" t="str">
        <f>IF(CampList[[#This Row],[HH]]&gt;0,CampList[[#This Row],[Total]]/CampList[[#This Row],[HH]],"NA")</f>
        <v>NA</v>
      </c>
      <c r="U112" s="214" t="s">
        <v>464</v>
      </c>
      <c r="V112" s="214" t="s">
        <v>997</v>
      </c>
      <c r="W112" s="214" t="s">
        <v>507</v>
      </c>
      <c r="X112" s="214"/>
      <c r="Y112" s="234"/>
      <c r="Z112" s="224"/>
      <c r="AA112" s="239"/>
      <c r="AB112" s="243"/>
      <c r="AC112" s="218" t="s">
        <v>541</v>
      </c>
      <c r="AD112" s="214" t="str">
        <f ca="1">IFERROR(OFFSET(DistanceToCamp[Nearest Town],MATCH(CampList[[#This Row],[CP_Pcode]],DistanceToCamp[CP_Pcode],0)-1,0,1,1),"")</f>
        <v/>
      </c>
      <c r="AE112" s="227" t="str">
        <f ca="1">IFERROR(OFFSET(DistanceToCamp[distance],MATCH(CampList[[#This Row],[CP_Pcode]],DistanceToCamp[CP_Pcode],0)-1,0,1,1),"")</f>
        <v/>
      </c>
      <c r="AF112" s="228" t="str">
        <f ca="1">IFERROR(INT(CampList[[#This Row],[Distance]]/5)+1,"")</f>
        <v/>
      </c>
    </row>
    <row r="113" spans="2:32" ht="15.75" customHeight="1" x14ac:dyDescent="0.25">
      <c r="B113" s="231" t="s">
        <v>460</v>
      </c>
      <c r="C113" s="213" t="s">
        <v>378</v>
      </c>
      <c r="D113" s="213" t="s">
        <v>478</v>
      </c>
      <c r="E113" s="213" t="s">
        <v>237</v>
      </c>
      <c r="F113" s="213" t="s">
        <v>484</v>
      </c>
      <c r="G113" s="213" t="s">
        <v>237</v>
      </c>
      <c r="H113" s="213" t="s">
        <v>488</v>
      </c>
      <c r="I113" s="213" t="s">
        <v>611</v>
      </c>
      <c r="J113" s="232" t="s">
        <v>612</v>
      </c>
      <c r="K113" s="213" t="s">
        <v>613</v>
      </c>
      <c r="L113" s="213"/>
      <c r="M113" s="213" t="s">
        <v>254</v>
      </c>
      <c r="N113" s="213" t="s">
        <v>253</v>
      </c>
      <c r="O113" s="221">
        <v>97.379594999999995</v>
      </c>
      <c r="P113" s="221">
        <v>25.401061110000001</v>
      </c>
      <c r="Q113" s="233"/>
      <c r="R113" s="292">
        <v>115</v>
      </c>
      <c r="S113" s="292">
        <v>562</v>
      </c>
      <c r="T113" s="222">
        <f>IF(CampList[[#This Row],[HH]]&gt;0,CampList[[#This Row],[Total]]/CampList[[#This Row],[HH]],"NA")</f>
        <v>4.8869565217391306</v>
      </c>
      <c r="U113" s="197" t="s">
        <v>464</v>
      </c>
      <c r="V113" s="214" t="s">
        <v>997</v>
      </c>
      <c r="W113" s="197" t="s">
        <v>507</v>
      </c>
      <c r="X113" s="197" t="s">
        <v>742</v>
      </c>
      <c r="Y113" s="332">
        <v>40725</v>
      </c>
      <c r="Z113" s="233" t="s">
        <v>938</v>
      </c>
      <c r="AA113" s="213" t="s">
        <v>775</v>
      </c>
      <c r="AB113" s="731">
        <v>43220</v>
      </c>
      <c r="AC113" s="235" t="s">
        <v>1787</v>
      </c>
      <c r="AD113" s="236" t="str">
        <f ca="1">IFERROR(OFFSET(DistanceToCamp[Nearest Town],MATCH(CampList[[#This Row],[CP_Pcode]],DistanceToCamp[CP_Pcode],0)-1,0,1,1),"")</f>
        <v>Myitkyina Town</v>
      </c>
      <c r="AE113" s="227">
        <f ca="1">IFERROR(OFFSET(DistanceToCamp[distance],MATCH(CampList[[#This Row],[CP_Pcode]],DistanceToCamp[CP_Pcode],0)-1,0,1,1),"")</f>
        <v>1.8563710010113432</v>
      </c>
      <c r="AF113" s="237">
        <f ca="1">IFERROR(INT(CampList[[#This Row],[Distance]]/5)+1,"")</f>
        <v>1</v>
      </c>
    </row>
    <row r="114" spans="2:32" ht="15.75" hidden="1" customHeight="1" x14ac:dyDescent="0.25">
      <c r="B114" s="218" t="s">
        <v>776</v>
      </c>
      <c r="C114" s="212" t="s">
        <v>378</v>
      </c>
      <c r="D114" s="212" t="s">
        <v>478</v>
      </c>
      <c r="E114" s="212" t="s">
        <v>180</v>
      </c>
      <c r="F114" s="212" t="s">
        <v>479</v>
      </c>
      <c r="G114" s="212" t="s">
        <v>480</v>
      </c>
      <c r="H114" s="212" t="s">
        <v>481</v>
      </c>
      <c r="I114" s="212"/>
      <c r="J114" s="212"/>
      <c r="K114" s="212"/>
      <c r="L114" s="212"/>
      <c r="M114" s="212" t="s">
        <v>96</v>
      </c>
      <c r="N114" s="212" t="s">
        <v>95</v>
      </c>
      <c r="O114" s="219"/>
      <c r="P114" s="219"/>
      <c r="Q114" s="233"/>
      <c r="R114" s="302">
        <v>0</v>
      </c>
      <c r="S114" s="303">
        <v>0</v>
      </c>
      <c r="T114" s="222" t="str">
        <f>IF(CampList[[#This Row],[HH]]&gt;0,CampList[[#This Row],[Total]]/CampList[[#This Row],[HH]],"NA")</f>
        <v>NA</v>
      </c>
      <c r="U114" s="214" t="s">
        <v>464</v>
      </c>
      <c r="V114" s="214" t="s">
        <v>997</v>
      </c>
      <c r="W114" s="214" t="s">
        <v>507</v>
      </c>
      <c r="X114" s="214"/>
      <c r="Y114" s="234"/>
      <c r="Z114" s="224"/>
      <c r="AA114" s="321"/>
      <c r="AB114" s="243"/>
      <c r="AC114" s="218" t="s">
        <v>541</v>
      </c>
      <c r="AD114" s="214" t="str">
        <f ca="1">IFERROR(OFFSET(DistanceToCamp[Nearest Town],MATCH(CampList[[#This Row],[CP_Pcode]],DistanceToCamp[CP_Pcode],0)-1,0,1,1),"")</f>
        <v/>
      </c>
      <c r="AE114" s="227" t="str">
        <f ca="1">IFERROR(OFFSET(DistanceToCamp[distance],MATCH(CampList[[#This Row],[CP_Pcode]],DistanceToCamp[CP_Pcode],0)-1,0,1,1),"")</f>
        <v/>
      </c>
      <c r="AF114" s="228" t="str">
        <f ca="1">IFERROR(INT(CampList[[#This Row],[Distance]]/5)+1,"")</f>
        <v/>
      </c>
    </row>
    <row r="115" spans="2:32" ht="15.75" customHeight="1" x14ac:dyDescent="0.25">
      <c r="B115" s="218" t="s">
        <v>460</v>
      </c>
      <c r="C115" s="212" t="s">
        <v>378</v>
      </c>
      <c r="D115" s="212" t="s">
        <v>478</v>
      </c>
      <c r="E115" s="212" t="s">
        <v>180</v>
      </c>
      <c r="F115" s="212" t="s">
        <v>479</v>
      </c>
      <c r="G115" s="212" t="s">
        <v>180</v>
      </c>
      <c r="H115" s="212" t="s">
        <v>504</v>
      </c>
      <c r="I115" s="212" t="s">
        <v>556</v>
      </c>
      <c r="J115" s="212" t="s">
        <v>557</v>
      </c>
      <c r="K115" s="212" t="s">
        <v>842</v>
      </c>
      <c r="L115" s="212"/>
      <c r="M115" s="212" t="s">
        <v>286</v>
      </c>
      <c r="N115" s="212" t="s">
        <v>285</v>
      </c>
      <c r="O115" s="219">
        <v>96.364949999999993</v>
      </c>
      <c r="P115" s="219">
        <v>24.998349999999999</v>
      </c>
      <c r="Q115" s="220"/>
      <c r="R115" s="292">
        <v>24</v>
      </c>
      <c r="S115" s="292">
        <v>115</v>
      </c>
      <c r="T115" s="222">
        <f>IF(CampList[[#This Row],[HH]]&gt;0,CampList[[#This Row],[Total]]/CampList[[#This Row],[HH]],"NA")</f>
        <v>4.791666666666667</v>
      </c>
      <c r="U115" s="214" t="s">
        <v>464</v>
      </c>
      <c r="V115" s="214" t="s">
        <v>997</v>
      </c>
      <c r="W115" s="214" t="s">
        <v>507</v>
      </c>
      <c r="X115" s="214" t="s">
        <v>785</v>
      </c>
      <c r="Y115" s="331">
        <v>40940</v>
      </c>
      <c r="Z115" s="223" t="s">
        <v>424</v>
      </c>
      <c r="AA115" s="212" t="s">
        <v>775</v>
      </c>
      <c r="AB115" s="225">
        <v>43220</v>
      </c>
      <c r="AC115" s="226" t="s">
        <v>1735</v>
      </c>
      <c r="AD115" s="214" t="str">
        <f ca="1">IFERROR(OFFSET(DistanceToCamp[Nearest Town],MATCH(CampList[[#This Row],[CP_Pcode]],DistanceToCamp[CP_Pcode],0)-1,0,1,1),"")</f>
        <v>Hopin Town</v>
      </c>
      <c r="AE115" s="227">
        <f ca="1">IFERROR(OFFSET(DistanceToCamp[distance],MATCH(CampList[[#This Row],[CP_Pcode]],DistanceToCamp[CP_Pcode],0)-1,0,1,1),"")</f>
        <v>16.668825701583572</v>
      </c>
      <c r="AF115" s="228">
        <f ca="1">IFERROR(INT(CampList[[#This Row],[Distance]]/5)+1,"")</f>
        <v>4</v>
      </c>
    </row>
    <row r="116" spans="2:32" ht="15.75" hidden="1" customHeight="1" x14ac:dyDescent="0.25">
      <c r="B116" s="218" t="s">
        <v>776</v>
      </c>
      <c r="C116" s="212" t="s">
        <v>378</v>
      </c>
      <c r="D116" s="212" t="s">
        <v>478</v>
      </c>
      <c r="E116" s="212" t="s">
        <v>180</v>
      </c>
      <c r="F116" s="212" t="s">
        <v>479</v>
      </c>
      <c r="G116" s="212" t="s">
        <v>480</v>
      </c>
      <c r="H116" s="212" t="s">
        <v>481</v>
      </c>
      <c r="I116" s="212"/>
      <c r="J116" s="212"/>
      <c r="K116" s="212"/>
      <c r="L116" s="212"/>
      <c r="M116" s="212" t="s">
        <v>136</v>
      </c>
      <c r="N116" s="212" t="s">
        <v>135</v>
      </c>
      <c r="O116" s="219">
        <v>96.343350000000001</v>
      </c>
      <c r="P116" s="219">
        <v>25.6447</v>
      </c>
      <c r="Q116" s="233"/>
      <c r="R116" s="302">
        <v>0</v>
      </c>
      <c r="S116" s="303">
        <v>0</v>
      </c>
      <c r="T116" s="222" t="str">
        <f>IF(CampList[[#This Row],[HH]]&gt;0,CampList[[#This Row],[Total]]/CampList[[#This Row],[HH]],"NA")</f>
        <v>NA</v>
      </c>
      <c r="U116" s="214" t="s">
        <v>464</v>
      </c>
      <c r="V116" s="214" t="s">
        <v>997</v>
      </c>
      <c r="W116" s="214" t="s">
        <v>507</v>
      </c>
      <c r="X116" s="214"/>
      <c r="Y116" s="234"/>
      <c r="Z116" s="224"/>
      <c r="AA116" s="321"/>
      <c r="AB116" s="243"/>
      <c r="AC116" s="218" t="s">
        <v>541</v>
      </c>
      <c r="AD116" s="214" t="str">
        <f ca="1">IFERROR(OFFSET(DistanceToCamp[Nearest Town],MATCH(CampList[[#This Row],[CP_Pcode]],DistanceToCamp[CP_Pcode],0)-1,0,1,1),"")</f>
        <v/>
      </c>
      <c r="AE116" s="227" t="str">
        <f ca="1">IFERROR(OFFSET(DistanceToCamp[distance],MATCH(CampList[[#This Row],[CP_Pcode]],DistanceToCamp[CP_Pcode],0)-1,0,1,1),"")</f>
        <v/>
      </c>
      <c r="AF116" s="228" t="str">
        <f ca="1">IFERROR(INT(CampList[[#This Row],[Distance]]/5)+1,"")</f>
        <v/>
      </c>
    </row>
    <row r="117" spans="2:32" ht="15.75" hidden="1" customHeight="1" x14ac:dyDescent="0.25">
      <c r="B117" s="218" t="s">
        <v>776</v>
      </c>
      <c r="C117" s="212" t="s">
        <v>378</v>
      </c>
      <c r="D117" s="212" t="s">
        <v>478</v>
      </c>
      <c r="E117" s="212" t="s">
        <v>180</v>
      </c>
      <c r="F117" s="212" t="s">
        <v>479</v>
      </c>
      <c r="G117" s="212" t="s">
        <v>480</v>
      </c>
      <c r="H117" s="212" t="s">
        <v>481</v>
      </c>
      <c r="I117" s="226" t="s">
        <v>538</v>
      </c>
      <c r="J117" s="226" t="s">
        <v>539</v>
      </c>
      <c r="K117" s="226" t="s">
        <v>648</v>
      </c>
      <c r="L117" s="226">
        <v>166790</v>
      </c>
      <c r="M117" s="212" t="s">
        <v>94</v>
      </c>
      <c r="N117" s="212" t="s">
        <v>93</v>
      </c>
      <c r="O117" s="219"/>
      <c r="P117" s="219"/>
      <c r="Q117" s="233"/>
      <c r="R117" s="302">
        <v>0</v>
      </c>
      <c r="S117" s="303">
        <v>0</v>
      </c>
      <c r="T117" s="222" t="str">
        <f>IF(CampList[[#This Row],[HH]]&gt;0,CampList[[#This Row],[Total]]/CampList[[#This Row],[HH]],"NA")</f>
        <v>NA</v>
      </c>
      <c r="U117" s="214" t="s">
        <v>464</v>
      </c>
      <c r="V117" s="214" t="s">
        <v>997</v>
      </c>
      <c r="W117" s="214" t="s">
        <v>507</v>
      </c>
      <c r="X117" s="214"/>
      <c r="Y117" s="234"/>
      <c r="Z117" s="224"/>
      <c r="AA117" s="321"/>
      <c r="AB117" s="243"/>
      <c r="AC117" s="218" t="s">
        <v>541</v>
      </c>
      <c r="AD117" s="214" t="str">
        <f ca="1">IFERROR(OFFSET(DistanceToCamp[Nearest Town],MATCH(CampList[[#This Row],[CP_Pcode]],DistanceToCamp[CP_Pcode],0)-1,0,1,1),"")</f>
        <v/>
      </c>
      <c r="AE117" s="227" t="str">
        <f ca="1">IFERROR(OFFSET(DistanceToCamp[distance],MATCH(CampList[[#This Row],[CP_Pcode]],DistanceToCamp[CP_Pcode],0)-1,0,1,1),"")</f>
        <v/>
      </c>
      <c r="AF117" s="228" t="str">
        <f ca="1">IFERROR(INT(CampList[[#This Row],[Distance]]/5)+1,"")</f>
        <v/>
      </c>
    </row>
    <row r="118" spans="2:32" ht="15.75" hidden="1" customHeight="1" x14ac:dyDescent="0.25">
      <c r="B118" s="218" t="s">
        <v>776</v>
      </c>
      <c r="C118" s="212" t="s">
        <v>378</v>
      </c>
      <c r="D118" s="212" t="s">
        <v>478</v>
      </c>
      <c r="E118" s="212" t="s">
        <v>180</v>
      </c>
      <c r="F118" s="212" t="s">
        <v>479</v>
      </c>
      <c r="G118" s="212" t="s">
        <v>480</v>
      </c>
      <c r="H118" s="212" t="s">
        <v>481</v>
      </c>
      <c r="I118" s="212"/>
      <c r="J118" s="212"/>
      <c r="K118" s="212"/>
      <c r="L118" s="212"/>
      <c r="M118" s="212" t="s">
        <v>122</v>
      </c>
      <c r="N118" s="212" t="s">
        <v>121</v>
      </c>
      <c r="O118" s="219"/>
      <c r="P118" s="219"/>
      <c r="Q118" s="233"/>
      <c r="R118" s="302">
        <v>0</v>
      </c>
      <c r="S118" s="303">
        <v>0</v>
      </c>
      <c r="T118" s="222" t="str">
        <f>IF(CampList[[#This Row],[HH]]&gt;0,CampList[[#This Row],[Total]]/CampList[[#This Row],[HH]],"NA")</f>
        <v>NA</v>
      </c>
      <c r="U118" s="214" t="s">
        <v>464</v>
      </c>
      <c r="V118" s="214" t="s">
        <v>997</v>
      </c>
      <c r="W118" s="214" t="s">
        <v>507</v>
      </c>
      <c r="X118" s="214"/>
      <c r="Y118" s="234"/>
      <c r="Z118" s="224"/>
      <c r="AA118" s="321"/>
      <c r="AB118" s="243"/>
      <c r="AC118" s="218"/>
      <c r="AD118" s="214" t="str">
        <f ca="1">IFERROR(OFFSET(DistanceToCamp[Nearest Town],MATCH(CampList[[#This Row],[CP_Pcode]],DistanceToCamp[CP_Pcode],0)-1,0,1,1),"")</f>
        <v/>
      </c>
      <c r="AE118" s="227" t="str">
        <f ca="1">IFERROR(OFFSET(DistanceToCamp[distance],MATCH(CampList[[#This Row],[CP_Pcode]],DistanceToCamp[CP_Pcode],0)-1,0,1,1),"")</f>
        <v/>
      </c>
      <c r="AF118" s="228" t="str">
        <f ca="1">IFERROR(INT(CampList[[#This Row],[Distance]]/5)+1,"")</f>
        <v/>
      </c>
    </row>
    <row r="119" spans="2:32" ht="15.75" customHeight="1" x14ac:dyDescent="0.25">
      <c r="B119" s="239" t="s">
        <v>460</v>
      </c>
      <c r="C119" s="212" t="s">
        <v>378</v>
      </c>
      <c r="D119" s="212" t="s">
        <v>478</v>
      </c>
      <c r="E119" s="212" t="s">
        <v>237</v>
      </c>
      <c r="F119" s="212" t="s">
        <v>484</v>
      </c>
      <c r="G119" s="212" t="s">
        <v>309</v>
      </c>
      <c r="H119" s="212" t="s">
        <v>485</v>
      </c>
      <c r="I119" s="212" t="s">
        <v>635</v>
      </c>
      <c r="J119" s="212" t="s">
        <v>636</v>
      </c>
      <c r="K119" s="212" t="s">
        <v>656</v>
      </c>
      <c r="L119" s="212" t="s">
        <v>657</v>
      </c>
      <c r="M119" s="212" t="s">
        <v>317</v>
      </c>
      <c r="N119" s="212" t="s">
        <v>316</v>
      </c>
      <c r="O119" s="219">
        <v>97.441166388888902</v>
      </c>
      <c r="P119" s="219">
        <v>25.3540362037037</v>
      </c>
      <c r="Q119" s="220">
        <v>0</v>
      </c>
      <c r="R119" s="292">
        <v>117</v>
      </c>
      <c r="S119" s="292">
        <v>459</v>
      </c>
      <c r="T119" s="222">
        <f>IF(CampList[[#This Row],[HH]]&gt;0,CampList[[#This Row],[Total]]/CampList[[#This Row],[HH]],"NA")</f>
        <v>3.9230769230769229</v>
      </c>
      <c r="U119" s="214" t="s">
        <v>464</v>
      </c>
      <c r="V119" s="214" t="s">
        <v>997</v>
      </c>
      <c r="W119" s="214" t="s">
        <v>507</v>
      </c>
      <c r="X119" s="214" t="s">
        <v>742</v>
      </c>
      <c r="Y119" s="331">
        <v>40725</v>
      </c>
      <c r="Z119" s="223" t="s">
        <v>462</v>
      </c>
      <c r="AA119" s="212" t="s">
        <v>775</v>
      </c>
      <c r="AB119" s="225">
        <v>43220</v>
      </c>
      <c r="AC119" s="226" t="s">
        <v>1690</v>
      </c>
      <c r="AD119" s="214" t="str">
        <f ca="1">IFERROR(OFFSET(DistanceToCamp[Nearest Town],MATCH(CampList[[#This Row],[CP_Pcode]],DistanceToCamp[CP_Pcode],0)-1,0,1,1),"")</f>
        <v>Waingmaw Town</v>
      </c>
      <c r="AE119" s="227">
        <f ca="1">IFERROR(OFFSET(DistanceToCamp[distance],MATCH(CampList[[#This Row],[CP_Pcode]],DistanceToCamp[CP_Pcode],0)-1,0,1,1),"")</f>
        <v>0.37684287609457234</v>
      </c>
      <c r="AF119" s="228">
        <f ca="1">IFERROR(INT(CampList[[#This Row],[Distance]]/5)+1,"")</f>
        <v>1</v>
      </c>
    </row>
    <row r="120" spans="2:32" ht="15.75" hidden="1" customHeight="1" x14ac:dyDescent="0.25">
      <c r="B120" s="218" t="s">
        <v>776</v>
      </c>
      <c r="C120" s="212" t="s">
        <v>378</v>
      </c>
      <c r="D120" s="212" t="s">
        <v>478</v>
      </c>
      <c r="E120" s="212" t="s">
        <v>180</v>
      </c>
      <c r="F120" s="212" t="s">
        <v>479</v>
      </c>
      <c r="G120" s="212" t="s">
        <v>480</v>
      </c>
      <c r="H120" s="212" t="s">
        <v>481</v>
      </c>
      <c r="I120" s="226" t="s">
        <v>652</v>
      </c>
      <c r="J120" s="226" t="s">
        <v>653</v>
      </c>
      <c r="K120" s="226" t="s">
        <v>652</v>
      </c>
      <c r="L120" s="226">
        <v>166794</v>
      </c>
      <c r="M120" s="212" t="s">
        <v>132</v>
      </c>
      <c r="N120" s="212" t="s">
        <v>131</v>
      </c>
      <c r="O120" s="219"/>
      <c r="P120" s="219"/>
      <c r="Q120" s="233"/>
      <c r="R120" s="302">
        <v>0</v>
      </c>
      <c r="S120" s="303">
        <v>0</v>
      </c>
      <c r="T120" s="222" t="str">
        <f>IF(CampList[[#This Row],[HH]]&gt;0,CampList[[#This Row],[Total]]/CampList[[#This Row],[HH]],"NA")</f>
        <v>NA</v>
      </c>
      <c r="U120" s="214" t="s">
        <v>464</v>
      </c>
      <c r="V120" s="214" t="s">
        <v>997</v>
      </c>
      <c r="W120" s="214" t="s">
        <v>507</v>
      </c>
      <c r="X120" s="214"/>
      <c r="Y120" s="234"/>
      <c r="Z120" s="224"/>
      <c r="AA120" s="321"/>
      <c r="AB120" s="243"/>
      <c r="AC120" s="218"/>
      <c r="AD120" s="214" t="str">
        <f ca="1">IFERROR(OFFSET(DistanceToCamp[Nearest Town],MATCH(CampList[[#This Row],[CP_Pcode]],DistanceToCamp[CP_Pcode],0)-1,0,1,1),"")</f>
        <v/>
      </c>
      <c r="AE120" s="227" t="str">
        <f ca="1">IFERROR(OFFSET(DistanceToCamp[distance],MATCH(CampList[[#This Row],[CP_Pcode]],DistanceToCamp[CP_Pcode],0)-1,0,1,1),"")</f>
        <v/>
      </c>
      <c r="AF120" s="228" t="str">
        <f ca="1">IFERROR(INT(CampList[[#This Row],[Distance]]/5)+1,"")</f>
        <v/>
      </c>
    </row>
    <row r="121" spans="2:32" ht="15.75" hidden="1" customHeight="1" x14ac:dyDescent="0.25">
      <c r="B121" s="239" t="s">
        <v>776</v>
      </c>
      <c r="C121" s="212" t="s">
        <v>378</v>
      </c>
      <c r="D121" s="212" t="s">
        <v>478</v>
      </c>
      <c r="E121" s="212" t="s">
        <v>237</v>
      </c>
      <c r="F121" s="212" t="s">
        <v>484</v>
      </c>
      <c r="G121" s="212" t="s">
        <v>309</v>
      </c>
      <c r="H121" s="212" t="s">
        <v>485</v>
      </c>
      <c r="I121" s="212" t="s">
        <v>704</v>
      </c>
      <c r="J121" s="212" t="s">
        <v>705</v>
      </c>
      <c r="K121" s="229" t="s">
        <v>1122</v>
      </c>
      <c r="L121" s="229">
        <v>220360</v>
      </c>
      <c r="M121" s="212" t="s">
        <v>1034</v>
      </c>
      <c r="N121" s="212" t="s">
        <v>354</v>
      </c>
      <c r="O121" s="219">
        <v>97.756789999999995</v>
      </c>
      <c r="P121" s="219">
        <v>25.106670000000001</v>
      </c>
      <c r="Q121" s="220">
        <v>756</v>
      </c>
      <c r="R121" s="292"/>
      <c r="S121" s="292"/>
      <c r="T121" s="222" t="str">
        <f>IF(CampList[[#This Row],[HH]]&gt;0,CampList[[#This Row],[Total]]/CampList[[#This Row],[HH]],"NA")</f>
        <v>NA</v>
      </c>
      <c r="U121" s="214" t="s">
        <v>466</v>
      </c>
      <c r="V121" s="214" t="s">
        <v>997</v>
      </c>
      <c r="W121" s="214" t="s">
        <v>507</v>
      </c>
      <c r="X121" s="214" t="s">
        <v>785</v>
      </c>
      <c r="Y121" s="223">
        <v>40848</v>
      </c>
      <c r="Z121" s="223" t="s">
        <v>424</v>
      </c>
      <c r="AA121" s="212" t="s">
        <v>775</v>
      </c>
      <c r="AB121" s="225">
        <v>42888</v>
      </c>
      <c r="AC121" s="226" t="s">
        <v>1272</v>
      </c>
      <c r="AD121" s="214" t="str">
        <f ca="1">IFERROR(OFFSET(DistanceToCamp[Nearest Town],MATCH(CampList[[#This Row],[CP_Pcode]],DistanceToCamp[CP_Pcode],0)-1,0,1,1),"")</f>
        <v>Sadung Town</v>
      </c>
      <c r="AE121" s="227">
        <f ca="1">IFERROR(OFFSET(DistanceToCamp[distance],MATCH(CampList[[#This Row],[CP_Pcode]],DistanceToCamp[CP_Pcode],0)-1,0,1,1),"")</f>
        <v>32.827754639406997</v>
      </c>
      <c r="AF121" s="228">
        <f ca="1">IFERROR(INT(CampList[[#This Row],[Distance]]/5)+1,"")</f>
        <v>7</v>
      </c>
    </row>
    <row r="122" spans="2:32" ht="15.75" customHeight="1" x14ac:dyDescent="0.25">
      <c r="B122" s="231" t="s">
        <v>460</v>
      </c>
      <c r="C122" s="213" t="s">
        <v>378</v>
      </c>
      <c r="D122" s="213" t="s">
        <v>478</v>
      </c>
      <c r="E122" s="213" t="s">
        <v>5</v>
      </c>
      <c r="F122" s="213" t="s">
        <v>482</v>
      </c>
      <c r="G122" s="213" t="s">
        <v>185</v>
      </c>
      <c r="H122" s="213" t="s">
        <v>486</v>
      </c>
      <c r="I122" s="213" t="s">
        <v>674</v>
      </c>
      <c r="J122" s="232" t="s">
        <v>675</v>
      </c>
      <c r="K122" s="213" t="s">
        <v>676</v>
      </c>
      <c r="L122" s="213">
        <v>167223</v>
      </c>
      <c r="M122" s="213" t="s">
        <v>196</v>
      </c>
      <c r="N122" s="213" t="s">
        <v>195</v>
      </c>
      <c r="O122" s="221">
        <v>97.568331999999998</v>
      </c>
      <c r="P122" s="221">
        <v>24.688338999999999</v>
      </c>
      <c r="Q122" s="233">
        <v>314</v>
      </c>
      <c r="R122" s="737">
        <v>1497</v>
      </c>
      <c r="S122" s="737">
        <v>8461</v>
      </c>
      <c r="T122" s="222">
        <f>IF(CampList[[#This Row],[HH]]&gt;0,CampList[[#This Row],[Total]]/CampList[[#This Row],[HH]],"NA")</f>
        <v>5.6519706078824319</v>
      </c>
      <c r="U122" s="197" t="s">
        <v>466</v>
      </c>
      <c r="V122" s="214" t="s">
        <v>997</v>
      </c>
      <c r="W122" s="197" t="s">
        <v>507</v>
      </c>
      <c r="X122" s="197" t="s">
        <v>785</v>
      </c>
      <c r="Y122" s="332">
        <v>41061</v>
      </c>
      <c r="Z122" s="233" t="s">
        <v>938</v>
      </c>
      <c r="AA122" s="213" t="s">
        <v>775</v>
      </c>
      <c r="AB122" s="731">
        <v>43220</v>
      </c>
      <c r="AC122" s="235" t="s">
        <v>1788</v>
      </c>
      <c r="AD122" s="236" t="str">
        <f ca="1">IFERROR(OFFSET(DistanceToCamp[Nearest Town],MATCH(CampList[[#This Row],[CP_Pcode]],DistanceToCamp[CP_Pcode],0)-1,0,1,1),"")</f>
        <v>Laiza town</v>
      </c>
      <c r="AE122" s="227">
        <f ca="1">IFERROR(OFFSET(DistanceToCamp[distance],MATCH(CampList[[#This Row],[CP_Pcode]],DistanceToCamp[CP_Pcode],0)-1,0,1,1),"")</f>
        <v>7.985347533011188</v>
      </c>
      <c r="AF122" s="237">
        <f ca="1">IFERROR(INT(CampList[[#This Row],[Distance]]/5)+1,"")</f>
        <v>2</v>
      </c>
    </row>
    <row r="123" spans="2:32" ht="15.75" hidden="1" customHeight="1" x14ac:dyDescent="0.25">
      <c r="B123" s="218" t="s">
        <v>776</v>
      </c>
      <c r="C123" s="212" t="s">
        <v>378</v>
      </c>
      <c r="D123" s="212" t="s">
        <v>478</v>
      </c>
      <c r="E123" s="212" t="s">
        <v>237</v>
      </c>
      <c r="F123" s="212" t="s">
        <v>484</v>
      </c>
      <c r="G123" s="212" t="s">
        <v>309</v>
      </c>
      <c r="H123" s="212" t="s">
        <v>485</v>
      </c>
      <c r="I123" s="226" t="s">
        <v>658</v>
      </c>
      <c r="J123" s="212"/>
      <c r="K123" s="212"/>
      <c r="L123" s="212"/>
      <c r="M123" s="212" t="s">
        <v>356</v>
      </c>
      <c r="N123" s="212" t="s">
        <v>355</v>
      </c>
      <c r="O123" s="219">
        <v>97.837778</v>
      </c>
      <c r="P123" s="219">
        <v>25.273333000000001</v>
      </c>
      <c r="Q123" s="233"/>
      <c r="R123" s="302">
        <v>0</v>
      </c>
      <c r="S123" s="303">
        <v>0</v>
      </c>
      <c r="T123" s="222" t="str">
        <f>IF(CampList[[#This Row],[HH]]&gt;0,CampList[[#This Row],[Total]]/CampList[[#This Row],[HH]],"NA")</f>
        <v>NA</v>
      </c>
      <c r="U123" s="214" t="s">
        <v>466</v>
      </c>
      <c r="V123" s="214" t="s">
        <v>997</v>
      </c>
      <c r="W123" s="214" t="s">
        <v>507</v>
      </c>
      <c r="X123" s="214"/>
      <c r="Y123" s="234"/>
      <c r="Z123" s="224"/>
      <c r="AA123" s="239"/>
      <c r="AB123" s="243"/>
      <c r="AC123" s="218"/>
      <c r="AD123" s="214" t="str">
        <f ca="1">IFERROR(OFFSET(DistanceToCamp[Nearest Town],MATCH(CampList[[#This Row],[CP_Pcode]],DistanceToCamp[CP_Pcode],0)-1,0,1,1),"")</f>
        <v/>
      </c>
      <c r="AE123" s="227" t="str">
        <f ca="1">IFERROR(OFFSET(DistanceToCamp[distance],MATCH(CampList[[#This Row],[CP_Pcode]],DistanceToCamp[CP_Pcode],0)-1,0,1,1),"")</f>
        <v/>
      </c>
      <c r="AF123" s="228" t="str">
        <f ca="1">IFERROR(INT(CampList[[#This Row],[Distance]]/5)+1,"")</f>
        <v/>
      </c>
    </row>
    <row r="124" spans="2:32" ht="15.75" customHeight="1" x14ac:dyDescent="0.25">
      <c r="B124" s="218" t="s">
        <v>460</v>
      </c>
      <c r="C124" s="212" t="s">
        <v>378</v>
      </c>
      <c r="D124" s="212" t="s">
        <v>478</v>
      </c>
      <c r="E124" s="212" t="s">
        <v>180</v>
      </c>
      <c r="F124" s="212" t="s">
        <v>479</v>
      </c>
      <c r="G124" s="212" t="s">
        <v>480</v>
      </c>
      <c r="H124" s="212" t="s">
        <v>481</v>
      </c>
      <c r="I124" s="226" t="s">
        <v>552</v>
      </c>
      <c r="J124" s="226" t="s">
        <v>553</v>
      </c>
      <c r="K124" s="226" t="s">
        <v>554</v>
      </c>
      <c r="L124" s="226">
        <v>166775</v>
      </c>
      <c r="M124" s="212" t="s">
        <v>52</v>
      </c>
      <c r="N124" s="212" t="s">
        <v>51</v>
      </c>
      <c r="O124" s="219">
        <v>96.346469999999997</v>
      </c>
      <c r="P124" s="219">
        <v>25.647649999999999</v>
      </c>
      <c r="Q124" s="220">
        <v>0</v>
      </c>
      <c r="R124" s="292">
        <v>36</v>
      </c>
      <c r="S124" s="292">
        <v>228</v>
      </c>
      <c r="T124" s="222">
        <f>IF(CampList[[#This Row],[HH]]&gt;0,CampList[[#This Row],[Total]]/CampList[[#This Row],[HH]],"NA")</f>
        <v>6.333333333333333</v>
      </c>
      <c r="U124" s="214" t="s">
        <v>464</v>
      </c>
      <c r="V124" s="214" t="s">
        <v>997</v>
      </c>
      <c r="W124" s="214" t="s">
        <v>507</v>
      </c>
      <c r="X124" s="214" t="s">
        <v>785</v>
      </c>
      <c r="Y124" s="331">
        <v>41275</v>
      </c>
      <c r="Z124" s="223" t="s">
        <v>424</v>
      </c>
      <c r="AA124" s="239" t="s">
        <v>775</v>
      </c>
      <c r="AB124" s="225">
        <v>43220</v>
      </c>
      <c r="AC124" s="218" t="s">
        <v>1736</v>
      </c>
      <c r="AD124" s="214" t="str">
        <f ca="1">IFERROR(OFFSET(DistanceToCamp[Nearest Town],MATCH(CampList[[#This Row],[CP_Pcode]],DistanceToCamp[CP_Pcode],0)-1,0,1,1),"")</f>
        <v>Hpakant Town</v>
      </c>
      <c r="AE124" s="227">
        <f ca="1">IFERROR(OFFSET(DistanceToCamp[distance],MATCH(CampList[[#This Row],[CP_Pcode]],DistanceToCamp[CP_Pcode],0)-1,0,1,1),"")</f>
        <v>5.184483270539272</v>
      </c>
      <c r="AF124" s="228">
        <f ca="1">IFERROR(INT(CampList[[#This Row],[Distance]]/5)+1,"")</f>
        <v>2</v>
      </c>
    </row>
    <row r="125" spans="2:32" ht="15.75" customHeight="1" x14ac:dyDescent="0.25">
      <c r="B125" s="242" t="s">
        <v>460</v>
      </c>
      <c r="C125" s="213" t="s">
        <v>378</v>
      </c>
      <c r="D125" s="213" t="s">
        <v>478</v>
      </c>
      <c r="E125" s="213" t="s">
        <v>237</v>
      </c>
      <c r="F125" s="213" t="s">
        <v>484</v>
      </c>
      <c r="G125" s="213" t="s">
        <v>309</v>
      </c>
      <c r="H125" s="213" t="s">
        <v>485</v>
      </c>
      <c r="I125" s="213" t="s">
        <v>695</v>
      </c>
      <c r="J125" s="232" t="s">
        <v>696</v>
      </c>
      <c r="K125" s="213" t="s">
        <v>697</v>
      </c>
      <c r="L125" s="213">
        <v>165790</v>
      </c>
      <c r="M125" s="213" t="s">
        <v>321</v>
      </c>
      <c r="N125" s="213" t="s">
        <v>320</v>
      </c>
      <c r="O125" s="221">
        <v>97.715230000000005</v>
      </c>
      <c r="P125" s="221">
        <v>24.980250000000002</v>
      </c>
      <c r="Q125" s="233">
        <v>984</v>
      </c>
      <c r="R125" s="737">
        <v>418</v>
      </c>
      <c r="S125" s="737">
        <v>1554</v>
      </c>
      <c r="T125" s="222">
        <f>IF(CampList[[#This Row],[HH]]&gt;0,CampList[[#This Row],[Total]]/CampList[[#This Row],[HH]],"NA")</f>
        <v>3.7177033492822966</v>
      </c>
      <c r="U125" s="197" t="s">
        <v>466</v>
      </c>
      <c r="V125" s="214" t="s">
        <v>997</v>
      </c>
      <c r="W125" s="197" t="s">
        <v>507</v>
      </c>
      <c r="X125" s="197" t="s">
        <v>785</v>
      </c>
      <c r="Y125" s="332">
        <v>40695</v>
      </c>
      <c r="Z125" s="233" t="s">
        <v>938</v>
      </c>
      <c r="AA125" s="213" t="s">
        <v>775</v>
      </c>
      <c r="AB125" s="731">
        <v>43220</v>
      </c>
      <c r="AC125" s="235" t="s">
        <v>1789</v>
      </c>
      <c r="AD125" s="236" t="str">
        <f ca="1">IFERROR(OFFSET(DistanceToCamp[Nearest Town],MATCH(CampList[[#This Row],[CP_Pcode]],DistanceToCamp[CP_Pcode],0)-1,0,1,1),"")</f>
        <v>Laiza town</v>
      </c>
      <c r="AE125" s="227">
        <f ca="1">IFERROR(OFFSET(DistanceToCamp[distance],MATCH(CampList[[#This Row],[CP_Pcode]],DistanceToCamp[CP_Pcode],0)-1,0,1,1),"")</f>
        <v>28.888856599204185</v>
      </c>
      <c r="AF125" s="237">
        <f ca="1">IFERROR(INT(CampList[[#This Row],[Distance]]/5)+1,"")</f>
        <v>6</v>
      </c>
    </row>
    <row r="126" spans="2:32" ht="15.75" hidden="1" customHeight="1" x14ac:dyDescent="0.25">
      <c r="B126" s="218" t="s">
        <v>776</v>
      </c>
      <c r="C126" s="212" t="s">
        <v>378</v>
      </c>
      <c r="D126" s="212" t="s">
        <v>478</v>
      </c>
      <c r="E126" s="212" t="s">
        <v>237</v>
      </c>
      <c r="F126" s="212" t="s">
        <v>484</v>
      </c>
      <c r="G126" s="212" t="s">
        <v>309</v>
      </c>
      <c r="H126" s="212" t="s">
        <v>485</v>
      </c>
      <c r="I126" s="226" t="s">
        <v>667</v>
      </c>
      <c r="J126" s="226" t="s">
        <v>668</v>
      </c>
      <c r="K126" s="226" t="s">
        <v>667</v>
      </c>
      <c r="L126" s="226">
        <v>165772</v>
      </c>
      <c r="M126" s="212" t="s">
        <v>1037</v>
      </c>
      <c r="N126" s="212" t="s">
        <v>313</v>
      </c>
      <c r="O126" s="219">
        <v>97.551507000000001</v>
      </c>
      <c r="P126" s="219">
        <v>24.747212999999999</v>
      </c>
      <c r="Q126" s="220">
        <v>221</v>
      </c>
      <c r="R126" s="302">
        <v>0</v>
      </c>
      <c r="S126" s="303">
        <v>0</v>
      </c>
      <c r="T126" s="222" t="str">
        <f>IF(CampList[[#This Row],[HH]]&gt;0,CampList[[#This Row],[Total]]/CampList[[#This Row],[HH]],"NA")</f>
        <v>NA</v>
      </c>
      <c r="U126" s="214" t="s">
        <v>466</v>
      </c>
      <c r="V126" s="214" t="s">
        <v>997</v>
      </c>
      <c r="W126" s="214" t="s">
        <v>507</v>
      </c>
      <c r="X126" s="214" t="s">
        <v>785</v>
      </c>
      <c r="Y126" s="223">
        <v>40695</v>
      </c>
      <c r="Z126" s="223" t="s">
        <v>938</v>
      </c>
      <c r="AA126" s="239" t="s">
        <v>775</v>
      </c>
      <c r="AB126" s="225">
        <v>42180</v>
      </c>
      <c r="AC126" s="218" t="s">
        <v>1051</v>
      </c>
      <c r="AD126" s="214" t="str">
        <f ca="1">IFERROR(OFFSET(DistanceToCamp[Nearest Town],MATCH(CampList[[#This Row],[CP_Pcode]],DistanceToCamp[CP_Pcode],0)-1,0,1,1),"")</f>
        <v>Laiza town</v>
      </c>
      <c r="AE126" s="227">
        <f ca="1">IFERROR(OFFSET(DistanceToCamp[distance],MATCH(CampList[[#This Row],[CP_Pcode]],DistanceToCamp[CP_Pcode],0)-1,0,1,1),"")</f>
        <v>1.857513522619473</v>
      </c>
      <c r="AF126" s="228">
        <f ca="1">IFERROR(INT(CampList[[#This Row],[Distance]]/5)+1,"")</f>
        <v>1</v>
      </c>
    </row>
    <row r="127" spans="2:32" ht="15.75" hidden="1" customHeight="1" x14ac:dyDescent="0.25">
      <c r="B127" s="218" t="s">
        <v>776</v>
      </c>
      <c r="C127" s="212" t="s">
        <v>378</v>
      </c>
      <c r="D127" s="212" t="s">
        <v>478</v>
      </c>
      <c r="E127" s="212" t="s">
        <v>237</v>
      </c>
      <c r="F127" s="212" t="s">
        <v>484</v>
      </c>
      <c r="G127" s="212" t="s">
        <v>309</v>
      </c>
      <c r="H127" s="212" t="s">
        <v>485</v>
      </c>
      <c r="I127" s="226" t="s">
        <v>667</v>
      </c>
      <c r="J127" s="226" t="s">
        <v>668</v>
      </c>
      <c r="K127" s="226" t="s">
        <v>667</v>
      </c>
      <c r="L127" s="226">
        <v>165772</v>
      </c>
      <c r="M127" s="212" t="s">
        <v>331</v>
      </c>
      <c r="N127" s="212" t="s">
        <v>330</v>
      </c>
      <c r="O127" s="219">
        <v>97.550267000000005</v>
      </c>
      <c r="P127" s="219">
        <v>24.747966999999999</v>
      </c>
      <c r="Q127" s="233"/>
      <c r="R127" s="302">
        <v>0</v>
      </c>
      <c r="S127" s="303">
        <v>0</v>
      </c>
      <c r="T127" s="222" t="str">
        <f>IF(CampList[[#This Row],[HH]]&gt;0,CampList[[#This Row],[Total]]/CampList[[#This Row],[HH]],"NA")</f>
        <v>NA</v>
      </c>
      <c r="U127" s="214" t="s">
        <v>464</v>
      </c>
      <c r="V127" s="214" t="s">
        <v>997</v>
      </c>
      <c r="W127" s="214" t="s">
        <v>507</v>
      </c>
      <c r="X127" s="214"/>
      <c r="Y127" s="234"/>
      <c r="Z127" s="224"/>
      <c r="AA127" s="239"/>
      <c r="AB127" s="243"/>
      <c r="AC127" s="218" t="s">
        <v>777</v>
      </c>
      <c r="AD127" s="214" t="str">
        <f ca="1">IFERROR(OFFSET(DistanceToCamp[Nearest Town],MATCH(CampList[[#This Row],[CP_Pcode]],DistanceToCamp[CP_Pcode],0)-1,0,1,1),"")</f>
        <v/>
      </c>
      <c r="AE127" s="227" t="str">
        <f ca="1">IFERROR(OFFSET(DistanceToCamp[distance],MATCH(CampList[[#This Row],[CP_Pcode]],DistanceToCamp[CP_Pcode],0)-1,0,1,1),"")</f>
        <v/>
      </c>
      <c r="AF127" s="228" t="str">
        <f ca="1">IFERROR(INT(CampList[[#This Row],[Distance]]/5)+1,"")</f>
        <v/>
      </c>
    </row>
    <row r="128" spans="2:32" ht="15.75" customHeight="1" x14ac:dyDescent="0.25">
      <c r="B128" s="242" t="s">
        <v>460</v>
      </c>
      <c r="C128" s="213" t="s">
        <v>378</v>
      </c>
      <c r="D128" s="213" t="s">
        <v>478</v>
      </c>
      <c r="E128" s="213" t="s">
        <v>237</v>
      </c>
      <c r="F128" s="213" t="s">
        <v>484</v>
      </c>
      <c r="G128" s="213" t="s">
        <v>309</v>
      </c>
      <c r="H128" s="213" t="s">
        <v>485</v>
      </c>
      <c r="I128" s="213" t="s">
        <v>633</v>
      </c>
      <c r="J128" s="232" t="s">
        <v>634</v>
      </c>
      <c r="K128" s="213" t="s">
        <v>633</v>
      </c>
      <c r="L128" s="213">
        <v>165740</v>
      </c>
      <c r="M128" s="213" t="s">
        <v>329</v>
      </c>
      <c r="N128" s="213" t="s">
        <v>328</v>
      </c>
      <c r="O128" s="221">
        <v>97.437782499999997</v>
      </c>
      <c r="P128" s="221">
        <v>25.415667500000001</v>
      </c>
      <c r="Q128" s="233"/>
      <c r="R128" s="292">
        <v>284</v>
      </c>
      <c r="S128" s="292">
        <v>1499</v>
      </c>
      <c r="T128" s="222">
        <f>IF(CampList[[#This Row],[HH]]&gt;0,CampList[[#This Row],[Total]]/CampList[[#This Row],[HH]],"NA")</f>
        <v>5.278169014084507</v>
      </c>
      <c r="U128" s="197" t="s">
        <v>464</v>
      </c>
      <c r="V128" s="214" t="s">
        <v>997</v>
      </c>
      <c r="W128" s="197" t="s">
        <v>507</v>
      </c>
      <c r="X128" s="197" t="s">
        <v>742</v>
      </c>
      <c r="Y128" s="332">
        <v>41426</v>
      </c>
      <c r="Z128" s="233" t="s">
        <v>938</v>
      </c>
      <c r="AA128" s="213" t="s">
        <v>775</v>
      </c>
      <c r="AB128" s="731">
        <v>43220</v>
      </c>
      <c r="AC128" s="235" t="s">
        <v>1790</v>
      </c>
      <c r="AD128" s="236" t="str">
        <f ca="1">IFERROR(OFFSET(DistanceToCamp[Nearest Town],MATCH(CampList[[#This Row],[CP_Pcode]],DistanceToCamp[CP_Pcode],0)-1,0,1,1),"")</f>
        <v>Myitkyina Town</v>
      </c>
      <c r="AE128" s="227">
        <f ca="1">IFERROR(OFFSET(DistanceToCamp[distance],MATCH(CampList[[#This Row],[CP_Pcode]],DistanceToCamp[CP_Pcode],0)-1,0,1,1),"")</f>
        <v>5.7019834469756479</v>
      </c>
      <c r="AF128" s="237">
        <f ca="1">IFERROR(INT(CampList[[#This Row],[Distance]]/5)+1,"")</f>
        <v>2</v>
      </c>
    </row>
    <row r="129" spans="2:32" ht="15.75" customHeight="1" x14ac:dyDescent="0.25">
      <c r="B129" s="218" t="s">
        <v>460</v>
      </c>
      <c r="C129" s="212" t="s">
        <v>378</v>
      </c>
      <c r="D129" s="212" t="s">
        <v>478</v>
      </c>
      <c r="E129" s="212" t="s">
        <v>180</v>
      </c>
      <c r="F129" s="212" t="s">
        <v>479</v>
      </c>
      <c r="G129" s="212" t="s">
        <v>480</v>
      </c>
      <c r="H129" s="212" t="s">
        <v>481</v>
      </c>
      <c r="I129" s="212" t="s">
        <v>538</v>
      </c>
      <c r="J129" s="212" t="s">
        <v>539</v>
      </c>
      <c r="K129" s="212" t="s">
        <v>542</v>
      </c>
      <c r="L129" s="212">
        <v>166788</v>
      </c>
      <c r="M129" s="212" t="s">
        <v>126</v>
      </c>
      <c r="N129" s="212" t="s">
        <v>125</v>
      </c>
      <c r="O129" s="219">
        <v>96.286680000000004</v>
      </c>
      <c r="P129" s="219">
        <v>25.577559999999998</v>
      </c>
      <c r="Q129" s="220">
        <v>0</v>
      </c>
      <c r="R129" s="292">
        <v>32</v>
      </c>
      <c r="S129" s="292">
        <v>180</v>
      </c>
      <c r="T129" s="222">
        <f>IF(CampList[[#This Row],[HH]]&gt;0,CampList[[#This Row],[Total]]/CampList[[#This Row],[HH]],"NA")</f>
        <v>5.625</v>
      </c>
      <c r="U129" s="214" t="s">
        <v>464</v>
      </c>
      <c r="V129" s="214" t="s">
        <v>997</v>
      </c>
      <c r="W129" s="214" t="s">
        <v>507</v>
      </c>
      <c r="X129" s="214" t="s">
        <v>742</v>
      </c>
      <c r="Y129" s="331">
        <v>41275</v>
      </c>
      <c r="Z129" s="223" t="s">
        <v>424</v>
      </c>
      <c r="AA129" s="212" t="s">
        <v>775</v>
      </c>
      <c r="AB129" s="225">
        <v>43220</v>
      </c>
      <c r="AC129" s="226" t="s">
        <v>1737</v>
      </c>
      <c r="AD129" s="214" t="str">
        <f ca="1">IFERROR(OFFSET(DistanceToCamp[Nearest Town],MATCH(CampList[[#This Row],[CP_Pcode]],DistanceToCamp[CP_Pcode],0)-1,0,1,1),"")</f>
        <v>Hpakant Town</v>
      </c>
      <c r="AE129" s="227">
        <f ca="1">IFERROR(OFFSET(DistanceToCamp[distance],MATCH(CampList[[#This Row],[CP_Pcode]],DistanceToCamp[CP_Pcode],0)-1,0,1,1),"")</f>
        <v>4.6754712546149264</v>
      </c>
      <c r="AF129" s="228">
        <f ca="1">IFERROR(INT(CampList[[#This Row],[Distance]]/5)+1,"")</f>
        <v>1</v>
      </c>
    </row>
    <row r="130" spans="2:32" ht="15.75" customHeight="1" x14ac:dyDescent="0.25">
      <c r="B130" s="218" t="s">
        <v>460</v>
      </c>
      <c r="C130" s="212" t="s">
        <v>378</v>
      </c>
      <c r="D130" s="212" t="s">
        <v>478</v>
      </c>
      <c r="E130" s="212" t="s">
        <v>180</v>
      </c>
      <c r="F130" s="212" t="s">
        <v>479</v>
      </c>
      <c r="G130" s="212" t="s">
        <v>480</v>
      </c>
      <c r="H130" s="212" t="s">
        <v>481</v>
      </c>
      <c r="I130" s="213" t="s">
        <v>1156</v>
      </c>
      <c r="J130" s="232" t="s">
        <v>1157</v>
      </c>
      <c r="K130" s="213" t="s">
        <v>1163</v>
      </c>
      <c r="L130" s="213">
        <v>166819</v>
      </c>
      <c r="M130" s="185" t="s">
        <v>1160</v>
      </c>
      <c r="N130" s="213" t="s">
        <v>1168</v>
      </c>
      <c r="O130" s="258">
        <v>96.662092000000001</v>
      </c>
      <c r="P130" s="258">
        <v>25.920006000000001</v>
      </c>
      <c r="Q130" s="233"/>
      <c r="R130" s="292">
        <v>19</v>
      </c>
      <c r="S130" s="292">
        <v>82</v>
      </c>
      <c r="T130" s="222">
        <f>IF(CampList[[#This Row],[HH]]&gt;0,CampList[[#This Row],[Total]]/CampList[[#This Row],[HH]],"NA")</f>
        <v>4.3157894736842106</v>
      </c>
      <c r="U130" s="197" t="s">
        <v>464</v>
      </c>
      <c r="V130" s="214" t="s">
        <v>997</v>
      </c>
      <c r="W130" s="197" t="s">
        <v>507</v>
      </c>
      <c r="X130" s="197" t="s">
        <v>785</v>
      </c>
      <c r="Y130" s="332">
        <v>42584</v>
      </c>
      <c r="Z130" s="223" t="s">
        <v>938</v>
      </c>
      <c r="AA130" s="213" t="s">
        <v>775</v>
      </c>
      <c r="AB130" s="731">
        <v>43220</v>
      </c>
      <c r="AC130" s="235" t="s">
        <v>1791</v>
      </c>
      <c r="AD130" s="236" t="str">
        <f ca="1">IFERROR(OFFSET(DistanceToCamp[Nearest Town],MATCH(CampList[[#This Row],[CP_Pcode]],DistanceToCamp[CP_Pcode],0)-1,0,1,1),"")</f>
        <v>Hpakant Town</v>
      </c>
      <c r="AE130" s="227">
        <f ca="1">IFERROR(OFFSET(DistanceToCamp[distance],MATCH(CampList[[#This Row],[CP_Pcode]],DistanceToCamp[CP_Pcode],0)-1,0,1,1),"")</f>
        <v>0</v>
      </c>
      <c r="AF130" s="237">
        <f ca="1">IFERROR(INT(CampList[[#This Row],[Distance]]/5)+1,"")</f>
        <v>1</v>
      </c>
    </row>
    <row r="131" spans="2:32" ht="15.75" customHeight="1" x14ac:dyDescent="0.25">
      <c r="B131" s="231" t="s">
        <v>460</v>
      </c>
      <c r="C131" s="213" t="s">
        <v>378</v>
      </c>
      <c r="D131" s="213" t="s">
        <v>478</v>
      </c>
      <c r="E131" s="213" t="s">
        <v>237</v>
      </c>
      <c r="F131" s="213" t="s">
        <v>484</v>
      </c>
      <c r="G131" s="213" t="s">
        <v>237</v>
      </c>
      <c r="H131" s="213" t="s">
        <v>488</v>
      </c>
      <c r="I131" s="213" t="s">
        <v>609</v>
      </c>
      <c r="J131" s="232" t="s">
        <v>610</v>
      </c>
      <c r="K131" s="213" t="s">
        <v>609</v>
      </c>
      <c r="L131" s="213">
        <v>165695</v>
      </c>
      <c r="M131" s="213" t="s">
        <v>270</v>
      </c>
      <c r="N131" s="213" t="s">
        <v>269</v>
      </c>
      <c r="O131" s="221">
        <v>97.359320179999997</v>
      </c>
      <c r="P131" s="221">
        <v>25.410569299999999</v>
      </c>
      <c r="Q131" s="233"/>
      <c r="R131" s="292">
        <v>58</v>
      </c>
      <c r="S131" s="292">
        <v>308</v>
      </c>
      <c r="T131" s="222">
        <f>IF(CampList[[#This Row],[HH]]&gt;0,CampList[[#This Row],[Total]]/CampList[[#This Row],[HH]],"NA")</f>
        <v>5.3103448275862073</v>
      </c>
      <c r="U131" s="197" t="s">
        <v>464</v>
      </c>
      <c r="V131" s="214" t="s">
        <v>997</v>
      </c>
      <c r="W131" s="197" t="s">
        <v>507</v>
      </c>
      <c r="X131" s="197" t="s">
        <v>742</v>
      </c>
      <c r="Y131" s="332">
        <v>40909</v>
      </c>
      <c r="Z131" s="233" t="s">
        <v>938</v>
      </c>
      <c r="AA131" s="213" t="s">
        <v>775</v>
      </c>
      <c r="AB131" s="731">
        <v>43220</v>
      </c>
      <c r="AC131" s="235" t="s">
        <v>1792</v>
      </c>
      <c r="AD131" s="236" t="str">
        <f ca="1">IFERROR(OFFSET(DistanceToCamp[Nearest Town],MATCH(CampList[[#This Row],[CP_Pcode]],DistanceToCamp[CP_Pcode],0)-1,0,1,1),"")</f>
        <v>Myitkyina Town</v>
      </c>
      <c r="AE131" s="227">
        <f ca="1">IFERROR(OFFSET(DistanceToCamp[distance],MATCH(CampList[[#This Row],[CP_Pcode]],DistanceToCamp[CP_Pcode],0)-1,0,1,1),"")</f>
        <v>4.037940696665812</v>
      </c>
      <c r="AF131" s="237">
        <f ca="1">IFERROR(INT(CampList[[#This Row],[Distance]]/5)+1,"")</f>
        <v>1</v>
      </c>
    </row>
    <row r="132" spans="2:32" ht="15.75" customHeight="1" x14ac:dyDescent="0.25">
      <c r="B132" s="218" t="s">
        <v>460</v>
      </c>
      <c r="C132" s="212" t="s">
        <v>378</v>
      </c>
      <c r="D132" s="212" t="s">
        <v>478</v>
      </c>
      <c r="E132" s="212" t="s">
        <v>180</v>
      </c>
      <c r="F132" s="212" t="s">
        <v>479</v>
      </c>
      <c r="G132" s="212" t="s">
        <v>480</v>
      </c>
      <c r="H132" s="212" t="s">
        <v>481</v>
      </c>
      <c r="I132" s="226" t="s">
        <v>549</v>
      </c>
      <c r="J132" s="226" t="s">
        <v>550</v>
      </c>
      <c r="K132" s="226" t="s">
        <v>549</v>
      </c>
      <c r="L132" s="226">
        <v>166776</v>
      </c>
      <c r="M132" s="212" t="s">
        <v>108</v>
      </c>
      <c r="N132" s="212" t="s">
        <v>107</v>
      </c>
      <c r="O132" s="219">
        <v>96.341352999999998</v>
      </c>
      <c r="P132" s="219">
        <v>25.613894999999999</v>
      </c>
      <c r="Q132" s="220">
        <v>251</v>
      </c>
      <c r="R132" s="292">
        <v>48</v>
      </c>
      <c r="S132" s="292">
        <v>225</v>
      </c>
      <c r="T132" s="222">
        <f>IF(CampList[[#This Row],[HH]]&gt;0,CampList[[#This Row],[Total]]/CampList[[#This Row],[HH]],"NA")</f>
        <v>4.6875</v>
      </c>
      <c r="U132" s="214" t="s">
        <v>464</v>
      </c>
      <c r="V132" s="214" t="s">
        <v>997</v>
      </c>
      <c r="W132" s="214" t="s">
        <v>507</v>
      </c>
      <c r="X132" s="214" t="s">
        <v>742</v>
      </c>
      <c r="Y132" s="331">
        <v>41487</v>
      </c>
      <c r="Z132" s="223" t="s">
        <v>938</v>
      </c>
      <c r="AA132" s="239" t="s">
        <v>775</v>
      </c>
      <c r="AB132" s="731">
        <v>43220</v>
      </c>
      <c r="AC132" s="218" t="s">
        <v>1793</v>
      </c>
      <c r="AD132" s="214" t="str">
        <f ca="1">IFERROR(OFFSET(DistanceToCamp[Nearest Town],MATCH(CampList[[#This Row],[CP_Pcode]],DistanceToCamp[CP_Pcode],0)-1,0,1,1),"")</f>
        <v>Hpakant Town</v>
      </c>
      <c r="AE132" s="227">
        <f ca="1">IFERROR(OFFSET(DistanceToCamp[distance],MATCH(CampList[[#This Row],[CP_Pcode]],DistanceToCamp[CP_Pcode],0)-1,0,1,1),"")</f>
        <v>2.9334852607184256</v>
      </c>
      <c r="AF132" s="228">
        <f ca="1">IFERROR(INT(CampList[[#This Row],[Distance]]/5)+1,"")</f>
        <v>1</v>
      </c>
    </row>
    <row r="133" spans="2:32" ht="15.75" customHeight="1" x14ac:dyDescent="0.25">
      <c r="B133" s="231" t="s">
        <v>460</v>
      </c>
      <c r="C133" s="213" t="s">
        <v>378</v>
      </c>
      <c r="D133" s="213" t="s">
        <v>478</v>
      </c>
      <c r="E133" s="213" t="s">
        <v>5</v>
      </c>
      <c r="F133" s="213" t="s">
        <v>482</v>
      </c>
      <c r="G133" s="213" t="s">
        <v>185</v>
      </c>
      <c r="H133" s="213" t="s">
        <v>486</v>
      </c>
      <c r="I133" s="213" t="s">
        <v>598</v>
      </c>
      <c r="J133" s="232" t="s">
        <v>599</v>
      </c>
      <c r="K133" s="213" t="s">
        <v>598</v>
      </c>
      <c r="L133" s="213">
        <v>167009</v>
      </c>
      <c r="M133" s="213" t="s">
        <v>202</v>
      </c>
      <c r="N133" s="213" t="s">
        <v>201</v>
      </c>
      <c r="O133" s="221">
        <v>97.325019999999995</v>
      </c>
      <c r="P133" s="221">
        <v>24.245100000000001</v>
      </c>
      <c r="Q133" s="233"/>
      <c r="R133" s="221">
        <v>274</v>
      </c>
      <c r="S133" s="221">
        <v>1210</v>
      </c>
      <c r="T133" s="222">
        <f>IF(CampList[[#This Row],[HH]]&gt;0,CampList[[#This Row],[Total]]/CampList[[#This Row],[HH]],"NA")</f>
        <v>4.4160583941605838</v>
      </c>
      <c r="U133" s="197" t="s">
        <v>464</v>
      </c>
      <c r="V133" s="214" t="s">
        <v>997</v>
      </c>
      <c r="W133" s="197" t="s">
        <v>507</v>
      </c>
      <c r="X133" s="197" t="s">
        <v>742</v>
      </c>
      <c r="Y133" s="332">
        <v>41030</v>
      </c>
      <c r="Z133" s="233" t="s">
        <v>937</v>
      </c>
      <c r="AA133" s="213" t="s">
        <v>775</v>
      </c>
      <c r="AB133" s="225">
        <v>43220</v>
      </c>
      <c r="AC133" s="235" t="s">
        <v>1778</v>
      </c>
      <c r="AD133" s="236" t="str">
        <f ca="1">IFERROR(OFFSET(DistanceToCamp[Nearest Town],MATCH(CampList[[#This Row],[CP_Pcode]],DistanceToCamp[CP_Pcode],0)-1,0,1,1),"")</f>
        <v>Momauk Town</v>
      </c>
      <c r="AE133" s="227">
        <f ca="1">IFERROR(OFFSET(DistanceToCamp[distance],MATCH(CampList[[#This Row],[CP_Pcode]],DistanceToCamp[CP_Pcode],0)-1,0,1,1),"")</f>
        <v>2.4411071835305544</v>
      </c>
      <c r="AF133" s="237">
        <f ca="1">IFERROR(INT(CampList[[#This Row],[Distance]]/5)+1,"")</f>
        <v>1</v>
      </c>
    </row>
    <row r="134" spans="2:32" ht="15.75" customHeight="1" x14ac:dyDescent="0.25">
      <c r="B134" s="231" t="s">
        <v>460</v>
      </c>
      <c r="C134" s="213" t="s">
        <v>378</v>
      </c>
      <c r="D134" s="213" t="s">
        <v>478</v>
      </c>
      <c r="E134" s="213" t="s">
        <v>5</v>
      </c>
      <c r="F134" s="213" t="s">
        <v>482</v>
      </c>
      <c r="G134" s="213" t="s">
        <v>151</v>
      </c>
      <c r="H134" s="213" t="s">
        <v>492</v>
      </c>
      <c r="I134" s="213" t="s">
        <v>600</v>
      </c>
      <c r="J134" s="232" t="s">
        <v>601</v>
      </c>
      <c r="K134" s="226" t="s">
        <v>600</v>
      </c>
      <c r="L134" s="238">
        <v>167405</v>
      </c>
      <c r="M134" s="213" t="s">
        <v>154</v>
      </c>
      <c r="N134" s="213" t="s">
        <v>153</v>
      </c>
      <c r="O134" s="221">
        <v>97.578490000000002</v>
      </c>
      <c r="P134" s="221">
        <v>23.835319999999999</v>
      </c>
      <c r="Q134" s="233">
        <v>795</v>
      </c>
      <c r="R134" s="221">
        <v>447</v>
      </c>
      <c r="S134" s="221">
        <v>2332</v>
      </c>
      <c r="T134" s="222">
        <f>IF(CampList[[#This Row],[HH]]&gt;0,CampList[[#This Row],[Total]]/CampList[[#This Row],[HH]],"NA")</f>
        <v>5.217002237136465</v>
      </c>
      <c r="U134" s="197" t="s">
        <v>464</v>
      </c>
      <c r="V134" s="214" t="s">
        <v>997</v>
      </c>
      <c r="W134" s="197" t="s">
        <v>507</v>
      </c>
      <c r="X134" s="197" t="s">
        <v>785</v>
      </c>
      <c r="Y134" s="332">
        <v>40848</v>
      </c>
      <c r="Z134" s="233" t="s">
        <v>937</v>
      </c>
      <c r="AA134" s="213" t="s">
        <v>775</v>
      </c>
      <c r="AB134" s="225">
        <v>43220</v>
      </c>
      <c r="AC134" s="235" t="s">
        <v>1777</v>
      </c>
      <c r="AD134" s="236" t="str">
        <f ca="1">IFERROR(OFFSET(DistanceToCamp[Nearest Town],MATCH(CampList[[#This Row],[CP_Pcode]],DistanceToCamp[CP_Pcode],0)-1,0,1,1),"")</f>
        <v>Namhkan Town</v>
      </c>
      <c r="AE134" s="227">
        <f ca="1">IFERROR(OFFSET(DistanceToCamp[distance],MATCH(CampList[[#This Row],[CP_Pcode]],DistanceToCamp[CP_Pcode],0)-1,0,1,1),"")</f>
        <v>10.509375400480517</v>
      </c>
      <c r="AF134" s="237">
        <f ca="1">IFERROR(INT(CampList[[#This Row],[Distance]]/5)+1,"")</f>
        <v>3</v>
      </c>
    </row>
    <row r="135" spans="2:32" ht="15.75" customHeight="1" x14ac:dyDescent="0.25">
      <c r="B135" s="231" t="s">
        <v>460</v>
      </c>
      <c r="C135" s="213" t="s">
        <v>378</v>
      </c>
      <c r="D135" s="213" t="s">
        <v>478</v>
      </c>
      <c r="E135" s="213" t="s">
        <v>5</v>
      </c>
      <c r="F135" s="213" t="s">
        <v>482</v>
      </c>
      <c r="G135" s="213" t="s">
        <v>151</v>
      </c>
      <c r="H135" s="213" t="s">
        <v>492</v>
      </c>
      <c r="I135" s="213" t="s">
        <v>600</v>
      </c>
      <c r="J135" s="232" t="s">
        <v>601</v>
      </c>
      <c r="K135" s="226" t="s">
        <v>600</v>
      </c>
      <c r="L135" s="238">
        <v>167405</v>
      </c>
      <c r="M135" s="213" t="s">
        <v>913</v>
      </c>
      <c r="N135" s="213" t="s">
        <v>914</v>
      </c>
      <c r="O135" s="221">
        <v>97.578367</v>
      </c>
      <c r="P135" s="221">
        <v>23.833477999999999</v>
      </c>
      <c r="Q135" s="233">
        <v>925</v>
      </c>
      <c r="R135" s="221">
        <v>156</v>
      </c>
      <c r="S135" s="221">
        <v>711</v>
      </c>
      <c r="T135" s="222">
        <f>IF(CampList[[#This Row],[HH]]&gt;0,CampList[[#This Row],[Total]]/CampList[[#This Row],[HH]],"NA")</f>
        <v>4.5576923076923075</v>
      </c>
      <c r="U135" s="197" t="s">
        <v>464</v>
      </c>
      <c r="V135" s="214" t="s">
        <v>997</v>
      </c>
      <c r="W135" s="197" t="s">
        <v>507</v>
      </c>
      <c r="X135" s="197" t="s">
        <v>785</v>
      </c>
      <c r="Y135" s="332">
        <v>41791</v>
      </c>
      <c r="Z135" s="233" t="s">
        <v>937</v>
      </c>
      <c r="AA135" s="213" t="s">
        <v>775</v>
      </c>
      <c r="AB135" s="225">
        <v>43220</v>
      </c>
      <c r="AC135" s="235" t="s">
        <v>1776</v>
      </c>
      <c r="AD135" s="236" t="str">
        <f ca="1">IFERROR(OFFSET(DistanceToCamp[Nearest Town],MATCH(CampList[[#This Row],[CP_Pcode]],DistanceToCamp[CP_Pcode],0)-1,0,1,1),"")</f>
        <v>Namhkan Town</v>
      </c>
      <c r="AE135" s="227">
        <f ca="1">IFERROR(OFFSET(DistanceToCamp[distance],MATCH(CampList[[#This Row],[CP_Pcode]],DistanceToCamp[CP_Pcode],0)-1,0,1,1),"")</f>
        <v>10.527586947557506</v>
      </c>
      <c r="AF135" s="237">
        <f ca="1">IFERROR(INT(CampList[[#This Row],[Distance]]/5)+1,"")</f>
        <v>3</v>
      </c>
    </row>
    <row r="136" spans="2:32" ht="15.75" customHeight="1" x14ac:dyDescent="0.25">
      <c r="B136" s="231" t="s">
        <v>460</v>
      </c>
      <c r="C136" s="213" t="s">
        <v>378</v>
      </c>
      <c r="D136" s="213" t="s">
        <v>478</v>
      </c>
      <c r="E136" s="213" t="s">
        <v>5</v>
      </c>
      <c r="F136" s="213" t="s">
        <v>482</v>
      </c>
      <c r="G136" s="213" t="s">
        <v>5</v>
      </c>
      <c r="H136" s="213" t="s">
        <v>483</v>
      </c>
      <c r="I136" s="213" t="s">
        <v>594</v>
      </c>
      <c r="J136" s="232" t="s">
        <v>595</v>
      </c>
      <c r="K136" s="213" t="s">
        <v>594</v>
      </c>
      <c r="L136" s="213">
        <v>166844</v>
      </c>
      <c r="M136" s="213" t="s">
        <v>20</v>
      </c>
      <c r="N136" s="213" t="s">
        <v>19</v>
      </c>
      <c r="O136" s="221">
        <v>97.315860000000001</v>
      </c>
      <c r="P136" s="221">
        <v>24.32638</v>
      </c>
      <c r="Q136" s="233"/>
      <c r="R136" s="221">
        <v>21</v>
      </c>
      <c r="S136" s="221">
        <v>112</v>
      </c>
      <c r="T136" s="222">
        <f>IF(CampList[[#This Row],[HH]]&gt;0,CampList[[#This Row],[Total]]/CampList[[#This Row],[HH]],"NA")</f>
        <v>5.333333333333333</v>
      </c>
      <c r="U136" s="197" t="s">
        <v>464</v>
      </c>
      <c r="V136" s="214" t="s">
        <v>997</v>
      </c>
      <c r="W136" s="197" t="s">
        <v>507</v>
      </c>
      <c r="X136" s="197" t="s">
        <v>742</v>
      </c>
      <c r="Y136" s="332">
        <v>40848</v>
      </c>
      <c r="Z136" s="233" t="s">
        <v>937</v>
      </c>
      <c r="AA136" s="213" t="s">
        <v>775</v>
      </c>
      <c r="AB136" s="225">
        <v>43220</v>
      </c>
      <c r="AC136" s="235" t="s">
        <v>1775</v>
      </c>
      <c r="AD136" s="236" t="str">
        <f ca="1">IFERROR(OFFSET(DistanceToCamp[Nearest Town],MATCH(CampList[[#This Row],[CP_Pcode]],DistanceToCamp[CP_Pcode],0)-1,0,1,1),"")</f>
        <v>Momauk Town</v>
      </c>
      <c r="AE136" s="227">
        <f ca="1">IFERROR(OFFSET(DistanceToCamp[distance],MATCH(CampList[[#This Row],[CP_Pcode]],DistanceToCamp[CP_Pcode],0)-1,0,1,1),"")</f>
        <v>8.3788619521763046</v>
      </c>
      <c r="AF136" s="237">
        <f ca="1">IFERROR(INT(CampList[[#This Row],[Distance]]/5)+1,"")</f>
        <v>2</v>
      </c>
    </row>
    <row r="137" spans="2:32" ht="15.75" customHeight="1" x14ac:dyDescent="0.25">
      <c r="B137" s="231" t="s">
        <v>460</v>
      </c>
      <c r="C137" s="213" t="s">
        <v>378</v>
      </c>
      <c r="D137" s="213" t="s">
        <v>478</v>
      </c>
      <c r="E137" s="213" t="s">
        <v>5</v>
      </c>
      <c r="F137" s="213" t="s">
        <v>482</v>
      </c>
      <c r="G137" s="213" t="s">
        <v>185</v>
      </c>
      <c r="H137" s="213" t="s">
        <v>486</v>
      </c>
      <c r="I137" s="213" t="s">
        <v>686</v>
      </c>
      <c r="J137" s="232" t="s">
        <v>687</v>
      </c>
      <c r="K137" s="213" t="s">
        <v>688</v>
      </c>
      <c r="L137" s="213">
        <v>167138</v>
      </c>
      <c r="M137" s="213" t="s">
        <v>215</v>
      </c>
      <c r="N137" s="213" t="s">
        <v>214</v>
      </c>
      <c r="O137" s="221">
        <v>97.669366999999994</v>
      </c>
      <c r="P137" s="221">
        <v>24.378167000000001</v>
      </c>
      <c r="Q137" s="233">
        <v>1149</v>
      </c>
      <c r="R137" s="221">
        <v>356</v>
      </c>
      <c r="S137" s="221">
        <v>1787</v>
      </c>
      <c r="T137" s="222">
        <f>IF(CampList[[#This Row],[HH]]&gt;0,CampList[[#This Row],[Total]]/CampList[[#This Row],[HH]],"NA")</f>
        <v>5.0196629213483144</v>
      </c>
      <c r="U137" s="197" t="s">
        <v>466</v>
      </c>
      <c r="V137" s="214" t="s">
        <v>997</v>
      </c>
      <c r="W137" s="197" t="s">
        <v>507</v>
      </c>
      <c r="X137" s="197" t="s">
        <v>785</v>
      </c>
      <c r="Y137" s="332">
        <v>41000</v>
      </c>
      <c r="Z137" s="233" t="s">
        <v>937</v>
      </c>
      <c r="AA137" s="213" t="s">
        <v>775</v>
      </c>
      <c r="AB137" s="225">
        <v>43220</v>
      </c>
      <c r="AC137" s="235" t="s">
        <v>1774</v>
      </c>
      <c r="AD137" s="236" t="str">
        <f ca="1">IFERROR(OFFSET(DistanceToCamp[Nearest Town],MATCH(CampList[[#This Row],[CP_Pcode]],DistanceToCamp[CP_Pcode],0)-1,0,1,1),"")</f>
        <v>Lwegel Town</v>
      </c>
      <c r="AE137" s="227">
        <f ca="1">IFERROR(OFFSET(DistanceToCamp[distance],MATCH(CampList[[#This Row],[CP_Pcode]],DistanceToCamp[CP_Pcode],0)-1,0,1,1),"")</f>
        <v>20.558236360788097</v>
      </c>
      <c r="AF137" s="237">
        <f ca="1">IFERROR(INT(CampList[[#This Row],[Distance]]/5)+1,"")</f>
        <v>5</v>
      </c>
    </row>
    <row r="138" spans="2:32" ht="15.75" customHeight="1" x14ac:dyDescent="0.25">
      <c r="B138" s="218" t="s">
        <v>460</v>
      </c>
      <c r="C138" s="212" t="s">
        <v>378</v>
      </c>
      <c r="D138" s="212" t="s">
        <v>478</v>
      </c>
      <c r="E138" s="212" t="s">
        <v>5</v>
      </c>
      <c r="F138" s="212" t="s">
        <v>482</v>
      </c>
      <c r="G138" s="212" t="s">
        <v>5</v>
      </c>
      <c r="H138" s="212" t="s">
        <v>483</v>
      </c>
      <c r="I138" s="212" t="s">
        <v>585</v>
      </c>
      <c r="J138" s="212" t="s">
        <v>586</v>
      </c>
      <c r="K138" s="212" t="s">
        <v>587</v>
      </c>
      <c r="L138" s="212">
        <v>166854</v>
      </c>
      <c r="M138" s="212" t="s">
        <v>364</v>
      </c>
      <c r="N138" s="212" t="s">
        <v>374</v>
      </c>
      <c r="O138" s="219">
        <v>97.252650000000003</v>
      </c>
      <c r="P138" s="219">
        <v>24.222349999999999</v>
      </c>
      <c r="Q138" s="220">
        <v>0</v>
      </c>
      <c r="R138" s="292">
        <v>147</v>
      </c>
      <c r="S138" s="292">
        <v>771</v>
      </c>
      <c r="T138" s="222">
        <f>IF(CampList[[#This Row],[HH]]&gt;0,CampList[[#This Row],[Total]]/CampList[[#This Row],[HH]],"NA")</f>
        <v>5.2448979591836737</v>
      </c>
      <c r="U138" s="214" t="s">
        <v>464</v>
      </c>
      <c r="V138" s="214" t="s">
        <v>997</v>
      </c>
      <c r="W138" s="214" t="s">
        <v>507</v>
      </c>
      <c r="X138" s="214" t="s">
        <v>742</v>
      </c>
      <c r="Y138" s="331">
        <v>41275</v>
      </c>
      <c r="Z138" s="223" t="s">
        <v>424</v>
      </c>
      <c r="AA138" s="212" t="s">
        <v>775</v>
      </c>
      <c r="AB138" s="225">
        <v>43220</v>
      </c>
      <c r="AC138" s="226" t="s">
        <v>1738</v>
      </c>
      <c r="AD138" s="214" t="str">
        <f ca="1">IFERROR(OFFSET(DistanceToCamp[Nearest Town],MATCH(CampList[[#This Row],[CP_Pcode]],DistanceToCamp[CP_Pcode],0)-1,0,1,1),"")</f>
        <v>Bhamo Town</v>
      </c>
      <c r="AE138" s="227">
        <f ca="1">IFERROR(OFFSET(DistanceToCamp[distance],MATCH(CampList[[#This Row],[CP_Pcode]],DistanceToCamp[CP_Pcode],0)-1,0,1,1),"")</f>
        <v>4.067486452659054</v>
      </c>
      <c r="AF138" s="228">
        <f ca="1">IFERROR(INT(CampList[[#This Row],[Distance]]/5)+1,"")</f>
        <v>1</v>
      </c>
    </row>
    <row r="139" spans="2:32" ht="15.75" customHeight="1" x14ac:dyDescent="0.25">
      <c r="B139" s="218" t="s">
        <v>460</v>
      </c>
      <c r="C139" s="212" t="s">
        <v>378</v>
      </c>
      <c r="D139" s="212" t="s">
        <v>478</v>
      </c>
      <c r="E139" s="212" t="s">
        <v>5</v>
      </c>
      <c r="F139" s="212" t="s">
        <v>482</v>
      </c>
      <c r="G139" s="212" t="s">
        <v>151</v>
      </c>
      <c r="H139" s="212" t="s">
        <v>492</v>
      </c>
      <c r="I139" s="226" t="s">
        <v>600</v>
      </c>
      <c r="J139" s="226" t="s">
        <v>601</v>
      </c>
      <c r="K139" s="226" t="s">
        <v>600</v>
      </c>
      <c r="L139" s="226">
        <v>167405</v>
      </c>
      <c r="M139" s="212" t="s">
        <v>156</v>
      </c>
      <c r="N139" s="212" t="s">
        <v>155</v>
      </c>
      <c r="O139" s="219">
        <v>97.588291999999996</v>
      </c>
      <c r="P139" s="219">
        <v>23.827870999999998</v>
      </c>
      <c r="Q139" s="233"/>
      <c r="R139" s="329">
        <v>175</v>
      </c>
      <c r="S139" s="330">
        <v>834</v>
      </c>
      <c r="T139" s="222">
        <f>IF(CampList[[#This Row],[HH]]&gt;0,CampList[[#This Row],[Total]]/CampList[[#This Row],[HH]],"NA")</f>
        <v>4.765714285714286</v>
      </c>
      <c r="U139" s="214" t="s">
        <v>464</v>
      </c>
      <c r="V139" s="214" t="s">
        <v>997</v>
      </c>
      <c r="W139" s="244" t="s">
        <v>12</v>
      </c>
      <c r="X139" s="214" t="s">
        <v>785</v>
      </c>
      <c r="Y139" s="332"/>
      <c r="Z139" s="224"/>
      <c r="AA139" s="239" t="s">
        <v>775</v>
      </c>
      <c r="AB139" s="247">
        <v>43090</v>
      </c>
      <c r="AC139" s="226" t="s">
        <v>1580</v>
      </c>
      <c r="AD139" s="214" t="str">
        <f ca="1">IFERROR(OFFSET(DistanceToCamp[Nearest Town],MATCH(CampList[[#This Row],[CP_Pcode]],DistanceToCamp[CP_Pcode],0)-1,0,1,1),"")</f>
        <v>Namhkan Town</v>
      </c>
      <c r="AE139" s="227">
        <f ca="1">IFERROR(OFFSET(DistanceToCamp[distance],MATCH(CampList[[#This Row],[CP_Pcode]],DistanceToCamp[CP_Pcode],0)-1,0,1,1),"")</f>
        <v>9.5650381623500511</v>
      </c>
      <c r="AF139" s="228">
        <f ca="1">IFERROR(INT(CampList[[#This Row],[Distance]]/5)+1,"")</f>
        <v>2</v>
      </c>
    </row>
    <row r="140" spans="2:32" ht="15.75" hidden="1" customHeight="1" x14ac:dyDescent="0.25">
      <c r="B140" s="218" t="s">
        <v>776</v>
      </c>
      <c r="C140" s="212" t="s">
        <v>378</v>
      </c>
      <c r="D140" s="212" t="s">
        <v>478</v>
      </c>
      <c r="E140" s="212" t="s">
        <v>5</v>
      </c>
      <c r="F140" s="212" t="s">
        <v>482</v>
      </c>
      <c r="G140" s="212" t="s">
        <v>151</v>
      </c>
      <c r="H140" s="212" t="s">
        <v>492</v>
      </c>
      <c r="I140" s="226" t="s">
        <v>677</v>
      </c>
      <c r="J140" s="226" t="s">
        <v>678</v>
      </c>
      <c r="K140" s="226"/>
      <c r="L140" s="226"/>
      <c r="M140" s="212" t="s">
        <v>158</v>
      </c>
      <c r="N140" s="212" t="s">
        <v>157</v>
      </c>
      <c r="O140" s="219">
        <v>97.585667000000001</v>
      </c>
      <c r="P140" s="219">
        <v>23.9055</v>
      </c>
      <c r="Q140" s="220">
        <v>745</v>
      </c>
      <c r="R140" s="302">
        <v>0</v>
      </c>
      <c r="S140" s="303">
        <v>0</v>
      </c>
      <c r="T140" s="222" t="str">
        <f>IF(CampList[[#This Row],[HH]]&gt;0,CampList[[#This Row],[Total]]/CampList[[#This Row],[HH]],"NA")</f>
        <v>NA</v>
      </c>
      <c r="U140" s="214" t="s">
        <v>466</v>
      </c>
      <c r="V140" s="214" t="s">
        <v>997</v>
      </c>
      <c r="W140" s="214" t="s">
        <v>507</v>
      </c>
      <c r="X140" s="214" t="s">
        <v>786</v>
      </c>
      <c r="Y140" s="223">
        <v>41122</v>
      </c>
      <c r="Z140" s="223" t="s">
        <v>937</v>
      </c>
      <c r="AA140" s="239" t="s">
        <v>775</v>
      </c>
      <c r="AB140" s="225">
        <v>42235</v>
      </c>
      <c r="AC140" s="218" t="s">
        <v>1066</v>
      </c>
      <c r="AD140" s="214" t="str">
        <f ca="1">IFERROR(OFFSET(DistanceToCamp[Nearest Town],MATCH(CampList[[#This Row],[CP_Pcode]],DistanceToCamp[CP_Pcode],0)-1,0,1,1),"")</f>
        <v>Namhkan Town</v>
      </c>
      <c r="AE140" s="227">
        <f ca="1">IFERROR(OFFSET(DistanceToCamp[distance],MATCH(CampList[[#This Row],[CP_Pcode]],DistanceToCamp[CP_Pcode],0)-1,0,1,1),"")</f>
        <v>12.392289083396149</v>
      </c>
      <c r="AF140" s="228">
        <f ca="1">IFERROR(INT(CampList[[#This Row],[Distance]]/5)+1,"")</f>
        <v>3</v>
      </c>
    </row>
    <row r="141" spans="2:32" ht="15.75" hidden="1" customHeight="1" x14ac:dyDescent="0.25">
      <c r="B141" s="218" t="s">
        <v>776</v>
      </c>
      <c r="C141" s="212" t="s">
        <v>378</v>
      </c>
      <c r="D141" s="212" t="s">
        <v>478</v>
      </c>
      <c r="E141" s="212" t="s">
        <v>5</v>
      </c>
      <c r="F141" s="212" t="s">
        <v>482</v>
      </c>
      <c r="G141" s="212" t="s">
        <v>151</v>
      </c>
      <c r="H141" s="212" t="s">
        <v>492</v>
      </c>
      <c r="I141" s="226" t="s">
        <v>600</v>
      </c>
      <c r="J141" s="226" t="s">
        <v>601</v>
      </c>
      <c r="K141" s="226"/>
      <c r="L141" s="226"/>
      <c r="M141" s="212" t="s">
        <v>162</v>
      </c>
      <c r="N141" s="212" t="s">
        <v>161</v>
      </c>
      <c r="O141" s="219"/>
      <c r="P141" s="219"/>
      <c r="Q141" s="233"/>
      <c r="R141" s="302">
        <v>0</v>
      </c>
      <c r="S141" s="303">
        <v>0</v>
      </c>
      <c r="T141" s="222" t="str">
        <f>IF(CampList[[#This Row],[HH]]&gt;0,CampList[[#This Row],[Total]]/CampList[[#This Row],[HH]],"NA")</f>
        <v>NA</v>
      </c>
      <c r="U141" s="214" t="s">
        <v>466</v>
      </c>
      <c r="V141" s="214" t="s">
        <v>997</v>
      </c>
      <c r="W141" s="214" t="s">
        <v>507</v>
      </c>
      <c r="X141" s="214"/>
      <c r="Y141" s="234"/>
      <c r="Z141" s="224"/>
      <c r="AA141" s="239" t="s">
        <v>775</v>
      </c>
      <c r="AB141" s="225">
        <v>41737</v>
      </c>
      <c r="AC141" s="218" t="s">
        <v>896</v>
      </c>
      <c r="AD141" s="214" t="str">
        <f ca="1">IFERROR(OFFSET(DistanceToCamp[Nearest Town],MATCH(CampList[[#This Row],[CP_Pcode]],DistanceToCamp[CP_Pcode],0)-1,0,1,1),"")</f>
        <v/>
      </c>
      <c r="AE141" s="227" t="str">
        <f ca="1">IFERROR(OFFSET(DistanceToCamp[distance],MATCH(CampList[[#This Row],[CP_Pcode]],DistanceToCamp[CP_Pcode],0)-1,0,1,1),"")</f>
        <v/>
      </c>
      <c r="AF141" s="228" t="str">
        <f ca="1">IFERROR(INT(CampList[[#This Row],[Distance]]/5)+1,"")</f>
        <v/>
      </c>
    </row>
    <row r="142" spans="2:32" ht="15.75" hidden="1" customHeight="1" x14ac:dyDescent="0.25">
      <c r="B142" s="218" t="s">
        <v>776</v>
      </c>
      <c r="C142" s="212" t="s">
        <v>378</v>
      </c>
      <c r="D142" s="212" t="s">
        <v>478</v>
      </c>
      <c r="E142" s="212" t="s">
        <v>5</v>
      </c>
      <c r="F142" s="212" t="s">
        <v>482</v>
      </c>
      <c r="G142" s="212" t="s">
        <v>151</v>
      </c>
      <c r="H142" s="212" t="s">
        <v>492</v>
      </c>
      <c r="I142" s="226" t="s">
        <v>568</v>
      </c>
      <c r="J142" s="226" t="s">
        <v>569</v>
      </c>
      <c r="K142" s="226"/>
      <c r="L142" s="226"/>
      <c r="M142" s="212" t="s">
        <v>164</v>
      </c>
      <c r="N142" s="212" t="s">
        <v>163</v>
      </c>
      <c r="O142" s="219">
        <v>97.132339999999999</v>
      </c>
      <c r="P142" s="219">
        <v>23.75817</v>
      </c>
      <c r="Q142" s="233"/>
      <c r="R142" s="302">
        <v>0</v>
      </c>
      <c r="S142" s="303">
        <v>0</v>
      </c>
      <c r="T142" s="222" t="str">
        <f>IF(CampList[[#This Row],[HH]]&gt;0,CampList[[#This Row],[Total]]/CampList[[#This Row],[HH]],"NA")</f>
        <v>NA</v>
      </c>
      <c r="U142" s="214" t="s">
        <v>466</v>
      </c>
      <c r="V142" s="214" t="s">
        <v>997</v>
      </c>
      <c r="W142" s="214" t="s">
        <v>507</v>
      </c>
      <c r="X142" s="214"/>
      <c r="Y142" s="234"/>
      <c r="Z142" s="224"/>
      <c r="AA142" s="239" t="s">
        <v>522</v>
      </c>
      <c r="AB142" s="243"/>
      <c r="AC142" s="218" t="s">
        <v>778</v>
      </c>
      <c r="AD142" s="214" t="str">
        <f ca="1">IFERROR(OFFSET(DistanceToCamp[Nearest Town],MATCH(CampList[[#This Row],[CP_Pcode]],DistanceToCamp[CP_Pcode],0)-1,0,1,1),"")</f>
        <v/>
      </c>
      <c r="AE142" s="227" t="str">
        <f ca="1">IFERROR(OFFSET(DistanceToCamp[distance],MATCH(CampList[[#This Row],[CP_Pcode]],DistanceToCamp[CP_Pcode],0)-1,0,1,1),"")</f>
        <v/>
      </c>
      <c r="AF142" s="228" t="str">
        <f ca="1">IFERROR(INT(CampList[[#This Row],[Distance]]/5)+1,"")</f>
        <v/>
      </c>
    </row>
    <row r="143" spans="2:32" ht="15.75" hidden="1" customHeight="1" x14ac:dyDescent="0.25">
      <c r="B143" s="218" t="s">
        <v>776</v>
      </c>
      <c r="C143" s="212" t="s">
        <v>378</v>
      </c>
      <c r="D143" s="212" t="s">
        <v>478</v>
      </c>
      <c r="E143" s="212" t="s">
        <v>237</v>
      </c>
      <c r="F143" s="212" t="s">
        <v>484</v>
      </c>
      <c r="G143" s="212" t="s">
        <v>361</v>
      </c>
      <c r="H143" s="212" t="s">
        <v>501</v>
      </c>
      <c r="I143" s="212"/>
      <c r="J143" s="212"/>
      <c r="K143" s="212"/>
      <c r="L143" s="212"/>
      <c r="M143" s="212" t="s">
        <v>35</v>
      </c>
      <c r="N143" s="212" t="s">
        <v>360</v>
      </c>
      <c r="O143" s="219"/>
      <c r="P143" s="219"/>
      <c r="Q143" s="233"/>
      <c r="R143" s="302">
        <v>0</v>
      </c>
      <c r="S143" s="303">
        <v>0</v>
      </c>
      <c r="T143" s="222" t="str">
        <f>IF(CampList[[#This Row],[HH]]&gt;0,CampList[[#This Row],[Total]]/CampList[[#This Row],[HH]],"NA")</f>
        <v>NA</v>
      </c>
      <c r="U143" s="214" t="s">
        <v>464</v>
      </c>
      <c r="V143" s="214" t="s">
        <v>997</v>
      </c>
      <c r="W143" s="214" t="s">
        <v>507</v>
      </c>
      <c r="X143" s="214"/>
      <c r="Y143" s="234"/>
      <c r="Z143" s="224"/>
      <c r="AA143" s="239"/>
      <c r="AB143" s="225">
        <v>41712</v>
      </c>
      <c r="AC143" s="218" t="s">
        <v>881</v>
      </c>
      <c r="AD143" s="214" t="str">
        <f ca="1">IFERROR(OFFSET(DistanceToCamp[Nearest Town],MATCH(CampList[[#This Row],[CP_Pcode]],DistanceToCamp[CP_Pcode],0)-1,0,1,1),"")</f>
        <v/>
      </c>
      <c r="AE143" s="227" t="str">
        <f ca="1">IFERROR(OFFSET(DistanceToCamp[distance],MATCH(CampList[[#This Row],[CP_Pcode]],DistanceToCamp[CP_Pcode],0)-1,0,1,1),"")</f>
        <v/>
      </c>
      <c r="AF143" s="228" t="str">
        <f ca="1">IFERROR(INT(CampList[[#This Row],[Distance]]/5)+1,"")</f>
        <v/>
      </c>
    </row>
    <row r="144" spans="2:32" ht="15.75" customHeight="1" x14ac:dyDescent="0.25">
      <c r="B144" s="239" t="s">
        <v>460</v>
      </c>
      <c r="C144" s="212" t="s">
        <v>378</v>
      </c>
      <c r="D144" s="212" t="s">
        <v>478</v>
      </c>
      <c r="E144" s="212" t="s">
        <v>5</v>
      </c>
      <c r="F144" s="212" t="s">
        <v>482</v>
      </c>
      <c r="G144" s="212" t="s">
        <v>301</v>
      </c>
      <c r="H144" s="212" t="s">
        <v>493</v>
      </c>
      <c r="I144" s="212"/>
      <c r="J144" s="212"/>
      <c r="K144" s="212"/>
      <c r="L144" s="212"/>
      <c r="M144" s="212" t="s">
        <v>303</v>
      </c>
      <c r="N144" s="212" t="s">
        <v>302</v>
      </c>
      <c r="O144" s="219"/>
      <c r="P144" s="219"/>
      <c r="Q144" s="233"/>
      <c r="R144" s="329">
        <v>375</v>
      </c>
      <c r="S144" s="330">
        <v>1691</v>
      </c>
      <c r="T144" s="222">
        <f>IF(CampList[[#This Row],[HH]]&gt;0,CampList[[#This Row],[Total]]/CampList[[#This Row],[HH]],"NA")</f>
        <v>4.5093333333333332</v>
      </c>
      <c r="U144" s="214" t="s">
        <v>464</v>
      </c>
      <c r="V144" s="214" t="s">
        <v>997</v>
      </c>
      <c r="W144" s="214" t="s">
        <v>12</v>
      </c>
      <c r="X144" s="214" t="s">
        <v>785</v>
      </c>
      <c r="Y144" s="332">
        <v>41701</v>
      </c>
      <c r="Z144" s="224"/>
      <c r="AA144" s="239" t="s">
        <v>522</v>
      </c>
      <c r="AB144" s="225">
        <v>42888</v>
      </c>
      <c r="AC144" s="218" t="s">
        <v>1255</v>
      </c>
      <c r="AD144" s="214" t="str">
        <f ca="1">IFERROR(OFFSET(DistanceToCamp[Nearest Town],MATCH(CampList[[#This Row],[CP_Pcode]],DistanceToCamp[CP_Pcode],0)-1,0,1,1),"")</f>
        <v/>
      </c>
      <c r="AE144" s="227" t="str">
        <f ca="1">IFERROR(OFFSET(DistanceToCamp[distance],MATCH(CampList[[#This Row],[CP_Pcode]],DistanceToCamp[CP_Pcode],0)-1,0,1,1),"")</f>
        <v/>
      </c>
      <c r="AF144" s="228" t="str">
        <f ca="1">IFERROR(INT(CampList[[#This Row],[Distance]]/5)+1,"")</f>
        <v/>
      </c>
    </row>
    <row r="145" spans="2:35" ht="15.75" customHeight="1" x14ac:dyDescent="0.25">
      <c r="B145" s="218" t="s">
        <v>460</v>
      </c>
      <c r="C145" s="212" t="s">
        <v>378</v>
      </c>
      <c r="D145" s="212" t="s">
        <v>478</v>
      </c>
      <c r="E145" s="212" t="s">
        <v>5</v>
      </c>
      <c r="F145" s="212" t="s">
        <v>482</v>
      </c>
      <c r="G145" s="212" t="s">
        <v>5</v>
      </c>
      <c r="H145" s="212" t="s">
        <v>483</v>
      </c>
      <c r="I145" s="226" t="s">
        <v>1095</v>
      </c>
      <c r="J145" s="226" t="s">
        <v>1094</v>
      </c>
      <c r="K145" s="226" t="s">
        <v>1095</v>
      </c>
      <c r="L145" s="238">
        <v>166904</v>
      </c>
      <c r="M145" s="212" t="s">
        <v>465</v>
      </c>
      <c r="N145" s="212" t="s">
        <v>375</v>
      </c>
      <c r="O145" s="219">
        <v>97.252650000000003</v>
      </c>
      <c r="P145" s="219">
        <v>24.260466999999998</v>
      </c>
      <c r="Q145" s="220">
        <v>0</v>
      </c>
      <c r="R145" s="292">
        <v>12</v>
      </c>
      <c r="S145" s="292">
        <v>52</v>
      </c>
      <c r="T145" s="222">
        <f>IF(CampList[[#This Row],[HH]]&gt;0,CampList[[#This Row],[Total]]/CampList[[#This Row],[HH]],"NA")</f>
        <v>4.333333333333333</v>
      </c>
      <c r="U145" s="214" t="s">
        <v>464</v>
      </c>
      <c r="V145" s="214" t="s">
        <v>997</v>
      </c>
      <c r="W145" s="214" t="s">
        <v>507</v>
      </c>
      <c r="X145" s="214" t="s">
        <v>742</v>
      </c>
      <c r="Y145" s="331">
        <v>40787</v>
      </c>
      <c r="Z145" s="223" t="s">
        <v>424</v>
      </c>
      <c r="AA145" s="239" t="s">
        <v>775</v>
      </c>
      <c r="AB145" s="225">
        <v>43220</v>
      </c>
      <c r="AC145" s="218" t="s">
        <v>1739</v>
      </c>
      <c r="AD145" s="214" t="str">
        <f ca="1">IFERROR(OFFSET(DistanceToCamp[Nearest Town],MATCH(CampList[[#This Row],[CP_Pcode]],DistanceToCamp[CP_Pcode],0)-1,0,1,1),"")</f>
        <v>Bhamo Town</v>
      </c>
      <c r="AE145" s="227">
        <f ca="1">IFERROR(OFFSET(DistanceToCamp[distance],MATCH(CampList[[#This Row],[CP_Pcode]],DistanceToCamp[CP_Pcode],0)-1,0,1,1),"")</f>
        <v>1.9489261822960435</v>
      </c>
      <c r="AF145" s="228">
        <f ca="1">IFERROR(INT(CampList[[#This Row],[Distance]]/5)+1,"")</f>
        <v>1</v>
      </c>
    </row>
    <row r="146" spans="2:35" ht="15.75" customHeight="1" x14ac:dyDescent="0.25">
      <c r="B146" s="218" t="s">
        <v>460</v>
      </c>
      <c r="C146" s="212" t="s">
        <v>378</v>
      </c>
      <c r="D146" s="212" t="s">
        <v>478</v>
      </c>
      <c r="E146" s="212" t="s">
        <v>5</v>
      </c>
      <c r="F146" s="212" t="s">
        <v>482</v>
      </c>
      <c r="G146" s="212" t="s">
        <v>151</v>
      </c>
      <c r="H146" s="212" t="s">
        <v>492</v>
      </c>
      <c r="I146" s="212" t="s">
        <v>812</v>
      </c>
      <c r="J146" s="212" t="s">
        <v>1111</v>
      </c>
      <c r="K146" s="212" t="s">
        <v>812</v>
      </c>
      <c r="L146" s="212">
        <v>167301</v>
      </c>
      <c r="M146" s="212" t="s">
        <v>812</v>
      </c>
      <c r="N146" s="212" t="s">
        <v>813</v>
      </c>
      <c r="O146" s="219">
        <v>97.225881000000001</v>
      </c>
      <c r="P146" s="219">
        <v>23.972453000000002</v>
      </c>
      <c r="Q146" s="233">
        <v>466</v>
      </c>
      <c r="R146" s="292">
        <v>432</v>
      </c>
      <c r="S146" s="292">
        <v>2149</v>
      </c>
      <c r="T146" s="222">
        <f>IF(CampList[[#This Row],[HH]]&gt;0,CampList[[#This Row],[Total]]/CampList[[#This Row],[HH]],"NA")</f>
        <v>4.9745370370370372</v>
      </c>
      <c r="U146" s="214" t="s">
        <v>464</v>
      </c>
      <c r="V146" s="214" t="s">
        <v>997</v>
      </c>
      <c r="W146" s="214" t="s">
        <v>507</v>
      </c>
      <c r="X146" s="214" t="s">
        <v>785</v>
      </c>
      <c r="Y146" s="331">
        <v>41548</v>
      </c>
      <c r="Z146" s="223" t="s">
        <v>424</v>
      </c>
      <c r="AA146" s="239" t="s">
        <v>775</v>
      </c>
      <c r="AB146" s="225">
        <v>43220</v>
      </c>
      <c r="AC146" s="218" t="s">
        <v>1740</v>
      </c>
      <c r="AD146" s="214" t="str">
        <f ca="1">IFERROR(OFFSET(DistanceToCamp[Nearest Town],MATCH(CampList[[#This Row],[CP_Pcode]],DistanceToCamp[CP_Pcode],0)-1,0,1,1),"")</f>
        <v>Mansi Town</v>
      </c>
      <c r="AE146" s="227">
        <f ca="1">IFERROR(OFFSET(DistanceToCamp[distance],MATCH(CampList[[#This Row],[CP_Pcode]],DistanceToCamp[CP_Pcode],0)-1,0,1,1),"")</f>
        <v>17.731070777343263</v>
      </c>
      <c r="AF146" s="228">
        <f ca="1">IFERROR(INT(CampList[[#This Row],[Distance]]/5)+1,"")</f>
        <v>4</v>
      </c>
    </row>
    <row r="147" spans="2:35" ht="15.75" hidden="1" customHeight="1" x14ac:dyDescent="0.25">
      <c r="B147" s="218" t="s">
        <v>776</v>
      </c>
      <c r="C147" s="212" t="s">
        <v>378</v>
      </c>
      <c r="D147" s="212" t="s">
        <v>478</v>
      </c>
      <c r="E147" s="212" t="s">
        <v>5</v>
      </c>
      <c r="F147" s="212" t="s">
        <v>482</v>
      </c>
      <c r="G147" s="212" t="s">
        <v>5</v>
      </c>
      <c r="H147" s="212" t="s">
        <v>483</v>
      </c>
      <c r="I147" s="212"/>
      <c r="J147" s="212"/>
      <c r="K147" s="212"/>
      <c r="L147" s="212"/>
      <c r="M147" s="212" t="s">
        <v>10</v>
      </c>
      <c r="N147" s="212" t="s">
        <v>9</v>
      </c>
      <c r="O147" s="219"/>
      <c r="P147" s="219"/>
      <c r="Q147" s="233"/>
      <c r="R147" s="302">
        <v>0</v>
      </c>
      <c r="S147" s="303">
        <v>0</v>
      </c>
      <c r="T147" s="222" t="str">
        <f>IF(CampList[[#This Row],[HH]]&gt;0,CampList[[#This Row],[Total]]/CampList[[#This Row],[HH]],"NA")</f>
        <v>NA</v>
      </c>
      <c r="U147" s="214" t="s">
        <v>464</v>
      </c>
      <c r="V147" s="214" t="s">
        <v>997</v>
      </c>
      <c r="W147" s="244" t="s">
        <v>12</v>
      </c>
      <c r="X147" s="214"/>
      <c r="Y147" s="234"/>
      <c r="Z147" s="224"/>
      <c r="AA147" s="321"/>
      <c r="AB147" s="247">
        <v>41666</v>
      </c>
      <c r="AC147" s="226" t="s">
        <v>847</v>
      </c>
      <c r="AD147" s="214" t="str">
        <f ca="1">IFERROR(OFFSET(DistanceToCamp[Nearest Town],MATCH(CampList[[#This Row],[CP_Pcode]],DistanceToCamp[CP_Pcode],0)-1,0,1,1),"")</f>
        <v/>
      </c>
      <c r="AE147" s="227" t="str">
        <f ca="1">IFERROR(OFFSET(DistanceToCamp[distance],MATCH(CampList[[#This Row],[CP_Pcode]],DistanceToCamp[CP_Pcode],0)-1,0,1,1),"")</f>
        <v/>
      </c>
      <c r="AF147" s="228" t="str">
        <f ca="1">IFERROR(INT(CampList[[#This Row],[Distance]]/5)+1,"")</f>
        <v/>
      </c>
    </row>
    <row r="148" spans="2:35" ht="15.75" customHeight="1" x14ac:dyDescent="0.25">
      <c r="B148" s="231" t="s">
        <v>460</v>
      </c>
      <c r="C148" s="213" t="s">
        <v>378</v>
      </c>
      <c r="D148" s="213" t="s">
        <v>478</v>
      </c>
      <c r="E148" s="213" t="s">
        <v>237</v>
      </c>
      <c r="F148" s="213" t="s">
        <v>484</v>
      </c>
      <c r="G148" s="213" t="s">
        <v>237</v>
      </c>
      <c r="H148" s="213" t="s">
        <v>488</v>
      </c>
      <c r="I148" s="213" t="s">
        <v>649</v>
      </c>
      <c r="J148" s="232" t="s">
        <v>650</v>
      </c>
      <c r="K148" s="213" t="s">
        <v>651</v>
      </c>
      <c r="L148" s="213">
        <v>165685</v>
      </c>
      <c r="M148" s="213" t="s">
        <v>272</v>
      </c>
      <c r="N148" s="213" t="s">
        <v>271</v>
      </c>
      <c r="O148" s="221">
        <v>97.4345</v>
      </c>
      <c r="P148" s="221">
        <v>25.493819999999999</v>
      </c>
      <c r="Q148" s="233"/>
      <c r="R148" s="738">
        <v>64</v>
      </c>
      <c r="S148" s="738">
        <v>362</v>
      </c>
      <c r="T148" s="222">
        <f>IF(CampList[[#This Row],[HH]]&gt;0,CampList[[#This Row],[Total]]/CampList[[#This Row],[HH]],"NA")</f>
        <v>5.65625</v>
      </c>
      <c r="U148" s="197" t="s">
        <v>464</v>
      </c>
      <c r="V148" s="214" t="s">
        <v>997</v>
      </c>
      <c r="W148" s="197" t="s">
        <v>507</v>
      </c>
      <c r="X148" s="197" t="s">
        <v>742</v>
      </c>
      <c r="Y148" s="332">
        <v>41244</v>
      </c>
      <c r="Z148" s="233" t="s">
        <v>938</v>
      </c>
      <c r="AA148" s="213" t="s">
        <v>775</v>
      </c>
      <c r="AB148" s="731">
        <v>43220</v>
      </c>
      <c r="AC148" s="235" t="s">
        <v>1794</v>
      </c>
      <c r="AD148" s="236" t="str">
        <f ca="1">IFERROR(OFFSET(DistanceToCamp[Nearest Town],MATCH(CampList[[#This Row],[CP_Pcode]],DistanceToCamp[CP_Pcode],0)-1,0,1,1),"")</f>
        <v>Myitkyina Town</v>
      </c>
      <c r="AE148" s="227">
        <f ca="1">IFERROR(OFFSET(DistanceToCamp[distance],MATCH(CampList[[#This Row],[CP_Pcode]],DistanceToCamp[CP_Pcode],0)-1,0,1,1),"")</f>
        <v>12.627188913244609</v>
      </c>
      <c r="AF148" s="237">
        <f ca="1">IFERROR(INT(CampList[[#This Row],[Distance]]/5)+1,"")</f>
        <v>3</v>
      </c>
    </row>
    <row r="149" spans="2:35" ht="15.75" customHeight="1" x14ac:dyDescent="0.25">
      <c r="B149" s="231" t="s">
        <v>460</v>
      </c>
      <c r="C149" s="213" t="s">
        <v>378</v>
      </c>
      <c r="D149" s="213" t="s">
        <v>478</v>
      </c>
      <c r="E149" s="213" t="s">
        <v>237</v>
      </c>
      <c r="F149" s="213" t="s">
        <v>484</v>
      </c>
      <c r="G149" s="213" t="s">
        <v>27</v>
      </c>
      <c r="H149" s="213" t="s">
        <v>487</v>
      </c>
      <c r="I149" s="213" t="s">
        <v>1001</v>
      </c>
      <c r="J149" s="232" t="s">
        <v>1107</v>
      </c>
      <c r="K149" s="213" t="s">
        <v>656</v>
      </c>
      <c r="L149" s="213" t="s">
        <v>1108</v>
      </c>
      <c r="M149" s="213" t="s">
        <v>791</v>
      </c>
      <c r="N149" s="213" t="s">
        <v>790</v>
      </c>
      <c r="O149" s="221">
        <v>98.377780000000001</v>
      </c>
      <c r="P149" s="221">
        <v>25.60867</v>
      </c>
      <c r="Q149" s="233">
        <v>2345</v>
      </c>
      <c r="R149" s="292">
        <v>57</v>
      </c>
      <c r="S149" s="292">
        <v>270</v>
      </c>
      <c r="T149" s="222">
        <f>IF(CampList[[#This Row],[HH]]&gt;0,CampList[[#This Row],[Total]]/CampList[[#This Row],[HH]],"NA")</f>
        <v>4.7368421052631575</v>
      </c>
      <c r="U149" s="197" t="s">
        <v>464</v>
      </c>
      <c r="V149" s="214" t="s">
        <v>997</v>
      </c>
      <c r="W149" s="197" t="s">
        <v>507</v>
      </c>
      <c r="X149" s="197" t="s">
        <v>785</v>
      </c>
      <c r="Y149" s="332">
        <v>41091</v>
      </c>
      <c r="Z149" s="233" t="s">
        <v>938</v>
      </c>
      <c r="AA149" s="213" t="s">
        <v>775</v>
      </c>
      <c r="AB149" s="731">
        <v>43220</v>
      </c>
      <c r="AC149" s="235" t="s">
        <v>1795</v>
      </c>
      <c r="AD149" s="236" t="str">
        <f ca="1">IFERROR(OFFSET(DistanceToCamp[Nearest Town],MATCH(CampList[[#This Row],[CP_Pcode]],DistanceToCamp[CP_Pcode],0)-1,0,1,1),"")</f>
        <v>Pang War Town</v>
      </c>
      <c r="AE149" s="227">
        <f ca="1">IFERROR(OFFSET(DistanceToCamp[distance],MATCH(CampList[[#This Row],[CP_Pcode]],DistanceToCamp[CP_Pcode],0)-1,0,1,1),"")</f>
        <v>0.18710270881855062</v>
      </c>
      <c r="AF149" s="237">
        <f ca="1">IFERROR(INT(CampList[[#This Row],[Distance]]/5)+1,"")</f>
        <v>1</v>
      </c>
    </row>
    <row r="150" spans="2:35" ht="15.75" customHeight="1" x14ac:dyDescent="0.25">
      <c r="B150" s="218" t="s">
        <v>460</v>
      </c>
      <c r="C150" s="212" t="s">
        <v>378</v>
      </c>
      <c r="D150" s="212" t="s">
        <v>478</v>
      </c>
      <c r="E150" s="212" t="s">
        <v>5</v>
      </c>
      <c r="F150" s="212" t="s">
        <v>482</v>
      </c>
      <c r="G150" s="212" t="s">
        <v>5</v>
      </c>
      <c r="H150" s="212" t="s">
        <v>483</v>
      </c>
      <c r="I150" s="226" t="s">
        <v>577</v>
      </c>
      <c r="J150" s="226" t="s">
        <v>578</v>
      </c>
      <c r="K150" s="212"/>
      <c r="L150" s="212"/>
      <c r="M150" s="212" t="s">
        <v>12</v>
      </c>
      <c r="N150" s="212" t="s">
        <v>11</v>
      </c>
      <c r="O150" s="219">
        <v>97.228835000000004</v>
      </c>
      <c r="P150" s="219">
        <v>24.263786</v>
      </c>
      <c r="Q150" s="233"/>
      <c r="R150" s="330">
        <v>190</v>
      </c>
      <c r="S150" s="330">
        <v>928</v>
      </c>
      <c r="T150" s="222">
        <f>IF(CampList[[#This Row],[HH]]&gt;0,CampList[[#This Row],[Total]]/CampList[[#This Row],[HH]],"NA")</f>
        <v>4.8842105263157896</v>
      </c>
      <c r="U150" s="214" t="s">
        <v>464</v>
      </c>
      <c r="V150" s="214" t="s">
        <v>997</v>
      </c>
      <c r="W150" s="244" t="s">
        <v>12</v>
      </c>
      <c r="X150" s="214" t="s">
        <v>742</v>
      </c>
      <c r="Y150" s="332"/>
      <c r="Z150" s="224"/>
      <c r="AA150" s="239" t="s">
        <v>775</v>
      </c>
      <c r="AB150" s="247">
        <v>43090</v>
      </c>
      <c r="AC150" s="218" t="s">
        <v>1401</v>
      </c>
      <c r="AD150" s="214" t="str">
        <f ca="1">IFERROR(OFFSET(DistanceToCamp[Nearest Town],MATCH(CampList[[#This Row],[CP_Pcode]],DistanceToCamp[CP_Pcode],0)-1,0,1,1),"")</f>
        <v>Bhamo Town</v>
      </c>
      <c r="AE150" s="227">
        <f ca="1">IFERROR(OFFSET(DistanceToCamp[distance],MATCH(CampList[[#This Row],[CP_Pcode]],DistanceToCamp[CP_Pcode],0)-1,0,1,1),"")</f>
        <v>1.1354007641426449</v>
      </c>
      <c r="AF150" s="228">
        <f ca="1">IFERROR(INT(CampList[[#This Row],[Distance]]/5)+1,"")</f>
        <v>1</v>
      </c>
    </row>
    <row r="151" spans="2:35" ht="15.75" customHeight="1" x14ac:dyDescent="0.25">
      <c r="B151" s="239" t="s">
        <v>460</v>
      </c>
      <c r="C151" s="212" t="s">
        <v>378</v>
      </c>
      <c r="D151" s="212" t="s">
        <v>478</v>
      </c>
      <c r="E151" s="212" t="s">
        <v>237</v>
      </c>
      <c r="F151" s="212" t="s">
        <v>484</v>
      </c>
      <c r="G151" s="212" t="s">
        <v>309</v>
      </c>
      <c r="H151" s="212" t="s">
        <v>485</v>
      </c>
      <c r="I151" s="212" t="s">
        <v>635</v>
      </c>
      <c r="J151" s="212" t="s">
        <v>636</v>
      </c>
      <c r="K151" s="212" t="s">
        <v>654</v>
      </c>
      <c r="L151" s="212" t="s">
        <v>655</v>
      </c>
      <c r="M151" s="212" t="s">
        <v>337</v>
      </c>
      <c r="N151" s="212" t="s">
        <v>336</v>
      </c>
      <c r="O151" s="219">
        <v>97.437472666666693</v>
      </c>
      <c r="P151" s="219">
        <v>25.345918166666699</v>
      </c>
      <c r="Q151" s="220"/>
      <c r="R151" s="292">
        <v>29</v>
      </c>
      <c r="S151" s="292">
        <v>160</v>
      </c>
      <c r="T151" s="222">
        <f>IF(CampList[[#This Row],[HH]]&gt;0,CampList[[#This Row],[Total]]/CampList[[#This Row],[HH]],"NA")</f>
        <v>5.5172413793103452</v>
      </c>
      <c r="U151" s="214" t="s">
        <v>464</v>
      </c>
      <c r="V151" s="214" t="s">
        <v>997</v>
      </c>
      <c r="W151" s="214" t="s">
        <v>507</v>
      </c>
      <c r="X151" s="214" t="s">
        <v>742</v>
      </c>
      <c r="Y151" s="331">
        <v>40695</v>
      </c>
      <c r="Z151" s="223" t="s">
        <v>462</v>
      </c>
      <c r="AA151" s="212" t="s">
        <v>775</v>
      </c>
      <c r="AB151" s="225">
        <v>43220</v>
      </c>
      <c r="AC151" s="226" t="s">
        <v>1687</v>
      </c>
      <c r="AD151" s="214" t="str">
        <f ca="1">IFERROR(OFFSET(DistanceToCamp[Nearest Town],MATCH(CampList[[#This Row],[CP_Pcode]],DistanceToCamp[CP_Pcode],0)-1,0,1,1),"")</f>
        <v>Waingmaw Town</v>
      </c>
      <c r="AE151" s="227">
        <f ca="1">IFERROR(OFFSET(DistanceToCamp[distance],MATCH(CampList[[#This Row],[CP_Pcode]],DistanceToCamp[CP_Pcode],0)-1,0,1,1),"")</f>
        <v>0.77827912736780092</v>
      </c>
      <c r="AF151" s="228">
        <f ca="1">IFERROR(INT(CampList[[#This Row],[Distance]]/5)+1,"")</f>
        <v>1</v>
      </c>
    </row>
    <row r="152" spans="2:35" ht="15.75" customHeight="1" x14ac:dyDescent="0.25">
      <c r="B152" s="242" t="s">
        <v>460</v>
      </c>
      <c r="C152" s="213" t="s">
        <v>378</v>
      </c>
      <c r="D152" s="213" t="s">
        <v>478</v>
      </c>
      <c r="E152" s="213" t="s">
        <v>237</v>
      </c>
      <c r="F152" s="213" t="s">
        <v>484</v>
      </c>
      <c r="G152" s="213" t="s">
        <v>309</v>
      </c>
      <c r="H152" s="213" t="s">
        <v>485</v>
      </c>
      <c r="I152" s="229" t="s">
        <v>710</v>
      </c>
      <c r="J152" s="229" t="s">
        <v>709</v>
      </c>
      <c r="K152" s="229" t="s">
        <v>710</v>
      </c>
      <c r="L152" s="229">
        <v>165895</v>
      </c>
      <c r="M152" s="213" t="s">
        <v>353</v>
      </c>
      <c r="N152" s="213" t="s">
        <v>352</v>
      </c>
      <c r="O152" s="221">
        <v>97.990555999999998</v>
      </c>
      <c r="P152" s="221">
        <v>25.265277999999999</v>
      </c>
      <c r="Q152" s="233">
        <v>2764</v>
      </c>
      <c r="R152" s="292">
        <v>88</v>
      </c>
      <c r="S152" s="292">
        <v>558</v>
      </c>
      <c r="T152" s="222">
        <f>IF(CampList[[#This Row],[HH]]&gt;0,CampList[[#This Row],[Total]]/CampList[[#This Row],[HH]],"NA")</f>
        <v>6.3409090909090908</v>
      </c>
      <c r="U152" s="197" t="s">
        <v>466</v>
      </c>
      <c r="V152" s="214" t="s">
        <v>997</v>
      </c>
      <c r="W152" s="197" t="s">
        <v>507</v>
      </c>
      <c r="X152" s="197" t="s">
        <v>786</v>
      </c>
      <c r="Y152" s="332">
        <v>40848</v>
      </c>
      <c r="Z152" s="233" t="s">
        <v>938</v>
      </c>
      <c r="AA152" s="213" t="s">
        <v>775</v>
      </c>
      <c r="AB152" s="731">
        <v>43220</v>
      </c>
      <c r="AC152" s="235" t="s">
        <v>1796</v>
      </c>
      <c r="AD152" s="236" t="str">
        <f ca="1">IFERROR(OFFSET(DistanceToCamp[Nearest Town],MATCH(CampList[[#This Row],[CP_Pcode]],DistanceToCamp[CP_Pcode],0)-1,0,1,1),"")</f>
        <v>Sadung Town</v>
      </c>
      <c r="AE152" s="227">
        <f ca="1">IFERROR(OFFSET(DistanceToCamp[distance],MATCH(CampList[[#This Row],[CP_Pcode]],DistanceToCamp[CP_Pcode],0)-1,0,1,1),"")</f>
        <v>17.035515422123492</v>
      </c>
      <c r="AF152" s="237">
        <f ca="1">IFERROR(INT(CampList[[#This Row],[Distance]]/5)+1,"")</f>
        <v>4</v>
      </c>
    </row>
    <row r="153" spans="2:35" ht="15.75" customHeight="1" x14ac:dyDescent="0.25">
      <c r="B153" s="218" t="s">
        <v>460</v>
      </c>
      <c r="C153" s="212" t="s">
        <v>378</v>
      </c>
      <c r="D153" s="212" t="s">
        <v>478</v>
      </c>
      <c r="E153" s="212" t="s">
        <v>180</v>
      </c>
      <c r="F153" s="212" t="s">
        <v>479</v>
      </c>
      <c r="G153" s="212" t="s">
        <v>480</v>
      </c>
      <c r="H153" s="212" t="s">
        <v>481</v>
      </c>
      <c r="I153" s="226" t="s">
        <v>549</v>
      </c>
      <c r="J153" s="226" t="s">
        <v>550</v>
      </c>
      <c r="K153" s="226" t="s">
        <v>549</v>
      </c>
      <c r="L153" s="226">
        <v>166776</v>
      </c>
      <c r="M153" s="212" t="s">
        <v>917</v>
      </c>
      <c r="N153" s="212" t="s">
        <v>918</v>
      </c>
      <c r="O153" s="219">
        <v>96.312790000000007</v>
      </c>
      <c r="P153" s="219">
        <v>25.611160000000002</v>
      </c>
      <c r="Q153" s="233"/>
      <c r="R153" s="292">
        <v>104</v>
      </c>
      <c r="S153" s="292">
        <v>510</v>
      </c>
      <c r="T153" s="222">
        <f>IF(CampList[[#This Row],[HH]]&gt;0,CampList[[#This Row],[Total]]/CampList[[#This Row],[HH]],"NA")</f>
        <v>4.9038461538461542</v>
      </c>
      <c r="U153" s="214" t="s">
        <v>464</v>
      </c>
      <c r="V153" s="214" t="s">
        <v>997</v>
      </c>
      <c r="W153" s="214" t="s">
        <v>507</v>
      </c>
      <c r="X153" s="214" t="s">
        <v>742</v>
      </c>
      <c r="Y153" s="332">
        <v>41122</v>
      </c>
      <c r="Z153" s="224" t="s">
        <v>424</v>
      </c>
      <c r="AA153" s="212" t="s">
        <v>775</v>
      </c>
      <c r="AB153" s="225">
        <v>43220</v>
      </c>
      <c r="AC153" s="226" t="s">
        <v>1741</v>
      </c>
      <c r="AD153" s="214" t="str">
        <f ca="1">IFERROR(OFFSET(DistanceToCamp[Nearest Town],MATCH(CampList[[#This Row],[CP_Pcode]],DistanceToCamp[CP_Pcode],0)-1,0,1,1),"")</f>
        <v>Hpakant Town</v>
      </c>
      <c r="AE153" s="227">
        <f ca="1">IFERROR(OFFSET(DistanceToCamp[distance],MATCH(CampList[[#This Row],[CP_Pcode]],DistanceToCamp[CP_Pcode],0)-1,0,1,1),"")</f>
        <v>0.19374952337076978</v>
      </c>
      <c r="AF153" s="237">
        <f ca="1">IFERROR(INT(CampList[[#This Row],[Distance]]/5)+1,"")</f>
        <v>1</v>
      </c>
    </row>
    <row r="154" spans="2:35" ht="15.75" hidden="1" customHeight="1" x14ac:dyDescent="0.25">
      <c r="B154" s="218" t="s">
        <v>776</v>
      </c>
      <c r="C154" s="212" t="s">
        <v>378</v>
      </c>
      <c r="D154" s="212" t="s">
        <v>478</v>
      </c>
      <c r="E154" s="212" t="s">
        <v>180</v>
      </c>
      <c r="F154" s="212" t="s">
        <v>479</v>
      </c>
      <c r="G154" s="212" t="s">
        <v>480</v>
      </c>
      <c r="H154" s="212" t="s">
        <v>481</v>
      </c>
      <c r="I154" s="226" t="s">
        <v>552</v>
      </c>
      <c r="J154" s="226" t="s">
        <v>553</v>
      </c>
      <c r="K154" s="226" t="s">
        <v>700</v>
      </c>
      <c r="L154" s="226">
        <v>216877</v>
      </c>
      <c r="M154" s="212" t="s">
        <v>48</v>
      </c>
      <c r="N154" s="212" t="s">
        <v>47</v>
      </c>
      <c r="O154" s="219">
        <v>96.339870000000005</v>
      </c>
      <c r="P154" s="219">
        <v>25.655989999999999</v>
      </c>
      <c r="Q154" s="233"/>
      <c r="R154" s="302"/>
      <c r="S154" s="303"/>
      <c r="T154" s="222" t="str">
        <f>IF(CampList[[#This Row],[HH]]&gt;0,CampList[[#This Row],[Total]]/CampList[[#This Row],[HH]],"NA")</f>
        <v>NA</v>
      </c>
      <c r="U154" s="214" t="s">
        <v>464</v>
      </c>
      <c r="V154" s="214" t="s">
        <v>997</v>
      </c>
      <c r="W154" s="214" t="s">
        <v>507</v>
      </c>
      <c r="X154" s="214"/>
      <c r="Y154" s="234"/>
      <c r="Z154" s="224"/>
      <c r="AA154" s="239"/>
      <c r="AB154" s="243"/>
      <c r="AC154" s="218" t="s">
        <v>541</v>
      </c>
      <c r="AD154" s="214" t="str">
        <f ca="1">IFERROR(OFFSET(DistanceToCamp[Nearest Town],MATCH(CampList[[#This Row],[CP_Pcode]],DistanceToCamp[CP_Pcode],0)-1,0,1,1),"")</f>
        <v/>
      </c>
      <c r="AE154" s="227" t="str">
        <f ca="1">IFERROR(OFFSET(DistanceToCamp[distance],MATCH(CampList[[#This Row],[CP_Pcode]],DistanceToCamp[CP_Pcode],0)-1,0,1,1),"")</f>
        <v/>
      </c>
      <c r="AF154" s="228" t="str">
        <f ca="1">IFERROR(INT(CampList[[#This Row],[Distance]]/5)+1,"")</f>
        <v/>
      </c>
    </row>
    <row r="155" spans="2:35" ht="15.75" hidden="1" customHeight="1" x14ac:dyDescent="0.25">
      <c r="B155" s="218" t="s">
        <v>776</v>
      </c>
      <c r="C155" s="212" t="s">
        <v>378</v>
      </c>
      <c r="D155" s="212" t="s">
        <v>478</v>
      </c>
      <c r="E155" s="212" t="s">
        <v>180</v>
      </c>
      <c r="F155" s="212" t="s">
        <v>479</v>
      </c>
      <c r="G155" s="212" t="s">
        <v>480</v>
      </c>
      <c r="H155" s="212" t="s">
        <v>481</v>
      </c>
      <c r="I155" s="226" t="s">
        <v>552</v>
      </c>
      <c r="J155" s="226" t="s">
        <v>553</v>
      </c>
      <c r="K155" s="226" t="s">
        <v>552</v>
      </c>
      <c r="L155" s="226">
        <v>166773</v>
      </c>
      <c r="M155" s="212" t="s">
        <v>128</v>
      </c>
      <c r="N155" s="212" t="s">
        <v>127</v>
      </c>
      <c r="O155" s="219">
        <v>96.359549999999999</v>
      </c>
      <c r="P155" s="219">
        <v>25.658650000000002</v>
      </c>
      <c r="Q155" s="233"/>
      <c r="R155" s="302">
        <v>0</v>
      </c>
      <c r="S155" s="303">
        <v>0</v>
      </c>
      <c r="T155" s="222" t="str">
        <f>IF(CampList[[#This Row],[HH]]&gt;0,CampList[[#This Row],[Total]]/CampList[[#This Row],[HH]],"NA")</f>
        <v>NA</v>
      </c>
      <c r="U155" s="214" t="s">
        <v>464</v>
      </c>
      <c r="V155" s="214" t="s">
        <v>997</v>
      </c>
      <c r="W155" s="214" t="s">
        <v>507</v>
      </c>
      <c r="X155" s="214"/>
      <c r="Y155" s="234"/>
      <c r="Z155" s="224"/>
      <c r="AA155" s="239"/>
      <c r="AB155" s="243"/>
      <c r="AC155" s="218" t="s">
        <v>541</v>
      </c>
      <c r="AD155" s="214" t="str">
        <f ca="1">IFERROR(OFFSET(DistanceToCamp[Nearest Town],MATCH(CampList[[#This Row],[CP_Pcode]],DistanceToCamp[CP_Pcode],0)-1,0,1,1),"")</f>
        <v/>
      </c>
      <c r="AE155" s="227" t="str">
        <f ca="1">IFERROR(OFFSET(DistanceToCamp[distance],MATCH(CampList[[#This Row],[CP_Pcode]],DistanceToCamp[CP_Pcode],0)-1,0,1,1),"")</f>
        <v/>
      </c>
      <c r="AF155" s="228" t="str">
        <f ca="1">IFERROR(INT(CampList[[#This Row],[Distance]]/5)+1,"")</f>
        <v/>
      </c>
    </row>
    <row r="156" spans="2:35" ht="15.75" hidden="1" customHeight="1" x14ac:dyDescent="0.25">
      <c r="B156" s="218" t="s">
        <v>776</v>
      </c>
      <c r="C156" s="212" t="s">
        <v>378</v>
      </c>
      <c r="D156" s="212" t="s">
        <v>478</v>
      </c>
      <c r="E156" s="212" t="s">
        <v>180</v>
      </c>
      <c r="F156" s="212" t="s">
        <v>479</v>
      </c>
      <c r="G156" s="212" t="s">
        <v>480</v>
      </c>
      <c r="H156" s="212" t="s">
        <v>481</v>
      </c>
      <c r="I156" s="226" t="s">
        <v>552</v>
      </c>
      <c r="J156" s="226" t="s">
        <v>553</v>
      </c>
      <c r="K156" s="226" t="s">
        <v>555</v>
      </c>
      <c r="L156" s="226">
        <v>216880</v>
      </c>
      <c r="M156" s="212" t="s">
        <v>60</v>
      </c>
      <c r="N156" s="212" t="s">
        <v>59</v>
      </c>
      <c r="O156" s="219">
        <v>96.353070000000002</v>
      </c>
      <c r="P156" s="219">
        <v>25.668469999999999</v>
      </c>
      <c r="Q156" s="220">
        <v>256</v>
      </c>
      <c r="R156" s="302"/>
      <c r="S156" s="303"/>
      <c r="T156" s="222" t="str">
        <f>IF(CampList[[#This Row],[HH]]&gt;0,CampList[[#This Row],[Total]]/CampList[[#This Row],[HH]],"NA")</f>
        <v>NA</v>
      </c>
      <c r="U156" s="214" t="s">
        <v>464</v>
      </c>
      <c r="V156" s="214" t="s">
        <v>997</v>
      </c>
      <c r="W156" s="214" t="s">
        <v>507</v>
      </c>
      <c r="X156" s="214" t="s">
        <v>785</v>
      </c>
      <c r="Y156" s="223">
        <v>41275</v>
      </c>
      <c r="Z156" s="223"/>
      <c r="AA156" s="239" t="s">
        <v>774</v>
      </c>
      <c r="AB156" s="225">
        <v>41774</v>
      </c>
      <c r="AC156" s="218" t="s">
        <v>898</v>
      </c>
      <c r="AD156" s="214" t="str">
        <f ca="1">IFERROR(OFFSET(DistanceToCamp[Nearest Town],MATCH(CampList[[#This Row],[CP_Pcode]],DistanceToCamp[CP_Pcode],0)-1,0,1,1),"")</f>
        <v/>
      </c>
      <c r="AE156" s="227" t="str">
        <f ca="1">IFERROR(OFFSET(DistanceToCamp[distance],MATCH(CampList[[#This Row],[CP_Pcode]],DistanceToCamp[CP_Pcode],0)-1,0,1,1),"")</f>
        <v/>
      </c>
      <c r="AF156" s="228" t="str">
        <f ca="1">IFERROR(INT(CampList[[#This Row],[Distance]]/5)+1,"")</f>
        <v/>
      </c>
    </row>
    <row r="157" spans="2:35" ht="15.75" hidden="1" customHeight="1" x14ac:dyDescent="0.25">
      <c r="B157" s="218" t="s">
        <v>776</v>
      </c>
      <c r="C157" s="212" t="s">
        <v>378</v>
      </c>
      <c r="D157" s="212" t="s">
        <v>478</v>
      </c>
      <c r="E157" s="212" t="s">
        <v>180</v>
      </c>
      <c r="F157" s="212" t="s">
        <v>479</v>
      </c>
      <c r="G157" s="212" t="s">
        <v>480</v>
      </c>
      <c r="H157" s="212" t="s">
        <v>481</v>
      </c>
      <c r="I157" s="226" t="s">
        <v>552</v>
      </c>
      <c r="J157" s="226" t="s">
        <v>553</v>
      </c>
      <c r="K157" s="226" t="s">
        <v>554</v>
      </c>
      <c r="L157" s="226">
        <v>166775</v>
      </c>
      <c r="M157" s="212" t="s">
        <v>39</v>
      </c>
      <c r="N157" s="212" t="s">
        <v>38</v>
      </c>
      <c r="O157" s="219"/>
      <c r="P157" s="219"/>
      <c r="Q157" s="233"/>
      <c r="R157" s="302"/>
      <c r="S157" s="303"/>
      <c r="T157" s="222" t="str">
        <f>IF(CampList[[#This Row],[HH]]&gt;0,CampList[[#This Row],[Total]]/CampList[[#This Row],[HH]],"NA")</f>
        <v>NA</v>
      </c>
      <c r="U157" s="214" t="s">
        <v>464</v>
      </c>
      <c r="V157" s="214" t="s">
        <v>997</v>
      </c>
      <c r="W157" s="214" t="s">
        <v>507</v>
      </c>
      <c r="X157" s="214"/>
      <c r="Y157" s="234"/>
      <c r="Z157" s="224"/>
      <c r="AA157" s="239"/>
      <c r="AB157" s="243"/>
      <c r="AC157" s="218" t="s">
        <v>541</v>
      </c>
      <c r="AD157" s="214" t="str">
        <f ca="1">IFERROR(OFFSET(DistanceToCamp[Nearest Town],MATCH(CampList[[#This Row],[CP_Pcode]],DistanceToCamp[CP_Pcode],0)-1,0,1,1),"")</f>
        <v/>
      </c>
      <c r="AE157" s="227" t="str">
        <f ca="1">IFERROR(OFFSET(DistanceToCamp[distance],MATCH(CampList[[#This Row],[CP_Pcode]],DistanceToCamp[CP_Pcode],0)-1,0,1,1),"")</f>
        <v/>
      </c>
      <c r="AF157" s="228" t="str">
        <f ca="1">IFERROR(INT(CampList[[#This Row],[Distance]]/5)+1,"")</f>
        <v/>
      </c>
    </row>
    <row r="158" spans="2:35" ht="15.75" customHeight="1" x14ac:dyDescent="0.25">
      <c r="B158" s="239" t="s">
        <v>460</v>
      </c>
      <c r="C158" s="212" t="s">
        <v>378</v>
      </c>
      <c r="D158" s="212" t="s">
        <v>478</v>
      </c>
      <c r="E158" s="212" t="s">
        <v>237</v>
      </c>
      <c r="F158" s="212" t="s">
        <v>484</v>
      </c>
      <c r="G158" s="212" t="s">
        <v>309</v>
      </c>
      <c r="H158" s="212" t="s">
        <v>485</v>
      </c>
      <c r="I158" s="212" t="s">
        <v>635</v>
      </c>
      <c r="J158" s="212" t="s">
        <v>636</v>
      </c>
      <c r="K158" s="212" t="s">
        <v>637</v>
      </c>
      <c r="L158" s="212" t="s">
        <v>638</v>
      </c>
      <c r="M158" s="212" t="s">
        <v>349</v>
      </c>
      <c r="N158" s="212" t="s">
        <v>348</v>
      </c>
      <c r="O158" s="219">
        <v>97.432495000000003</v>
      </c>
      <c r="P158" s="219">
        <v>25.350809000000002</v>
      </c>
      <c r="Q158" s="220">
        <v>0</v>
      </c>
      <c r="R158" s="292">
        <v>92</v>
      </c>
      <c r="S158" s="292">
        <v>499</v>
      </c>
      <c r="T158" s="222">
        <f>IF(CampList[[#This Row],[HH]]&gt;0,CampList[[#This Row],[Total]]/CampList[[#This Row],[HH]],"NA")</f>
        <v>5.4239130434782608</v>
      </c>
      <c r="U158" s="214" t="s">
        <v>464</v>
      </c>
      <c r="V158" s="214" t="s">
        <v>997</v>
      </c>
      <c r="W158" s="214" t="s">
        <v>507</v>
      </c>
      <c r="X158" s="214" t="s">
        <v>742</v>
      </c>
      <c r="Y158" s="331">
        <v>40940</v>
      </c>
      <c r="Z158" s="223" t="s">
        <v>462</v>
      </c>
      <c r="AA158" s="212" t="s">
        <v>775</v>
      </c>
      <c r="AB158" s="225">
        <v>43220</v>
      </c>
      <c r="AC158" s="226" t="s">
        <v>1691</v>
      </c>
      <c r="AD158" s="214" t="str">
        <f ca="1">IFERROR(OFFSET(DistanceToCamp[Nearest Town],MATCH(CampList[[#This Row],[CP_Pcode]],DistanceToCamp[CP_Pcode],0)-1,0,1,1),"")</f>
        <v>Waingmaw Town</v>
      </c>
      <c r="AE158" s="227">
        <f ca="1">IFERROR(OFFSET(DistanceToCamp[distance],MATCH(CampList[[#This Row],[CP_Pcode]],DistanceToCamp[CP_Pcode],0)-1,0,1,1),"")</f>
        <v>1.0367202051285227</v>
      </c>
      <c r="AF158" s="228">
        <f ca="1">IFERROR(INT(CampList[[#This Row],[Distance]]/5)+1,"")</f>
        <v>1</v>
      </c>
      <c r="AH158" s="302"/>
      <c r="AI158" s="303"/>
    </row>
    <row r="159" spans="2:35" ht="15.75" hidden="1" customHeight="1" x14ac:dyDescent="0.25">
      <c r="B159" s="218" t="s">
        <v>776</v>
      </c>
      <c r="C159" s="212" t="s">
        <v>378</v>
      </c>
      <c r="D159" s="212" t="s">
        <v>478</v>
      </c>
      <c r="E159" s="212" t="s">
        <v>180</v>
      </c>
      <c r="F159" s="212" t="s">
        <v>479</v>
      </c>
      <c r="G159" s="212" t="s">
        <v>480</v>
      </c>
      <c r="H159" s="212" t="s">
        <v>481</v>
      </c>
      <c r="I159" s="226" t="s">
        <v>543</v>
      </c>
      <c r="J159" s="226" t="s">
        <v>544</v>
      </c>
      <c r="K159" s="226" t="s">
        <v>641</v>
      </c>
      <c r="L159" s="226" t="s">
        <v>642</v>
      </c>
      <c r="M159" s="212" t="s">
        <v>74</v>
      </c>
      <c r="N159" s="212" t="s">
        <v>73</v>
      </c>
      <c r="O159" s="219"/>
      <c r="P159" s="219"/>
      <c r="Q159" s="233"/>
      <c r="R159" s="302"/>
      <c r="S159" s="303"/>
      <c r="T159" s="222" t="str">
        <f>IF(CampList[[#This Row],[HH]]&gt;0,CampList[[#This Row],[Total]]/CampList[[#This Row],[HH]],"NA")</f>
        <v>NA</v>
      </c>
      <c r="U159" s="214" t="s">
        <v>464</v>
      </c>
      <c r="V159" s="214" t="s">
        <v>997</v>
      </c>
      <c r="W159" s="214" t="s">
        <v>507</v>
      </c>
      <c r="X159" s="214"/>
      <c r="Y159" s="234"/>
      <c r="Z159" s="224"/>
      <c r="AA159" s="239"/>
      <c r="AB159" s="243"/>
      <c r="AC159" s="218" t="s">
        <v>541</v>
      </c>
      <c r="AD159" s="214" t="str">
        <f ca="1">IFERROR(OFFSET(DistanceToCamp[Nearest Town],MATCH(CampList[[#This Row],[CP_Pcode]],DistanceToCamp[CP_Pcode],0)-1,0,1,1),"")</f>
        <v/>
      </c>
      <c r="AE159" s="227" t="str">
        <f ca="1">IFERROR(OFFSET(DistanceToCamp[distance],MATCH(CampList[[#This Row],[CP_Pcode]],DistanceToCamp[CP_Pcode],0)-1,0,1,1),"")</f>
        <v/>
      </c>
      <c r="AF159" s="228" t="str">
        <f ca="1">IFERROR(INT(CampList[[#This Row],[Distance]]/5)+1,"")</f>
        <v/>
      </c>
    </row>
    <row r="160" spans="2:35" ht="15.75" customHeight="1" x14ac:dyDescent="0.25">
      <c r="B160" s="218" t="s">
        <v>460</v>
      </c>
      <c r="C160" s="212" t="s">
        <v>378</v>
      </c>
      <c r="D160" s="212" t="s">
        <v>478</v>
      </c>
      <c r="E160" s="212" t="s">
        <v>180</v>
      </c>
      <c r="F160" s="212" t="s">
        <v>479</v>
      </c>
      <c r="G160" s="212" t="s">
        <v>480</v>
      </c>
      <c r="H160" s="212" t="s">
        <v>481</v>
      </c>
      <c r="I160" s="212" t="s">
        <v>538</v>
      </c>
      <c r="J160" s="212" t="s">
        <v>539</v>
      </c>
      <c r="K160" s="212" t="s">
        <v>540</v>
      </c>
      <c r="L160" s="212">
        <v>166785</v>
      </c>
      <c r="M160" s="212" t="s">
        <v>118</v>
      </c>
      <c r="N160" s="212" t="s">
        <v>117</v>
      </c>
      <c r="O160" s="219">
        <v>96.279200000000003</v>
      </c>
      <c r="P160" s="219">
        <v>25.56551</v>
      </c>
      <c r="Q160" s="220">
        <v>259</v>
      </c>
      <c r="R160" s="292">
        <v>10</v>
      </c>
      <c r="S160" s="292">
        <v>39</v>
      </c>
      <c r="T160" s="222">
        <f>IF(CampList[[#This Row],[HH]]&gt;0,CampList[[#This Row],[Total]]/CampList[[#This Row],[HH]],"NA")</f>
        <v>3.9</v>
      </c>
      <c r="U160" s="214" t="s">
        <v>464</v>
      </c>
      <c r="V160" s="214" t="s">
        <v>997</v>
      </c>
      <c r="W160" s="214" t="s">
        <v>1399</v>
      </c>
      <c r="X160" s="214" t="s">
        <v>785</v>
      </c>
      <c r="Y160" s="331">
        <v>41275</v>
      </c>
      <c r="Z160" s="223" t="s">
        <v>1327</v>
      </c>
      <c r="AA160" s="212" t="s">
        <v>775</v>
      </c>
      <c r="AB160" s="225">
        <v>43186</v>
      </c>
      <c r="AC160" s="226" t="s">
        <v>1628</v>
      </c>
      <c r="AD160" s="214" t="str">
        <f ca="1">IFERROR(OFFSET(DistanceToCamp[Nearest Town],MATCH(CampList[[#This Row],[CP_Pcode]],DistanceToCamp[CP_Pcode],0)-1,0,1,1),"")</f>
        <v>Hpakant Town</v>
      </c>
      <c r="AE160" s="227">
        <f ca="1">IFERROR(OFFSET(DistanceToCamp[distance],MATCH(CampList[[#This Row],[CP_Pcode]],DistanceToCamp[CP_Pcode],0)-1,0,1,1),"")</f>
        <v>6.2085564346706201</v>
      </c>
      <c r="AF160" s="228">
        <f ca="1">IFERROR(INT(CampList[[#This Row],[Distance]]/5)+1,"")</f>
        <v>2</v>
      </c>
    </row>
    <row r="161" spans="2:32" ht="15.75" hidden="1" customHeight="1" x14ac:dyDescent="0.25">
      <c r="B161" s="218" t="s">
        <v>776</v>
      </c>
      <c r="C161" s="212" t="s">
        <v>378</v>
      </c>
      <c r="D161" s="212" t="s">
        <v>478</v>
      </c>
      <c r="E161" s="212" t="s">
        <v>180</v>
      </c>
      <c r="F161" s="212" t="s">
        <v>479</v>
      </c>
      <c r="G161" s="212" t="s">
        <v>480</v>
      </c>
      <c r="H161" s="212" t="s">
        <v>481</v>
      </c>
      <c r="I161" s="226" t="s">
        <v>552</v>
      </c>
      <c r="J161" s="226" t="s">
        <v>553</v>
      </c>
      <c r="K161" s="226" t="s">
        <v>552</v>
      </c>
      <c r="L161" s="226">
        <v>166773</v>
      </c>
      <c r="M161" s="212" t="s">
        <v>142</v>
      </c>
      <c r="N161" s="212" t="s">
        <v>141</v>
      </c>
      <c r="O161" s="219">
        <v>96.354159999999993</v>
      </c>
      <c r="P161" s="219">
        <v>25.658670000000001</v>
      </c>
      <c r="Q161" s="220">
        <v>0</v>
      </c>
      <c r="R161" s="302">
        <v>0</v>
      </c>
      <c r="S161" s="303">
        <v>0</v>
      </c>
      <c r="T161" s="222" t="str">
        <f>IF(CampList[[#This Row],[HH]]&gt;0,CampList[[#This Row],[Total]]/CampList[[#This Row],[HH]],"NA")</f>
        <v>NA</v>
      </c>
      <c r="U161" s="214" t="s">
        <v>464</v>
      </c>
      <c r="V161" s="214" t="s">
        <v>997</v>
      </c>
      <c r="W161" s="214" t="s">
        <v>507</v>
      </c>
      <c r="X161" s="214" t="s">
        <v>785</v>
      </c>
      <c r="Y161" s="223">
        <v>41275</v>
      </c>
      <c r="Z161" s="223"/>
      <c r="AA161" s="239" t="s">
        <v>774</v>
      </c>
      <c r="AB161" s="225">
        <v>41774</v>
      </c>
      <c r="AC161" s="218" t="s">
        <v>900</v>
      </c>
      <c r="AD161" s="214" t="str">
        <f ca="1">IFERROR(OFFSET(DistanceToCamp[Nearest Town],MATCH(CampList[[#This Row],[CP_Pcode]],DistanceToCamp[CP_Pcode],0)-1,0,1,1),"")</f>
        <v/>
      </c>
      <c r="AE161" s="227" t="str">
        <f ca="1">IFERROR(OFFSET(DistanceToCamp[distance],MATCH(CampList[[#This Row],[CP_Pcode]],DistanceToCamp[CP_Pcode],0)-1,0,1,1),"")</f>
        <v/>
      </c>
      <c r="AF161" s="228" t="str">
        <f ca="1">IFERROR(INT(CampList[[#This Row],[Distance]]/5)+1,"")</f>
        <v/>
      </c>
    </row>
    <row r="162" spans="2:32" ht="15.75" hidden="1" customHeight="1" x14ac:dyDescent="0.25">
      <c r="B162" s="218" t="s">
        <v>776</v>
      </c>
      <c r="C162" s="212" t="s">
        <v>378</v>
      </c>
      <c r="D162" s="212" t="s">
        <v>478</v>
      </c>
      <c r="E162" s="212" t="s">
        <v>180</v>
      </c>
      <c r="F162" s="212" t="s">
        <v>479</v>
      </c>
      <c r="G162" s="212" t="s">
        <v>480</v>
      </c>
      <c r="H162" s="212" t="s">
        <v>481</v>
      </c>
      <c r="I162" s="226" t="s">
        <v>552</v>
      </c>
      <c r="J162" s="226" t="s">
        <v>553</v>
      </c>
      <c r="K162" s="226" t="s">
        <v>552</v>
      </c>
      <c r="L162" s="226">
        <v>166773</v>
      </c>
      <c r="M162" s="212" t="s">
        <v>98</v>
      </c>
      <c r="N162" s="212" t="s">
        <v>97</v>
      </c>
      <c r="O162" s="219">
        <v>96.359309999999994</v>
      </c>
      <c r="P162" s="219">
        <v>25.651440000000001</v>
      </c>
      <c r="Q162" s="233"/>
      <c r="R162" s="302">
        <v>0</v>
      </c>
      <c r="S162" s="303">
        <v>0</v>
      </c>
      <c r="T162" s="222" t="str">
        <f>IF(CampList[[#This Row],[HH]]&gt;0,CampList[[#This Row],[Total]]/CampList[[#This Row],[HH]],"NA")</f>
        <v>NA</v>
      </c>
      <c r="U162" s="214" t="s">
        <v>464</v>
      </c>
      <c r="V162" s="214" t="s">
        <v>997</v>
      </c>
      <c r="W162" s="214" t="s">
        <v>507</v>
      </c>
      <c r="X162" s="214"/>
      <c r="Y162" s="234"/>
      <c r="Z162" s="224"/>
      <c r="AA162" s="239"/>
      <c r="AB162" s="243"/>
      <c r="AC162" s="218" t="s">
        <v>541</v>
      </c>
      <c r="AD162" s="214" t="str">
        <f ca="1">IFERROR(OFFSET(DistanceToCamp[Nearest Town],MATCH(CampList[[#This Row],[CP_Pcode]],DistanceToCamp[CP_Pcode],0)-1,0,1,1),"")</f>
        <v/>
      </c>
      <c r="AE162" s="227" t="str">
        <f ca="1">IFERROR(OFFSET(DistanceToCamp[distance],MATCH(CampList[[#This Row],[CP_Pcode]],DistanceToCamp[CP_Pcode],0)-1,0,1,1),"")</f>
        <v/>
      </c>
      <c r="AF162" s="228" t="str">
        <f ca="1">IFERROR(INT(CampList[[#This Row],[Distance]]/5)+1,"")</f>
        <v/>
      </c>
    </row>
    <row r="163" spans="2:32" ht="15.75" hidden="1" customHeight="1" x14ac:dyDescent="0.25">
      <c r="B163" s="218" t="s">
        <v>776</v>
      </c>
      <c r="C163" s="212" t="s">
        <v>378</v>
      </c>
      <c r="D163" s="212" t="s">
        <v>478</v>
      </c>
      <c r="E163" s="212" t="s">
        <v>180</v>
      </c>
      <c r="F163" s="212" t="s">
        <v>479</v>
      </c>
      <c r="G163" s="212" t="s">
        <v>480</v>
      </c>
      <c r="H163" s="212" t="s">
        <v>481</v>
      </c>
      <c r="I163" s="226" t="s">
        <v>552</v>
      </c>
      <c r="J163" s="226" t="s">
        <v>553</v>
      </c>
      <c r="K163" s="226" t="s">
        <v>552</v>
      </c>
      <c r="L163" s="226">
        <v>166773</v>
      </c>
      <c r="M163" s="212" t="s">
        <v>62</v>
      </c>
      <c r="N163" s="212" t="s">
        <v>61</v>
      </c>
      <c r="O163" s="219">
        <v>96.355270000000004</v>
      </c>
      <c r="P163" s="219">
        <v>25.656130000000001</v>
      </c>
      <c r="Q163" s="220">
        <v>0</v>
      </c>
      <c r="R163" s="292"/>
      <c r="S163" s="292"/>
      <c r="T163" s="222" t="str">
        <f>IF(CampList[[#This Row],[HH]]&gt;0,CampList[[#This Row],[Total]]/CampList[[#This Row],[HH]],"NA")</f>
        <v>NA</v>
      </c>
      <c r="U163" s="214" t="s">
        <v>464</v>
      </c>
      <c r="V163" s="214" t="s">
        <v>997</v>
      </c>
      <c r="W163" s="214" t="s">
        <v>507</v>
      </c>
      <c r="X163" s="214" t="s">
        <v>785</v>
      </c>
      <c r="Y163" s="331">
        <v>41275</v>
      </c>
      <c r="Z163" s="223" t="s">
        <v>424</v>
      </c>
      <c r="AA163" s="239" t="s">
        <v>775</v>
      </c>
      <c r="AB163" s="225">
        <v>42919</v>
      </c>
      <c r="AC163" s="218" t="s">
        <v>1279</v>
      </c>
      <c r="AD163" s="214" t="str">
        <f ca="1">IFERROR(OFFSET(DistanceToCamp[Nearest Town],MATCH(CampList[[#This Row],[CP_Pcode]],DistanceToCamp[CP_Pcode],0)-1,0,1,1),"")</f>
        <v>Hpakant Town</v>
      </c>
      <c r="AE163" s="227">
        <f ca="1">IFERROR(OFFSET(DistanceToCamp[distance],MATCH(CampList[[#This Row],[CP_Pcode]],DistanceToCamp[CP_Pcode],0)-1,0,1,1),"")</f>
        <v>6.4753396248436657</v>
      </c>
      <c r="AF163" s="228">
        <f ca="1">IFERROR(INT(CampList[[#This Row],[Distance]]/5)+1,"")</f>
        <v>2</v>
      </c>
    </row>
    <row r="164" spans="2:32" ht="15.75" hidden="1" customHeight="1" x14ac:dyDescent="0.25">
      <c r="B164" s="218" t="s">
        <v>776</v>
      </c>
      <c r="C164" s="212" t="s">
        <v>378</v>
      </c>
      <c r="D164" s="212" t="s">
        <v>478</v>
      </c>
      <c r="E164" s="212" t="s">
        <v>180</v>
      </c>
      <c r="F164" s="212" t="s">
        <v>479</v>
      </c>
      <c r="G164" s="212" t="s">
        <v>480</v>
      </c>
      <c r="H164" s="212" t="s">
        <v>481</v>
      </c>
      <c r="I164" s="226" t="s">
        <v>538</v>
      </c>
      <c r="J164" s="226" t="s">
        <v>539</v>
      </c>
      <c r="K164" s="226" t="s">
        <v>538</v>
      </c>
      <c r="L164" s="226">
        <v>166783</v>
      </c>
      <c r="M164" s="212" t="s">
        <v>78</v>
      </c>
      <c r="N164" s="212" t="s">
        <v>77</v>
      </c>
      <c r="O164" s="219"/>
      <c r="P164" s="219"/>
      <c r="Q164" s="233"/>
      <c r="R164" s="302"/>
      <c r="S164" s="303"/>
      <c r="T164" s="222" t="str">
        <f>IF(CampList[[#This Row],[HH]]&gt;0,CampList[[#This Row],[Total]]/CampList[[#This Row],[HH]],"NA")</f>
        <v>NA</v>
      </c>
      <c r="U164" s="214" t="s">
        <v>464</v>
      </c>
      <c r="V164" s="214" t="s">
        <v>997</v>
      </c>
      <c r="W164" s="214" t="s">
        <v>507</v>
      </c>
      <c r="X164" s="214" t="s">
        <v>785</v>
      </c>
      <c r="Y164" s="234"/>
      <c r="Z164" s="224"/>
      <c r="AA164" s="239" t="s">
        <v>775</v>
      </c>
      <c r="AB164" s="225">
        <v>41774</v>
      </c>
      <c r="AC164" s="218" t="s">
        <v>900</v>
      </c>
      <c r="AD164" s="214" t="str">
        <f ca="1">IFERROR(OFFSET(DistanceToCamp[Nearest Town],MATCH(CampList[[#This Row],[CP_Pcode]],DistanceToCamp[CP_Pcode],0)-1,0,1,1),"")</f>
        <v/>
      </c>
      <c r="AE164" s="227" t="str">
        <f ca="1">IFERROR(OFFSET(DistanceToCamp[distance],MATCH(CampList[[#This Row],[CP_Pcode]],DistanceToCamp[CP_Pcode],0)-1,0,1,1),"")</f>
        <v/>
      </c>
      <c r="AF164" s="228" t="str">
        <f ca="1">IFERROR(INT(CampList[[#This Row],[Distance]]/5)+1,"")</f>
        <v/>
      </c>
    </row>
    <row r="165" spans="2:32" ht="15.75" customHeight="1" x14ac:dyDescent="0.25">
      <c r="B165" s="218" t="s">
        <v>460</v>
      </c>
      <c r="C165" s="212" t="s">
        <v>378</v>
      </c>
      <c r="D165" s="212" t="s">
        <v>478</v>
      </c>
      <c r="E165" s="212" t="s">
        <v>237</v>
      </c>
      <c r="F165" s="212" t="s">
        <v>484</v>
      </c>
      <c r="G165" s="212" t="s">
        <v>237</v>
      </c>
      <c r="H165" s="212" t="s">
        <v>488</v>
      </c>
      <c r="I165" s="212" t="s">
        <v>611</v>
      </c>
      <c r="J165" s="212" t="s">
        <v>612</v>
      </c>
      <c r="K165" s="212" t="s">
        <v>621</v>
      </c>
      <c r="L165" s="212" t="s">
        <v>622</v>
      </c>
      <c r="M165" s="212" t="s">
        <v>278</v>
      </c>
      <c r="N165" s="212" t="s">
        <v>277</v>
      </c>
      <c r="O165" s="219">
        <v>97.418004999999994</v>
      </c>
      <c r="P165" s="219">
        <v>25.423817</v>
      </c>
      <c r="Q165" s="220">
        <v>0</v>
      </c>
      <c r="R165" s="292">
        <v>23</v>
      </c>
      <c r="S165" s="292">
        <v>114</v>
      </c>
      <c r="T165" s="222">
        <f>IF(CampList[[#This Row],[HH]]&gt;0,CampList[[#This Row],[Total]]/CampList[[#This Row],[HH]],"NA")</f>
        <v>4.9565217391304346</v>
      </c>
      <c r="U165" s="214" t="s">
        <v>464</v>
      </c>
      <c r="V165" s="214" t="s">
        <v>997</v>
      </c>
      <c r="W165" s="214" t="s">
        <v>507</v>
      </c>
      <c r="X165" s="214" t="s">
        <v>742</v>
      </c>
      <c r="Y165" s="331">
        <v>40909</v>
      </c>
      <c r="Z165" s="223" t="s">
        <v>462</v>
      </c>
      <c r="AA165" s="212" t="s">
        <v>775</v>
      </c>
      <c r="AB165" s="225">
        <v>43220</v>
      </c>
      <c r="AC165" s="226" t="s">
        <v>1692</v>
      </c>
      <c r="AD165" s="214" t="str">
        <f ca="1">IFERROR(OFFSET(DistanceToCamp[Nearest Town],MATCH(CampList[[#This Row],[CP_Pcode]],DistanceToCamp[CP_Pcode],0)-1,0,1,1),"")</f>
        <v>Myitkyina Town</v>
      </c>
      <c r="AE165" s="227">
        <f ca="1">IFERROR(OFFSET(DistanceToCamp[distance],MATCH(CampList[[#This Row],[CP_Pcode]],DistanceToCamp[CP_Pcode],0)-1,0,1,1),"")</f>
        <v>4.9021696969220816</v>
      </c>
      <c r="AF165" s="228">
        <f ca="1">IFERROR(INT(CampList[[#This Row],[Distance]]/5)+1,"")</f>
        <v>1</v>
      </c>
    </row>
    <row r="166" spans="2:32" ht="15.75" customHeight="1" x14ac:dyDescent="0.25">
      <c r="B166" s="218" t="s">
        <v>460</v>
      </c>
      <c r="C166" s="212" t="s">
        <v>378</v>
      </c>
      <c r="D166" s="212" t="s">
        <v>478</v>
      </c>
      <c r="E166" s="212" t="s">
        <v>5</v>
      </c>
      <c r="F166" s="212" t="s">
        <v>482</v>
      </c>
      <c r="G166" s="212" t="s">
        <v>5</v>
      </c>
      <c r="H166" s="212" t="s">
        <v>483</v>
      </c>
      <c r="I166" s="212" t="s">
        <v>577</v>
      </c>
      <c r="J166" s="212" t="s">
        <v>578</v>
      </c>
      <c r="K166" s="212" t="s">
        <v>579</v>
      </c>
      <c r="L166" s="212" t="s">
        <v>580</v>
      </c>
      <c r="M166" s="212" t="s">
        <v>24</v>
      </c>
      <c r="N166" s="212" t="s">
        <v>23</v>
      </c>
      <c r="O166" s="219">
        <v>97.227789999999999</v>
      </c>
      <c r="P166" s="219">
        <v>24.29138</v>
      </c>
      <c r="Q166" s="220">
        <v>0</v>
      </c>
      <c r="R166" s="292">
        <v>20</v>
      </c>
      <c r="S166" s="292">
        <v>95</v>
      </c>
      <c r="T166" s="222">
        <f>IF(CampList[[#This Row],[HH]]&gt;0,CampList[[#This Row],[Total]]/CampList[[#This Row],[HH]],"NA")</f>
        <v>4.75</v>
      </c>
      <c r="U166" s="214" t="s">
        <v>464</v>
      </c>
      <c r="V166" s="214" t="s">
        <v>997</v>
      </c>
      <c r="W166" s="214" t="s">
        <v>507</v>
      </c>
      <c r="X166" s="214" t="s">
        <v>742</v>
      </c>
      <c r="Y166" s="331">
        <v>41030</v>
      </c>
      <c r="Z166" s="223" t="s">
        <v>462</v>
      </c>
      <c r="AA166" s="212" t="s">
        <v>775</v>
      </c>
      <c r="AB166" s="225">
        <v>43220</v>
      </c>
      <c r="AC166" s="226" t="s">
        <v>1693</v>
      </c>
      <c r="AD166" s="214" t="str">
        <f ca="1">IFERROR(OFFSET(DistanceToCamp[Nearest Town],MATCH(CampList[[#This Row],[CP_Pcode]],DistanceToCamp[CP_Pcode],0)-1,0,1,1),"")</f>
        <v>Bhamo Town</v>
      </c>
      <c r="AE166" s="227">
        <f ca="1">IFERROR(OFFSET(DistanceToCamp[distance],MATCH(CampList[[#This Row],[CP_Pcode]],DistanceToCamp[CP_Pcode],0)-1,0,1,1),"")</f>
        <v>4.108228790802368</v>
      </c>
      <c r="AF166" s="228">
        <f ca="1">IFERROR(INT(CampList[[#This Row],[Distance]]/5)+1,"")</f>
        <v>1</v>
      </c>
    </row>
    <row r="167" spans="2:32" ht="15.75" hidden="1" customHeight="1" x14ac:dyDescent="0.25">
      <c r="B167" s="218" t="s">
        <v>776</v>
      </c>
      <c r="C167" s="212" t="s">
        <v>378</v>
      </c>
      <c r="D167" s="212" t="s">
        <v>478</v>
      </c>
      <c r="E167" s="212" t="s">
        <v>180</v>
      </c>
      <c r="F167" s="212" t="s">
        <v>479</v>
      </c>
      <c r="G167" s="212" t="s">
        <v>480</v>
      </c>
      <c r="H167" s="212" t="s">
        <v>481</v>
      </c>
      <c r="I167" s="212" t="s">
        <v>538</v>
      </c>
      <c r="J167" s="212" t="s">
        <v>539</v>
      </c>
      <c r="K167" s="212" t="s">
        <v>540</v>
      </c>
      <c r="L167" s="232">
        <v>166785</v>
      </c>
      <c r="M167" s="212" t="s">
        <v>124</v>
      </c>
      <c r="N167" s="212" t="s">
        <v>123</v>
      </c>
      <c r="O167" s="219">
        <v>96.353030000000004</v>
      </c>
      <c r="P167" s="219">
        <v>25.668399999999998</v>
      </c>
      <c r="Q167" s="220">
        <v>0</v>
      </c>
      <c r="R167" s="292">
        <v>8</v>
      </c>
      <c r="S167" s="292">
        <v>32</v>
      </c>
      <c r="T167" s="222">
        <f>IF(CampList[[#This Row],[HH]]&gt;0,CampList[[#This Row],[Total]]/CampList[[#This Row],[HH]],"NA")</f>
        <v>4</v>
      </c>
      <c r="U167" s="214" t="s">
        <v>464</v>
      </c>
      <c r="V167" s="214" t="s">
        <v>997</v>
      </c>
      <c r="W167" s="214" t="s">
        <v>507</v>
      </c>
      <c r="X167" s="214" t="s">
        <v>785</v>
      </c>
      <c r="Y167" s="331">
        <v>41275</v>
      </c>
      <c r="Z167" s="223" t="s">
        <v>424</v>
      </c>
      <c r="AA167" s="212" t="s">
        <v>775</v>
      </c>
      <c r="AB167" s="225">
        <v>43039</v>
      </c>
      <c r="AC167" s="226" t="s">
        <v>1567</v>
      </c>
      <c r="AD167" s="214" t="str">
        <f ca="1">IFERROR(OFFSET(DistanceToCamp[Nearest Town],MATCH(CampList[[#This Row],[CP_Pcode]],DistanceToCamp[CP_Pcode],0)-1,0,1,1),"")</f>
        <v>Hpakant Town</v>
      </c>
      <c r="AE167" s="227">
        <f ca="1">IFERROR(OFFSET(DistanceToCamp[distance],MATCH(CampList[[#This Row],[CP_Pcode]],DistanceToCamp[CP_Pcode],0)-1,0,1,1),"")</f>
        <v>7.419312682373878</v>
      </c>
      <c r="AF167" s="228">
        <f ca="1">IFERROR(INT(CampList[[#This Row],[Distance]]/5)+1,"")</f>
        <v>2</v>
      </c>
    </row>
    <row r="168" spans="2:32" ht="15.75" customHeight="1" x14ac:dyDescent="0.25">
      <c r="B168" s="218" t="s">
        <v>460</v>
      </c>
      <c r="C168" s="212" t="s">
        <v>378</v>
      </c>
      <c r="D168" s="212" t="s">
        <v>478</v>
      </c>
      <c r="E168" s="212" t="s">
        <v>5</v>
      </c>
      <c r="F168" s="212" t="s">
        <v>482</v>
      </c>
      <c r="G168" s="212" t="s">
        <v>151</v>
      </c>
      <c r="H168" s="212" t="s">
        <v>492</v>
      </c>
      <c r="I168" s="212" t="s">
        <v>600</v>
      </c>
      <c r="J168" s="212" t="s">
        <v>601</v>
      </c>
      <c r="K168" s="212" t="s">
        <v>600</v>
      </c>
      <c r="L168" s="212">
        <v>167405</v>
      </c>
      <c r="M168" s="212" t="s">
        <v>940</v>
      </c>
      <c r="N168" s="212" t="s">
        <v>941</v>
      </c>
      <c r="O168" s="221">
        <v>97.590767</v>
      </c>
      <c r="P168" s="221">
        <v>23.829599000000002</v>
      </c>
      <c r="Q168" s="233"/>
      <c r="R168" s="292">
        <v>154</v>
      </c>
      <c r="S168" s="292">
        <v>670</v>
      </c>
      <c r="T168" s="222">
        <f>IF(CampList[[#This Row],[HH]]&gt;0,CampList[[#This Row],[Total]]/CampList[[#This Row],[HH]],"NA")</f>
        <v>4.3506493506493502</v>
      </c>
      <c r="U168" s="214" t="s">
        <v>464</v>
      </c>
      <c r="V168" s="214" t="s">
        <v>997</v>
      </c>
      <c r="W168" s="214" t="s">
        <v>507</v>
      </c>
      <c r="X168" s="214" t="s">
        <v>785</v>
      </c>
      <c r="Y168" s="332">
        <v>41730</v>
      </c>
      <c r="Z168" s="224" t="s">
        <v>424</v>
      </c>
      <c r="AA168" s="212" t="s">
        <v>775</v>
      </c>
      <c r="AB168" s="225">
        <v>43220</v>
      </c>
      <c r="AC168" s="226" t="s">
        <v>1742</v>
      </c>
      <c r="AD168" s="214" t="str">
        <f ca="1">IFERROR(OFFSET(DistanceToCamp[Nearest Town],MATCH(CampList[[#This Row],[CP_Pcode]],DistanceToCamp[CP_Pcode],0)-1,0,1,1),"")</f>
        <v>Namhkan Town</v>
      </c>
      <c r="AE168" s="227">
        <f ca="1">IFERROR(OFFSET(DistanceToCamp[distance],MATCH(CampList[[#This Row],[CP_Pcode]],DistanceToCamp[CP_Pcode],0)-1,0,1,1),"")</f>
        <v>9.2957189123335944</v>
      </c>
      <c r="AF168" s="237">
        <f ca="1">IFERROR(INT(CampList[[#This Row],[Distance]]/5)+1,"")</f>
        <v>2</v>
      </c>
    </row>
    <row r="169" spans="2:32" ht="15.75" hidden="1" customHeight="1" x14ac:dyDescent="0.25">
      <c r="B169" s="218" t="s">
        <v>776</v>
      </c>
      <c r="C169" s="212" t="s">
        <v>378</v>
      </c>
      <c r="D169" s="212" t="s">
        <v>478</v>
      </c>
      <c r="E169" s="212" t="s">
        <v>180</v>
      </c>
      <c r="F169" s="212" t="s">
        <v>479</v>
      </c>
      <c r="G169" s="212" t="s">
        <v>480</v>
      </c>
      <c r="H169" s="212" t="s">
        <v>481</v>
      </c>
      <c r="I169" s="226" t="s">
        <v>538</v>
      </c>
      <c r="J169" s="226" t="s">
        <v>539</v>
      </c>
      <c r="K169" s="226" t="s">
        <v>538</v>
      </c>
      <c r="L169" s="226">
        <v>166783</v>
      </c>
      <c r="M169" s="212" t="s">
        <v>64</v>
      </c>
      <c r="N169" s="212" t="s">
        <v>63</v>
      </c>
      <c r="O169" s="219">
        <v>96.288250000000005</v>
      </c>
      <c r="P169" s="219">
        <v>25.57921</v>
      </c>
      <c r="Q169" s="220">
        <v>0</v>
      </c>
      <c r="R169" s="302"/>
      <c r="S169" s="303"/>
      <c r="T169" s="222" t="str">
        <f>IF(CampList[[#This Row],[HH]]&gt;0,CampList[[#This Row],[Total]]/CampList[[#This Row],[HH]],"NA")</f>
        <v>NA</v>
      </c>
      <c r="U169" s="214" t="s">
        <v>464</v>
      </c>
      <c r="V169" s="214" t="s">
        <v>997</v>
      </c>
      <c r="W169" s="214" t="s">
        <v>507</v>
      </c>
      <c r="X169" s="214" t="s">
        <v>785</v>
      </c>
      <c r="Y169" s="223">
        <v>41275</v>
      </c>
      <c r="Z169" s="223" t="s">
        <v>938</v>
      </c>
      <c r="AA169" s="239" t="s">
        <v>774</v>
      </c>
      <c r="AB169" s="225">
        <v>41736</v>
      </c>
      <c r="AC169" s="226" t="s">
        <v>892</v>
      </c>
      <c r="AD169" s="214" t="str">
        <f ca="1">IFERROR(OFFSET(DistanceToCamp[Nearest Town],MATCH(CampList[[#This Row],[CP_Pcode]],DistanceToCamp[CP_Pcode],0)-1,0,1,1),"")</f>
        <v/>
      </c>
      <c r="AE169" s="227" t="str">
        <f ca="1">IFERROR(OFFSET(DistanceToCamp[distance],MATCH(CampList[[#This Row],[CP_Pcode]],DistanceToCamp[CP_Pcode],0)-1,0,1,1),"")</f>
        <v/>
      </c>
      <c r="AF169" s="228" t="str">
        <f ca="1">IFERROR(INT(CampList[[#This Row],[Distance]]/5)+1,"")</f>
        <v/>
      </c>
    </row>
    <row r="170" spans="2:32" ht="15.75" hidden="1" customHeight="1" x14ac:dyDescent="0.25">
      <c r="B170" s="218" t="s">
        <v>776</v>
      </c>
      <c r="C170" s="212" t="s">
        <v>378</v>
      </c>
      <c r="D170" s="212" t="s">
        <v>478</v>
      </c>
      <c r="E170" s="212" t="s">
        <v>180</v>
      </c>
      <c r="F170" s="212" t="s">
        <v>479</v>
      </c>
      <c r="G170" s="212" t="s">
        <v>480</v>
      </c>
      <c r="H170" s="212" t="s">
        <v>481</v>
      </c>
      <c r="I170" s="226" t="s">
        <v>538</v>
      </c>
      <c r="J170" s="226" t="s">
        <v>539</v>
      </c>
      <c r="K170" s="226" t="s">
        <v>538</v>
      </c>
      <c r="L170" s="226">
        <v>166783</v>
      </c>
      <c r="M170" s="212" t="s">
        <v>82</v>
      </c>
      <c r="N170" s="212" t="s">
        <v>81</v>
      </c>
      <c r="O170" s="219"/>
      <c r="P170" s="219"/>
      <c r="Q170" s="233"/>
      <c r="R170" s="302"/>
      <c r="S170" s="303"/>
      <c r="T170" s="222" t="str">
        <f>IF(CampList[[#This Row],[HH]]&gt;0,CampList[[#This Row],[Total]]/CampList[[#This Row],[HH]],"NA")</f>
        <v>NA</v>
      </c>
      <c r="U170" s="214" t="s">
        <v>464</v>
      </c>
      <c r="V170" s="214" t="s">
        <v>997</v>
      </c>
      <c r="W170" s="214" t="s">
        <v>507</v>
      </c>
      <c r="X170" s="214"/>
      <c r="Y170" s="234"/>
      <c r="Z170" s="224"/>
      <c r="AA170" s="239" t="s">
        <v>774</v>
      </c>
      <c r="AB170" s="225">
        <v>41663</v>
      </c>
      <c r="AC170" s="218" t="s">
        <v>846</v>
      </c>
      <c r="AD170" s="214" t="str">
        <f ca="1">IFERROR(OFFSET(DistanceToCamp[Nearest Town],MATCH(CampList[[#This Row],[CP_Pcode]],DistanceToCamp[CP_Pcode],0)-1,0,1,1),"")</f>
        <v/>
      </c>
      <c r="AE170" s="227" t="str">
        <f ca="1">IFERROR(OFFSET(DistanceToCamp[distance],MATCH(CampList[[#This Row],[CP_Pcode]],DistanceToCamp[CP_Pcode],0)-1,0,1,1),"")</f>
        <v/>
      </c>
      <c r="AF170" s="228" t="str">
        <f ca="1">IFERROR(INT(CampList[[#This Row],[Distance]]/5)+1,"")</f>
        <v/>
      </c>
    </row>
    <row r="171" spans="2:32" ht="15.75" hidden="1" customHeight="1" x14ac:dyDescent="0.25">
      <c r="B171" s="218" t="s">
        <v>776</v>
      </c>
      <c r="C171" s="212" t="s">
        <v>378</v>
      </c>
      <c r="D171" s="212" t="s">
        <v>478</v>
      </c>
      <c r="E171" s="212" t="s">
        <v>180</v>
      </c>
      <c r="F171" s="212" t="s">
        <v>479</v>
      </c>
      <c r="G171" s="212" t="s">
        <v>480</v>
      </c>
      <c r="H171" s="212" t="s">
        <v>481</v>
      </c>
      <c r="I171" s="226" t="s">
        <v>558</v>
      </c>
      <c r="J171" s="226" t="s">
        <v>559</v>
      </c>
      <c r="K171" s="226" t="s">
        <v>560</v>
      </c>
      <c r="L171" s="226">
        <v>166817</v>
      </c>
      <c r="M171" s="212" t="s">
        <v>58</v>
      </c>
      <c r="N171" s="212" t="s">
        <v>57</v>
      </c>
      <c r="O171" s="219">
        <v>96.673805000000002</v>
      </c>
      <c r="P171" s="219">
        <v>25.728653000000001</v>
      </c>
      <c r="Q171" s="233"/>
      <c r="R171" s="302"/>
      <c r="S171" s="303"/>
      <c r="T171" s="222" t="str">
        <f>IF(CampList[[#This Row],[HH]]&gt;0,CampList[[#This Row],[Total]]/CampList[[#This Row],[HH]],"NA")</f>
        <v>NA</v>
      </c>
      <c r="U171" s="214" t="s">
        <v>464</v>
      </c>
      <c r="V171" s="214" t="s">
        <v>997</v>
      </c>
      <c r="W171" s="214" t="s">
        <v>507</v>
      </c>
      <c r="X171" s="214" t="s">
        <v>785</v>
      </c>
      <c r="Y171" s="234"/>
      <c r="Z171" s="223" t="s">
        <v>462</v>
      </c>
      <c r="AA171" s="239" t="s">
        <v>775</v>
      </c>
      <c r="AB171" s="225">
        <v>42096</v>
      </c>
      <c r="AC171" s="218" t="s">
        <v>1067</v>
      </c>
      <c r="AD171" s="214" t="str">
        <f ca="1">IFERROR(OFFSET(DistanceToCamp[Nearest Town],MATCH(CampList[[#This Row],[CP_Pcode]],DistanceToCamp[CP_Pcode],0)-1,0,1,1),"")</f>
        <v>Kamaing Town</v>
      </c>
      <c r="AE171" s="227">
        <f ca="1">IFERROR(OFFSET(DistanceToCamp[distance],MATCH(CampList[[#This Row],[CP_Pcode]],DistanceToCamp[CP_Pcode],0)-1,0,1,1),"")</f>
        <v>23.222739740353646</v>
      </c>
      <c r="AF171" s="228">
        <f ca="1">IFERROR(INT(CampList[[#This Row],[Distance]]/5)+1,"")</f>
        <v>5</v>
      </c>
    </row>
    <row r="172" spans="2:32" ht="15.75" hidden="1" customHeight="1" x14ac:dyDescent="0.25">
      <c r="B172" s="218" t="s">
        <v>776</v>
      </c>
      <c r="C172" s="212" t="s">
        <v>378</v>
      </c>
      <c r="D172" s="212" t="s">
        <v>478</v>
      </c>
      <c r="E172" s="212" t="s">
        <v>180</v>
      </c>
      <c r="F172" s="212" t="s">
        <v>479</v>
      </c>
      <c r="G172" s="212" t="s">
        <v>480</v>
      </c>
      <c r="H172" s="212" t="s">
        <v>481</v>
      </c>
      <c r="I172" s="226" t="s">
        <v>543</v>
      </c>
      <c r="J172" s="226" t="s">
        <v>544</v>
      </c>
      <c r="K172" s="226" t="s">
        <v>547</v>
      </c>
      <c r="L172" s="226" t="s">
        <v>548</v>
      </c>
      <c r="M172" s="212" t="s">
        <v>56</v>
      </c>
      <c r="N172" s="212" t="s">
        <v>55</v>
      </c>
      <c r="O172" s="219"/>
      <c r="P172" s="219"/>
      <c r="Q172" s="233"/>
      <c r="R172" s="302">
        <v>0</v>
      </c>
      <c r="S172" s="303">
        <v>0</v>
      </c>
      <c r="T172" s="222" t="str">
        <f>IF(CampList[[#This Row],[HH]]&gt;0,CampList[[#This Row],[Total]]/CampList[[#This Row],[HH]],"NA")</f>
        <v>NA</v>
      </c>
      <c r="U172" s="214" t="s">
        <v>464</v>
      </c>
      <c r="V172" s="214" t="s">
        <v>997</v>
      </c>
      <c r="W172" s="214" t="s">
        <v>507</v>
      </c>
      <c r="X172" s="214"/>
      <c r="Y172" s="234"/>
      <c r="Z172" s="224"/>
      <c r="AA172" s="239"/>
      <c r="AB172" s="243"/>
      <c r="AC172" s="218"/>
      <c r="AD172" s="214" t="str">
        <f ca="1">IFERROR(OFFSET(DistanceToCamp[Nearest Town],MATCH(CampList[[#This Row],[CP_Pcode]],DistanceToCamp[CP_Pcode],0)-1,0,1,1),"")</f>
        <v/>
      </c>
      <c r="AE172" s="227" t="str">
        <f ca="1">IFERROR(OFFSET(DistanceToCamp[distance],MATCH(CampList[[#This Row],[CP_Pcode]],DistanceToCamp[CP_Pcode],0)-1,0,1,1),"")</f>
        <v/>
      </c>
      <c r="AF172" s="228" t="str">
        <f ca="1">IFERROR(INT(CampList[[#This Row],[Distance]]/5)+1,"")</f>
        <v/>
      </c>
    </row>
    <row r="173" spans="2:32" ht="15.75" customHeight="1" x14ac:dyDescent="0.25">
      <c r="B173" s="218" t="s">
        <v>460</v>
      </c>
      <c r="C173" s="212" t="s">
        <v>378</v>
      </c>
      <c r="D173" s="212" t="s">
        <v>478</v>
      </c>
      <c r="E173" s="212" t="s">
        <v>237</v>
      </c>
      <c r="F173" s="212" t="s">
        <v>484</v>
      </c>
      <c r="G173" s="212" t="s">
        <v>237</v>
      </c>
      <c r="H173" s="212" t="s">
        <v>488</v>
      </c>
      <c r="I173" s="212" t="s">
        <v>611</v>
      </c>
      <c r="J173" s="212" t="s">
        <v>612</v>
      </c>
      <c r="K173" s="212" t="s">
        <v>616</v>
      </c>
      <c r="L173" s="212" t="s">
        <v>617</v>
      </c>
      <c r="M173" s="212" t="s">
        <v>1033</v>
      </c>
      <c r="N173" s="212" t="s">
        <v>241</v>
      </c>
      <c r="O173" s="219">
        <v>97.379987</v>
      </c>
      <c r="P173" s="219">
        <v>25.423209</v>
      </c>
      <c r="Q173" s="220">
        <v>0</v>
      </c>
      <c r="R173" s="292">
        <v>54</v>
      </c>
      <c r="S173" s="292">
        <v>267</v>
      </c>
      <c r="T173" s="222">
        <f>IF(CampList[[#This Row],[HH]]&gt;0,CampList[[#This Row],[Total]]/CampList[[#This Row],[HH]],"NA")</f>
        <v>4.9444444444444446</v>
      </c>
      <c r="U173" s="214" t="s">
        <v>464</v>
      </c>
      <c r="V173" s="214" t="s">
        <v>997</v>
      </c>
      <c r="W173" s="214" t="s">
        <v>507</v>
      </c>
      <c r="X173" s="214" t="s">
        <v>742</v>
      </c>
      <c r="Y173" s="331">
        <v>41000</v>
      </c>
      <c r="Z173" s="223" t="s">
        <v>462</v>
      </c>
      <c r="AA173" s="212" t="s">
        <v>775</v>
      </c>
      <c r="AB173" s="225">
        <v>43220</v>
      </c>
      <c r="AC173" s="226" t="s">
        <v>1694</v>
      </c>
      <c r="AD173" s="214" t="str">
        <f ca="1">IFERROR(OFFSET(DistanceToCamp[Nearest Town],MATCH(CampList[[#This Row],[CP_Pcode]],DistanceToCamp[CP_Pcode],0)-1,0,1,1),"")</f>
        <v>Myitkyina Town</v>
      </c>
      <c r="AE173" s="227">
        <f ca="1">IFERROR(OFFSET(DistanceToCamp[distance],MATCH(CampList[[#This Row],[CP_Pcode]],DistanceToCamp[CP_Pcode],0)-1,0,1,1),"")</f>
        <v>2.6190942927115026</v>
      </c>
      <c r="AF173" s="228">
        <f ca="1">IFERROR(INT(CampList[[#This Row],[Distance]]/5)+1,"")</f>
        <v>1</v>
      </c>
    </row>
    <row r="174" spans="2:32" ht="15.75" customHeight="1" x14ac:dyDescent="0.25">
      <c r="B174" s="218" t="s">
        <v>460</v>
      </c>
      <c r="C174" s="212" t="s">
        <v>378</v>
      </c>
      <c r="D174" s="212" t="s">
        <v>478</v>
      </c>
      <c r="E174" s="212" t="s">
        <v>237</v>
      </c>
      <c r="F174" s="212" t="s">
        <v>484</v>
      </c>
      <c r="G174" s="212" t="s">
        <v>237</v>
      </c>
      <c r="H174" s="212" t="s">
        <v>488</v>
      </c>
      <c r="I174" s="212" t="s">
        <v>611</v>
      </c>
      <c r="J174" s="212" t="s">
        <v>612</v>
      </c>
      <c r="K174" s="212" t="s">
        <v>616</v>
      </c>
      <c r="L174" s="212" t="s">
        <v>617</v>
      </c>
      <c r="M174" s="212" t="s">
        <v>248</v>
      </c>
      <c r="N174" s="212" t="s">
        <v>247</v>
      </c>
      <c r="O174" s="219">
        <v>97.389778000000007</v>
      </c>
      <c r="P174" s="219">
        <v>25.417733999999999</v>
      </c>
      <c r="Q174" s="220">
        <v>0</v>
      </c>
      <c r="R174" s="292">
        <v>7</v>
      </c>
      <c r="S174" s="292">
        <v>31</v>
      </c>
      <c r="T174" s="222">
        <f>IF(CampList[[#This Row],[HH]]&gt;0,CampList[[#This Row],[Total]]/CampList[[#This Row],[HH]],"NA")</f>
        <v>4.4285714285714288</v>
      </c>
      <c r="U174" s="214" t="s">
        <v>464</v>
      </c>
      <c r="V174" s="214" t="s">
        <v>997</v>
      </c>
      <c r="W174" s="214" t="s">
        <v>1606</v>
      </c>
      <c r="X174" s="214" t="s">
        <v>742</v>
      </c>
      <c r="Y174" s="331">
        <v>40756</v>
      </c>
      <c r="Z174" s="223" t="s">
        <v>1327</v>
      </c>
      <c r="AA174" s="212" t="s">
        <v>775</v>
      </c>
      <c r="AB174" s="225">
        <v>43220</v>
      </c>
      <c r="AC174" s="226" t="s">
        <v>1696</v>
      </c>
      <c r="AD174" s="214" t="str">
        <f ca="1">IFERROR(OFFSET(DistanceToCamp[Nearest Town],MATCH(CampList[[#This Row],[CP_Pcode]],DistanceToCamp[CP_Pcode],0)-1,0,1,1),"")</f>
        <v>Myitkyina Town</v>
      </c>
      <c r="AE174" s="227">
        <f ca="1">IFERROR(OFFSET(DistanceToCamp[distance],MATCH(CampList[[#This Row],[CP_Pcode]],DistanceToCamp[CP_Pcode],0)-1,0,1,1),"")</f>
        <v>3.3637010801853577</v>
      </c>
      <c r="AF174" s="228">
        <f ca="1">IFERROR(INT(CampList[[#This Row],[Distance]]/5)+1,"")</f>
        <v>1</v>
      </c>
    </row>
    <row r="175" spans="2:32" ht="23.45" customHeight="1" x14ac:dyDescent="0.25">
      <c r="B175" s="239" t="s">
        <v>460</v>
      </c>
      <c r="C175" s="212" t="s">
        <v>378</v>
      </c>
      <c r="D175" s="212" t="s">
        <v>478</v>
      </c>
      <c r="E175" s="212" t="s">
        <v>237</v>
      </c>
      <c r="F175" s="212" t="s">
        <v>484</v>
      </c>
      <c r="G175" s="212" t="s">
        <v>309</v>
      </c>
      <c r="H175" s="212" t="s">
        <v>485</v>
      </c>
      <c r="I175" s="212" t="s">
        <v>635</v>
      </c>
      <c r="J175" s="212" t="s">
        <v>636</v>
      </c>
      <c r="K175" s="212" t="s">
        <v>637</v>
      </c>
      <c r="L175" s="212" t="s">
        <v>638</v>
      </c>
      <c r="M175" s="212" t="s">
        <v>347</v>
      </c>
      <c r="N175" s="212" t="s">
        <v>346</v>
      </c>
      <c r="O175" s="219">
        <v>97.428251153846105</v>
      </c>
      <c r="P175" s="219">
        <v>25.333683333333301</v>
      </c>
      <c r="Q175" s="220"/>
      <c r="R175" s="292">
        <v>46</v>
      </c>
      <c r="S175" s="292">
        <v>192</v>
      </c>
      <c r="T175" s="222">
        <f>IF(CampList[[#This Row],[HH]]&gt;0,CampList[[#This Row],[Total]]/CampList[[#This Row],[HH]],"NA")</f>
        <v>4.1739130434782608</v>
      </c>
      <c r="U175" s="214" t="s">
        <v>464</v>
      </c>
      <c r="V175" s="214" t="s">
        <v>997</v>
      </c>
      <c r="W175" s="214" t="s">
        <v>507</v>
      </c>
      <c r="X175" s="214" t="s">
        <v>742</v>
      </c>
      <c r="Y175" s="331">
        <v>40848</v>
      </c>
      <c r="Z175" s="223" t="s">
        <v>462</v>
      </c>
      <c r="AA175" s="212" t="s">
        <v>775</v>
      </c>
      <c r="AB175" s="225">
        <v>43220</v>
      </c>
      <c r="AC175" s="226" t="s">
        <v>1691</v>
      </c>
      <c r="AD175" s="214" t="str">
        <f ca="1">IFERROR(OFFSET(DistanceToCamp[Nearest Town],MATCH(CampList[[#This Row],[CP_Pcode]],DistanceToCamp[CP_Pcode],0)-1,0,1,1),"")</f>
        <v>Waingmaw Town</v>
      </c>
      <c r="AE175" s="227">
        <f ca="1">IFERROR(OFFSET(DistanceToCamp[distance],MATCH(CampList[[#This Row],[CP_Pcode]],DistanceToCamp[CP_Pcode],0)-1,0,1,1),"")</f>
        <v>2.4174307716662291</v>
      </c>
      <c r="AF175" s="228">
        <f ca="1">IFERROR(INT(CampList[[#This Row],[Distance]]/5)+1,"")</f>
        <v>1</v>
      </c>
    </row>
    <row r="176" spans="2:32" ht="15.75" customHeight="1" x14ac:dyDescent="0.25">
      <c r="B176" s="218" t="s">
        <v>460</v>
      </c>
      <c r="C176" s="212" t="s">
        <v>378</v>
      </c>
      <c r="D176" s="212" t="s">
        <v>478</v>
      </c>
      <c r="E176" s="212" t="s">
        <v>299</v>
      </c>
      <c r="F176" s="212" t="s">
        <v>499</v>
      </c>
      <c r="G176" s="212" t="s">
        <v>299</v>
      </c>
      <c r="H176" s="212" t="s">
        <v>505</v>
      </c>
      <c r="I176" s="213" t="s">
        <v>740</v>
      </c>
      <c r="J176" s="232" t="s">
        <v>741</v>
      </c>
      <c r="K176" s="213" t="s">
        <v>1054</v>
      </c>
      <c r="L176" s="226" t="s">
        <v>1055</v>
      </c>
      <c r="M176" s="213" t="s">
        <v>1048</v>
      </c>
      <c r="N176" s="212" t="s">
        <v>1047</v>
      </c>
      <c r="O176" s="251">
        <v>97.416121000000004</v>
      </c>
      <c r="P176" s="251">
        <v>27.337499999999999</v>
      </c>
      <c r="Q176" s="233"/>
      <c r="R176" s="292">
        <v>61</v>
      </c>
      <c r="S176" s="292">
        <v>281</v>
      </c>
      <c r="T176" s="222">
        <f>IF(CampList[[#This Row],[HH]]&gt;0,CampList[[#This Row],[Total]]/CampList[[#This Row],[HH]],"NA")</f>
        <v>4.6065573770491799</v>
      </c>
      <c r="U176" s="214" t="s">
        <v>464</v>
      </c>
      <c r="V176" s="214" t="s">
        <v>997</v>
      </c>
      <c r="W176" s="214" t="s">
        <v>507</v>
      </c>
      <c r="X176" s="197" t="s">
        <v>742</v>
      </c>
      <c r="Y176" s="332">
        <v>42180</v>
      </c>
      <c r="Z176" s="233" t="s">
        <v>424</v>
      </c>
      <c r="AA176" s="212" t="s">
        <v>775</v>
      </c>
      <c r="AB176" s="225">
        <v>43220</v>
      </c>
      <c r="AC176" s="235" t="s">
        <v>1743</v>
      </c>
      <c r="AD176" s="214" t="str">
        <f ca="1">IFERROR(OFFSET(DistanceToCamp[Nearest Town],MATCH(CampList[[#This Row],[CP_Pcode]],DistanceToCamp[CP_Pcode],0)-1,0,1,1),"")</f>
        <v>Puta-O Town</v>
      </c>
      <c r="AE176" s="227">
        <f ca="1">IFERROR(OFFSET(DistanceToCamp[distance],MATCH(CampList[[#This Row],[CP_Pcode]],DistanceToCamp[CP_Pcode],0)-1,0,1,1),"")</f>
        <v>0</v>
      </c>
      <c r="AF176" s="228">
        <f ca="1">IFERROR(INT(CampList[[#This Row],[Distance]]/5)+1,"")</f>
        <v>1</v>
      </c>
    </row>
    <row r="177" spans="2:32" ht="15.75" customHeight="1" x14ac:dyDescent="0.25">
      <c r="B177" s="218" t="s">
        <v>460</v>
      </c>
      <c r="C177" s="212" t="s">
        <v>378</v>
      </c>
      <c r="D177" s="212" t="s">
        <v>478</v>
      </c>
      <c r="E177" s="212" t="s">
        <v>180</v>
      </c>
      <c r="F177" s="212" t="s">
        <v>479</v>
      </c>
      <c r="G177" s="212" t="s">
        <v>173</v>
      </c>
      <c r="H177" s="212" t="s">
        <v>498</v>
      </c>
      <c r="I177" s="212" t="s">
        <v>1060</v>
      </c>
      <c r="J177" s="212" t="s">
        <v>1061</v>
      </c>
      <c r="K177" s="212" t="s">
        <v>1060</v>
      </c>
      <c r="L177" s="212">
        <v>166724</v>
      </c>
      <c r="M177" s="212" t="s">
        <v>1064</v>
      </c>
      <c r="N177" s="212" t="s">
        <v>1058</v>
      </c>
      <c r="O177" s="219">
        <v>96.793999999999997</v>
      </c>
      <c r="P177" s="219">
        <v>25.225000000000001</v>
      </c>
      <c r="Q177" s="233"/>
      <c r="R177" s="292">
        <v>27</v>
      </c>
      <c r="S177" s="292">
        <v>135</v>
      </c>
      <c r="T177" s="222">
        <f>IF(CampList[[#This Row],[HH]]&gt;0,CampList[[#This Row],[Total]]/CampList[[#This Row],[HH]],"NA")</f>
        <v>5</v>
      </c>
      <c r="U177" s="214" t="s">
        <v>464</v>
      </c>
      <c r="V177" s="214" t="s">
        <v>997</v>
      </c>
      <c r="W177" s="214" t="s">
        <v>507</v>
      </c>
      <c r="X177" s="214" t="s">
        <v>785</v>
      </c>
      <c r="Y177" s="332">
        <v>42125</v>
      </c>
      <c r="Z177" s="224" t="s">
        <v>424</v>
      </c>
      <c r="AA177" s="213" t="s">
        <v>775</v>
      </c>
      <c r="AB177" s="225">
        <v>43220</v>
      </c>
      <c r="AC177" s="226" t="s">
        <v>1744</v>
      </c>
      <c r="AD177" s="214" t="str">
        <f ca="1">IFERROR(OFFSET(DistanceToCamp[Nearest Town],MATCH(CampList[[#This Row],[CP_Pcode]],DistanceToCamp[CP_Pcode],0)-1,0,1,1),"")</f>
        <v>Mogaung Town</v>
      </c>
      <c r="AE177" s="227">
        <f ca="1">IFERROR(OFFSET(DistanceToCamp[distance],MATCH(CampList[[#This Row],[CP_Pcode]],DistanceToCamp[CP_Pcode],0)-1,0,1,1),"")</f>
        <v>5</v>
      </c>
      <c r="AF177" s="228">
        <f ca="1">IFERROR(INT(CampList[[#This Row],[Distance]]/5)+1,"")</f>
        <v>2</v>
      </c>
    </row>
    <row r="178" spans="2:32" ht="15.75" customHeight="1" x14ac:dyDescent="0.25">
      <c r="B178" s="231" t="s">
        <v>460</v>
      </c>
      <c r="C178" s="213" t="s">
        <v>378</v>
      </c>
      <c r="D178" s="212" t="s">
        <v>478</v>
      </c>
      <c r="E178" s="212" t="s">
        <v>299</v>
      </c>
      <c r="F178" s="212" t="s">
        <v>499</v>
      </c>
      <c r="G178" s="212" t="s">
        <v>747</v>
      </c>
      <c r="H178" s="212" t="s">
        <v>748</v>
      </c>
      <c r="I178" s="213"/>
      <c r="J178" s="232"/>
      <c r="K178" s="213"/>
      <c r="L178" s="213"/>
      <c r="M178" s="212" t="s">
        <v>1068</v>
      </c>
      <c r="N178" s="213" t="s">
        <v>1069</v>
      </c>
      <c r="O178" s="251">
        <v>97.745480999999998</v>
      </c>
      <c r="P178" s="251">
        <v>26.569633</v>
      </c>
      <c r="Q178" s="233"/>
      <c r="R178" s="292">
        <v>126</v>
      </c>
      <c r="S178" s="292">
        <v>779</v>
      </c>
      <c r="T178" s="222">
        <f>IF(CampList[[#This Row],[HH]]&gt;0,CampList[[#This Row],[Total]]/CampList[[#This Row],[HH]],"NA")</f>
        <v>6.1825396825396828</v>
      </c>
      <c r="U178" s="197" t="s">
        <v>466</v>
      </c>
      <c r="V178" s="214" t="s">
        <v>997</v>
      </c>
      <c r="W178" s="197" t="s">
        <v>507</v>
      </c>
      <c r="X178" s="197" t="s">
        <v>785</v>
      </c>
      <c r="Y178" s="332">
        <v>42036</v>
      </c>
      <c r="Z178" s="233" t="s">
        <v>424</v>
      </c>
      <c r="AA178" s="213" t="s">
        <v>775</v>
      </c>
      <c r="AB178" s="225">
        <v>43220</v>
      </c>
      <c r="AC178" s="252" t="s">
        <v>1745</v>
      </c>
      <c r="AD178" s="214" t="str">
        <f ca="1">IFERROR(OFFSET(DistanceToCamp[Nearest Town],MATCH(CampList[[#This Row],[CP_Pcode]],DistanceToCamp[CP_Pcode],0)-1,0,1,1),"")</f>
        <v>Sumprabum Town</v>
      </c>
      <c r="AE178" s="227">
        <f ca="1">IFERROR(OFFSET(DistanceToCamp[distance],MATCH(CampList[[#This Row],[CP_Pcode]],DistanceToCamp[CP_Pcode],0)-1,0,1,1),"")</f>
        <v>0</v>
      </c>
      <c r="AF178" s="228">
        <f ca="1">IFERROR(INT(CampList[[#This Row],[Distance]]/5)+1,"")</f>
        <v>1</v>
      </c>
    </row>
    <row r="179" spans="2:32" ht="15.75" hidden="1" customHeight="1" x14ac:dyDescent="0.25">
      <c r="B179" s="218" t="s">
        <v>776</v>
      </c>
      <c r="C179" s="212" t="s">
        <v>506</v>
      </c>
      <c r="D179" s="212" t="s">
        <v>489</v>
      </c>
      <c r="E179" s="212" t="s">
        <v>230</v>
      </c>
      <c r="F179" s="212" t="s">
        <v>490</v>
      </c>
      <c r="G179" s="212" t="s">
        <v>146</v>
      </c>
      <c r="H179" s="212" t="s">
        <v>497</v>
      </c>
      <c r="I179" s="240" t="s">
        <v>706</v>
      </c>
      <c r="J179" s="212" t="s">
        <v>707</v>
      </c>
      <c r="K179" s="240" t="s">
        <v>708</v>
      </c>
      <c r="L179" s="240">
        <v>208557</v>
      </c>
      <c r="M179" s="212" t="s">
        <v>370</v>
      </c>
      <c r="N179" s="212" t="s">
        <v>380</v>
      </c>
      <c r="O179" s="219">
        <v>97.848529999999997</v>
      </c>
      <c r="P179" s="219">
        <v>23.4008</v>
      </c>
      <c r="Q179" s="220">
        <v>0</v>
      </c>
      <c r="R179" s="197"/>
      <c r="S179" s="197"/>
      <c r="T179" s="222" t="str">
        <f>IF(CampList[[#This Row],[HH]]&gt;0,CampList[[#This Row],[Total]]/CampList[[#This Row],[HH]],"NA")</f>
        <v>NA</v>
      </c>
      <c r="U179" s="214" t="s">
        <v>464</v>
      </c>
      <c r="V179" s="214" t="s">
        <v>997</v>
      </c>
      <c r="W179" s="214" t="s">
        <v>507</v>
      </c>
      <c r="X179" s="214" t="s">
        <v>785</v>
      </c>
      <c r="Y179" s="223">
        <v>41275</v>
      </c>
      <c r="Z179" s="223" t="s">
        <v>424</v>
      </c>
      <c r="AA179" s="239" t="s">
        <v>775</v>
      </c>
      <c r="AB179" s="225">
        <v>42852</v>
      </c>
      <c r="AC179" s="218" t="s">
        <v>1242</v>
      </c>
      <c r="AD179" s="214" t="str">
        <f ca="1">IFERROR(OFFSET(DistanceToCamp[Nearest Town],MATCH(CampList[[#This Row],[CP_Pcode]],DistanceToCamp[CP_Pcode],0)-1,0,1,1),"")</f>
        <v>Kutkai Town</v>
      </c>
      <c r="AE179" s="227">
        <f ca="1">IFERROR(OFFSET(DistanceToCamp[distance],MATCH(CampList[[#This Row],[CP_Pcode]],DistanceToCamp[CP_Pcode],0)-1,0,1,1),"")</f>
        <v>11.65743881259678</v>
      </c>
      <c r="AF179" s="228">
        <f ca="1">IFERROR(INT(CampList[[#This Row],[Distance]]/5)+1,"")</f>
        <v>3</v>
      </c>
    </row>
    <row r="180" spans="2:32" ht="15.75" customHeight="1" x14ac:dyDescent="0.25">
      <c r="B180" s="239" t="s">
        <v>460</v>
      </c>
      <c r="C180" s="212" t="s">
        <v>378</v>
      </c>
      <c r="D180" s="212" t="s">
        <v>478</v>
      </c>
      <c r="E180" s="212" t="s">
        <v>237</v>
      </c>
      <c r="F180" s="212" t="s">
        <v>484</v>
      </c>
      <c r="G180" s="212" t="s">
        <v>309</v>
      </c>
      <c r="H180" s="212" t="s">
        <v>485</v>
      </c>
      <c r="I180" s="212" t="s">
        <v>635</v>
      </c>
      <c r="J180" s="212" t="s">
        <v>636</v>
      </c>
      <c r="K180" s="212" t="s">
        <v>654</v>
      </c>
      <c r="L180" s="212" t="s">
        <v>655</v>
      </c>
      <c r="M180" s="212" t="s">
        <v>315</v>
      </c>
      <c r="N180" s="212" t="s">
        <v>314</v>
      </c>
      <c r="O180" s="219">
        <v>97.444283730158702</v>
      </c>
      <c r="P180" s="219">
        <v>25.351250396825399</v>
      </c>
      <c r="Q180" s="220">
        <v>476</v>
      </c>
      <c r="R180" s="292">
        <v>69</v>
      </c>
      <c r="S180" s="292">
        <v>290</v>
      </c>
      <c r="T180" s="222">
        <f>IF(CampList[[#This Row],[HH]]&gt;0,CampList[[#This Row],[Total]]/CampList[[#This Row],[HH]],"NA")</f>
        <v>4.2028985507246377</v>
      </c>
      <c r="U180" s="214" t="s">
        <v>464</v>
      </c>
      <c r="V180" s="214" t="s">
        <v>997</v>
      </c>
      <c r="W180" s="214" t="s">
        <v>507</v>
      </c>
      <c r="X180" s="214" t="s">
        <v>742</v>
      </c>
      <c r="Y180" s="331">
        <v>40848</v>
      </c>
      <c r="Z180" s="223" t="s">
        <v>462</v>
      </c>
      <c r="AA180" s="212" t="s">
        <v>775</v>
      </c>
      <c r="AB180" s="225">
        <v>43220</v>
      </c>
      <c r="AC180" s="226" t="s">
        <v>1691</v>
      </c>
      <c r="AD180" s="214" t="str">
        <f ca="1">IFERROR(OFFSET(DistanceToCamp[Nearest Town],MATCH(CampList[[#This Row],[CP_Pcode]],DistanceToCamp[CP_Pcode],0)-1,0,1,1),"")</f>
        <v>Waingmaw Town</v>
      </c>
      <c r="AE180" s="227">
        <f ca="1">IFERROR(OFFSET(DistanceToCamp[distance],MATCH(CampList[[#This Row],[CP_Pcode]],DistanceToCamp[CP_Pcode],0)-1,0,1,1),"")</f>
        <v>0.15089472113650237</v>
      </c>
      <c r="AF180" s="228">
        <f ca="1">IFERROR(INT(CampList[[#This Row],[Distance]]/5)+1,"")</f>
        <v>1</v>
      </c>
    </row>
    <row r="181" spans="2:32" ht="23.45" customHeight="1" x14ac:dyDescent="0.25">
      <c r="B181" s="218" t="s">
        <v>460</v>
      </c>
      <c r="C181" s="212" t="s">
        <v>378</v>
      </c>
      <c r="D181" s="212" t="s">
        <v>478</v>
      </c>
      <c r="E181" s="212" t="s">
        <v>5</v>
      </c>
      <c r="F181" s="212" t="s">
        <v>482</v>
      </c>
      <c r="G181" s="212" t="s">
        <v>151</v>
      </c>
      <c r="H181" s="212" t="s">
        <v>492</v>
      </c>
      <c r="I181" s="226" t="s">
        <v>590</v>
      </c>
      <c r="J181" s="226" t="s">
        <v>591</v>
      </c>
      <c r="K181" s="212"/>
      <c r="L181" s="212"/>
      <c r="M181" s="212" t="s">
        <v>12</v>
      </c>
      <c r="N181" s="212" t="s">
        <v>388</v>
      </c>
      <c r="O181" s="219">
        <v>97.298055000000005</v>
      </c>
      <c r="P181" s="219">
        <v>24.118618999999999</v>
      </c>
      <c r="Q181" s="233"/>
      <c r="R181" s="329">
        <v>80</v>
      </c>
      <c r="S181" s="330">
        <v>290</v>
      </c>
      <c r="T181" s="222">
        <f>IF(CampList[[#This Row],[HH]]&gt;0,CampList[[#This Row],[Total]]/CampList[[#This Row],[HH]],"NA")</f>
        <v>3.625</v>
      </c>
      <c r="U181" s="214" t="s">
        <v>464</v>
      </c>
      <c r="V181" s="214" t="s">
        <v>997</v>
      </c>
      <c r="W181" s="244" t="s">
        <v>12</v>
      </c>
      <c r="X181" s="214" t="s">
        <v>742</v>
      </c>
      <c r="Y181" s="332"/>
      <c r="Z181" s="224"/>
      <c r="AA181" s="239" t="s">
        <v>775</v>
      </c>
      <c r="AB181" s="247">
        <v>43090</v>
      </c>
      <c r="AC181" s="218" t="s">
        <v>1581</v>
      </c>
      <c r="AD181" s="214" t="str">
        <f ca="1">IFERROR(OFFSET(DistanceToCamp[Nearest Town],MATCH(CampList[[#This Row],[CP_Pcode]],DistanceToCamp[CP_Pcode],0)-1,0,1,1),"")</f>
        <v>Mansi Town</v>
      </c>
      <c r="AE181" s="227">
        <f ca="1">IFERROR(OFFSET(DistanceToCamp[distance],MATCH(CampList[[#This Row],[CP_Pcode]],DistanceToCamp[CP_Pcode],0)-1,0,1,1),"")</f>
        <v>0.51447052329458698</v>
      </c>
      <c r="AF181" s="228">
        <f ca="1">IFERROR(INT(CampList[[#This Row],[Distance]]/5)+1,"")</f>
        <v>1</v>
      </c>
    </row>
    <row r="182" spans="2:32" ht="15.75" customHeight="1" x14ac:dyDescent="0.25">
      <c r="B182" s="231" t="s">
        <v>460</v>
      </c>
      <c r="C182" s="213" t="s">
        <v>378</v>
      </c>
      <c r="D182" s="212" t="s">
        <v>478</v>
      </c>
      <c r="E182" s="212" t="s">
        <v>299</v>
      </c>
      <c r="F182" s="212" t="s">
        <v>499</v>
      </c>
      <c r="G182" s="212" t="s">
        <v>747</v>
      </c>
      <c r="H182" s="212" t="s">
        <v>748</v>
      </c>
      <c r="I182" s="213"/>
      <c r="J182" s="232"/>
      <c r="K182" s="213"/>
      <c r="L182" s="213"/>
      <c r="M182" s="213" t="s">
        <v>1070</v>
      </c>
      <c r="N182" s="213" t="s">
        <v>1071</v>
      </c>
      <c r="O182" s="251">
        <v>97.75609</v>
      </c>
      <c r="P182" s="251">
        <v>26.548506</v>
      </c>
      <c r="Q182" s="233"/>
      <c r="R182" s="292">
        <v>67</v>
      </c>
      <c r="S182" s="292">
        <v>332</v>
      </c>
      <c r="T182" s="222">
        <f>IF(CampList[[#This Row],[HH]]&gt;0,CampList[[#This Row],[Total]]/CampList[[#This Row],[HH]],"NA")</f>
        <v>4.955223880597015</v>
      </c>
      <c r="U182" s="197" t="s">
        <v>466</v>
      </c>
      <c r="V182" s="214" t="s">
        <v>997</v>
      </c>
      <c r="W182" s="197" t="s">
        <v>507</v>
      </c>
      <c r="X182" s="197" t="s">
        <v>785</v>
      </c>
      <c r="Y182" s="332">
        <v>42036</v>
      </c>
      <c r="Z182" s="233" t="s">
        <v>424</v>
      </c>
      <c r="AA182" s="213" t="s">
        <v>775</v>
      </c>
      <c r="AB182" s="225">
        <v>43220</v>
      </c>
      <c r="AC182" s="252" t="s">
        <v>1746</v>
      </c>
      <c r="AD182" s="214" t="str">
        <f ca="1">IFERROR(OFFSET(DistanceToCamp[Nearest Town],MATCH(CampList[[#This Row],[CP_Pcode]],DistanceToCamp[CP_Pcode],0)-1,0,1,1),"")</f>
        <v>Sumprabum Town</v>
      </c>
      <c r="AE182" s="227">
        <f ca="1">IFERROR(OFFSET(DistanceToCamp[distance],MATCH(CampList[[#This Row],[CP_Pcode]],DistanceToCamp[CP_Pcode],0)-1,0,1,1),"")</f>
        <v>0</v>
      </c>
      <c r="AF182" s="228">
        <f ca="1">IFERROR(INT(CampList[[#This Row],[Distance]]/5)+1,"")</f>
        <v>1</v>
      </c>
    </row>
    <row r="183" spans="2:32" ht="15.75" customHeight="1" x14ac:dyDescent="0.25">
      <c r="B183" s="218" t="s">
        <v>460</v>
      </c>
      <c r="C183" s="212" t="s">
        <v>378</v>
      </c>
      <c r="D183" s="212" t="s">
        <v>478</v>
      </c>
      <c r="E183" s="212" t="s">
        <v>5</v>
      </c>
      <c r="F183" s="212" t="s">
        <v>482</v>
      </c>
      <c r="G183" s="212" t="s">
        <v>185</v>
      </c>
      <c r="H183" s="212" t="s">
        <v>486</v>
      </c>
      <c r="I183" s="212" t="s">
        <v>602</v>
      </c>
      <c r="J183" s="212" t="s">
        <v>603</v>
      </c>
      <c r="K183" s="212"/>
      <c r="L183" s="212"/>
      <c r="M183" s="212" t="s">
        <v>12</v>
      </c>
      <c r="N183" s="212" t="s">
        <v>389</v>
      </c>
      <c r="O183" s="219">
        <v>97.348405</v>
      </c>
      <c r="P183" s="219">
        <v>24.251232000000002</v>
      </c>
      <c r="Q183" s="233"/>
      <c r="R183" s="329">
        <v>223</v>
      </c>
      <c r="S183" s="330">
        <v>1067</v>
      </c>
      <c r="T183" s="222">
        <f>IF(CampList[[#This Row],[HH]]&gt;0,CampList[[#This Row],[Total]]/CampList[[#This Row],[HH]],"NA")</f>
        <v>4.7847533632286998</v>
      </c>
      <c r="U183" s="214" t="s">
        <v>464</v>
      </c>
      <c r="V183" s="214" t="s">
        <v>997</v>
      </c>
      <c r="W183" s="244" t="s">
        <v>12</v>
      </c>
      <c r="X183" s="214" t="s">
        <v>742</v>
      </c>
      <c r="Y183" s="332"/>
      <c r="Z183" s="224"/>
      <c r="AA183" s="239" t="s">
        <v>774</v>
      </c>
      <c r="AB183" s="247">
        <v>43090</v>
      </c>
      <c r="AC183" s="218" t="s">
        <v>1582</v>
      </c>
      <c r="AD183" s="214" t="str">
        <f ca="1">IFERROR(OFFSET(DistanceToCamp[Nearest Town],MATCH(CampList[[#This Row],[CP_Pcode]],DistanceToCamp[CP_Pcode],0)-1,0,1,1),"")</f>
        <v>Momauk Town</v>
      </c>
      <c r="AE183" s="227">
        <f ca="1">IFERROR(OFFSET(DistanceToCamp[distance],MATCH(CampList[[#This Row],[CP_Pcode]],DistanceToCamp[CP_Pcode],0)-1,0,1,1),"")</f>
        <v>0.60629049139006752</v>
      </c>
      <c r="AF183" s="228">
        <f ca="1">IFERROR(INT(CampList[[#This Row],[Distance]]/5)+1,"")</f>
        <v>1</v>
      </c>
    </row>
    <row r="184" spans="2:32" ht="15.75" customHeight="1" x14ac:dyDescent="0.25">
      <c r="B184" s="231" t="s">
        <v>460</v>
      </c>
      <c r="C184" s="213" t="s">
        <v>506</v>
      </c>
      <c r="D184" s="213" t="s">
        <v>489</v>
      </c>
      <c r="E184" s="213" t="s">
        <v>230</v>
      </c>
      <c r="F184" s="213" t="s">
        <v>490</v>
      </c>
      <c r="G184" s="213" t="s">
        <v>146</v>
      </c>
      <c r="H184" s="213" t="s">
        <v>497</v>
      </c>
      <c r="I184" s="213" t="s">
        <v>669</v>
      </c>
      <c r="J184" s="232" t="s">
        <v>670</v>
      </c>
      <c r="K184" s="213" t="s">
        <v>654</v>
      </c>
      <c r="L184" s="213" t="s">
        <v>673</v>
      </c>
      <c r="M184" s="213" t="s">
        <v>368</v>
      </c>
      <c r="N184" s="213" t="s">
        <v>382</v>
      </c>
      <c r="O184" s="221">
        <v>97.947360000000003</v>
      </c>
      <c r="P184" s="221">
        <v>23.460349999999998</v>
      </c>
      <c r="Q184" s="233">
        <v>4430</v>
      </c>
      <c r="R184" s="221">
        <v>29</v>
      </c>
      <c r="S184" s="233">
        <v>138</v>
      </c>
      <c r="T184" s="222">
        <f>IF(CampList[[#This Row],[HH]]&gt;0,CampList[[#This Row],[Total]]/CampList[[#This Row],[HH]],"NA")</f>
        <v>4.7586206896551726</v>
      </c>
      <c r="U184" s="197" t="s">
        <v>464</v>
      </c>
      <c r="V184" s="214" t="s">
        <v>997</v>
      </c>
      <c r="W184" s="197" t="s">
        <v>507</v>
      </c>
      <c r="X184" s="197" t="s">
        <v>742</v>
      </c>
      <c r="Y184" s="234">
        <v>41244</v>
      </c>
      <c r="Z184" s="233" t="s">
        <v>1050</v>
      </c>
      <c r="AA184" s="213" t="s">
        <v>775</v>
      </c>
      <c r="AB184" s="566">
        <v>43220</v>
      </c>
      <c r="AC184" s="235" t="s">
        <v>1765</v>
      </c>
      <c r="AD184" s="236" t="str">
        <f ca="1">IFERROR(OFFSET(DistanceToCamp[Nearest Town],MATCH(CampList[[#This Row],[CP_Pcode]],DistanceToCamp[CP_Pcode],0)-1,0,1,1),"")</f>
        <v>Kutkai Town</v>
      </c>
      <c r="AE184" s="227">
        <f ca="1">IFERROR(OFFSET(DistanceToCamp[distance],MATCH(CampList[[#This Row],[CP_Pcode]],DistanceToCamp[CP_Pcode],0)-1,0,1,1),"")</f>
        <v>0.42212558305526549</v>
      </c>
      <c r="AF184" s="237">
        <f ca="1">IFERROR(INT(CampList[[#This Row],[Distance]]/5)+1,"")</f>
        <v>1</v>
      </c>
    </row>
    <row r="185" spans="2:32" ht="15.75" hidden="1" customHeight="1" x14ac:dyDescent="0.25">
      <c r="B185" s="218" t="s">
        <v>776</v>
      </c>
      <c r="C185" s="212" t="s">
        <v>378</v>
      </c>
      <c r="D185" s="212" t="s">
        <v>478</v>
      </c>
      <c r="E185" s="212" t="s">
        <v>5</v>
      </c>
      <c r="F185" s="212" t="s">
        <v>482</v>
      </c>
      <c r="G185" s="212" t="s">
        <v>185</v>
      </c>
      <c r="H185" s="212" t="s">
        <v>486</v>
      </c>
      <c r="I185" s="226" t="s">
        <v>744</v>
      </c>
      <c r="J185" s="226" t="s">
        <v>745</v>
      </c>
      <c r="K185" s="226" t="s">
        <v>746</v>
      </c>
      <c r="L185" s="226">
        <v>167270</v>
      </c>
      <c r="M185" s="212" t="s">
        <v>205</v>
      </c>
      <c r="N185" s="212" t="s">
        <v>390</v>
      </c>
      <c r="O185" s="219">
        <v>97.276591999999994</v>
      </c>
      <c r="P185" s="219">
        <v>24.759551999999999</v>
      </c>
      <c r="Q185" s="233"/>
      <c r="R185" s="329"/>
      <c r="S185" s="330"/>
      <c r="T185" s="222" t="str">
        <f>IF(CampList[[#This Row],[HH]]&gt;0,CampList[[#This Row],[Total]]/CampList[[#This Row],[HH]],"NA")</f>
        <v>NA</v>
      </c>
      <c r="U185" s="214" t="s">
        <v>464</v>
      </c>
      <c r="V185" s="214" t="s">
        <v>997</v>
      </c>
      <c r="W185" s="244" t="s">
        <v>12</v>
      </c>
      <c r="X185" s="214" t="s">
        <v>785</v>
      </c>
      <c r="Y185" s="332"/>
      <c r="Z185" s="224"/>
      <c r="AA185" s="239" t="s">
        <v>774</v>
      </c>
      <c r="AB185" s="225">
        <v>42927</v>
      </c>
      <c r="AC185" s="218" t="s">
        <v>1298</v>
      </c>
      <c r="AD185" s="214" t="str">
        <f ca="1">IFERROR(OFFSET(DistanceToCamp[Nearest Town],MATCH(CampList[[#This Row],[CP_Pcode]],DistanceToCamp[CP_Pcode],0)-1,0,1,1),"")</f>
        <v>Dawthponeyan  Town</v>
      </c>
      <c r="AE185" s="227">
        <f ca="1">IFERROR(OFFSET(DistanceToCamp[distance],MATCH(CampList[[#This Row],[CP_Pcode]],DistanceToCamp[CP_Pcode],0)-1,0,1,1),"")</f>
        <v>24.701686141136339</v>
      </c>
      <c r="AF185" s="228">
        <f ca="1">IFERROR(INT(CampList[[#This Row],[Distance]]/5)+1,"")</f>
        <v>5</v>
      </c>
    </row>
    <row r="186" spans="2:32" ht="15.75" hidden="1" customHeight="1" x14ac:dyDescent="0.25">
      <c r="B186" s="239" t="s">
        <v>776</v>
      </c>
      <c r="C186" s="212" t="s">
        <v>378</v>
      </c>
      <c r="D186" s="212" t="s">
        <v>478</v>
      </c>
      <c r="E186" s="212" t="s">
        <v>5</v>
      </c>
      <c r="F186" s="212" t="s">
        <v>482</v>
      </c>
      <c r="G186" s="212" t="s">
        <v>301</v>
      </c>
      <c r="H186" s="212" t="s">
        <v>493</v>
      </c>
      <c r="I186" s="212" t="s">
        <v>561</v>
      </c>
      <c r="J186" s="212" t="s">
        <v>562</v>
      </c>
      <c r="K186" s="212"/>
      <c r="L186" s="212"/>
      <c r="M186" s="212" t="s">
        <v>12</v>
      </c>
      <c r="N186" s="212" t="s">
        <v>391</v>
      </c>
      <c r="O186" s="219">
        <v>96.793177</v>
      </c>
      <c r="P186" s="219">
        <v>24.224830999999998</v>
      </c>
      <c r="Q186" s="233"/>
      <c r="R186" s="329"/>
      <c r="S186" s="330"/>
      <c r="T186" s="222" t="str">
        <f>IF(CampList[[#This Row],[HH]]&gt;0,CampList[[#This Row],[Total]]/CampList[[#This Row],[HH]],"NA")</f>
        <v>NA</v>
      </c>
      <c r="U186" s="214" t="s">
        <v>464</v>
      </c>
      <c r="V186" s="214" t="s">
        <v>997</v>
      </c>
      <c r="W186" s="246" t="s">
        <v>12</v>
      </c>
      <c r="X186" s="214" t="s">
        <v>742</v>
      </c>
      <c r="Y186" s="332"/>
      <c r="Z186" s="224"/>
      <c r="AA186" s="239" t="s">
        <v>774</v>
      </c>
      <c r="AB186" s="225">
        <v>42927</v>
      </c>
      <c r="AC186" s="218" t="s">
        <v>1295</v>
      </c>
      <c r="AD186" s="214" t="str">
        <f ca="1">IFERROR(OFFSET(DistanceToCamp[Nearest Town],MATCH(CampList[[#This Row],[CP_Pcode]],DistanceToCamp[CP_Pcode],0)-1,0,1,1),"")</f>
        <v>Shwegu Town</v>
      </c>
      <c r="AE186" s="227">
        <f ca="1">IFERROR(OFFSET(DistanceToCamp[distance],MATCH(CampList[[#This Row],[CP_Pcode]],DistanceToCamp[CP_Pcode],0)-1,0,1,1),"")</f>
        <v>2.3794331620169178</v>
      </c>
      <c r="AF186" s="228">
        <f ca="1">IFERROR(INT(CampList[[#This Row],[Distance]]/5)+1,"")</f>
        <v>1</v>
      </c>
    </row>
    <row r="187" spans="2:32" ht="15.75" customHeight="1" x14ac:dyDescent="0.25">
      <c r="B187" s="218" t="s">
        <v>460</v>
      </c>
      <c r="C187" s="212" t="s">
        <v>378</v>
      </c>
      <c r="D187" s="212" t="s">
        <v>478</v>
      </c>
      <c r="E187" s="212" t="s">
        <v>180</v>
      </c>
      <c r="F187" s="212" t="s">
        <v>479</v>
      </c>
      <c r="G187" s="212" t="s">
        <v>480</v>
      </c>
      <c r="H187" s="212" t="s">
        <v>481</v>
      </c>
      <c r="I187" s="213" t="s">
        <v>1156</v>
      </c>
      <c r="J187" s="232" t="s">
        <v>1157</v>
      </c>
      <c r="K187" s="213" t="s">
        <v>1163</v>
      </c>
      <c r="L187" s="213">
        <v>166819</v>
      </c>
      <c r="M187" s="185" t="s">
        <v>1162</v>
      </c>
      <c r="N187" s="213" t="s">
        <v>1165</v>
      </c>
      <c r="O187" s="258">
        <v>96.662092000000001</v>
      </c>
      <c r="P187" s="258">
        <v>25.920006000000001</v>
      </c>
      <c r="Q187" s="233"/>
      <c r="R187" s="292">
        <v>29</v>
      </c>
      <c r="S187" s="292">
        <v>118</v>
      </c>
      <c r="T187" s="222">
        <f>IF(CampList[[#This Row],[HH]]&gt;0,CampList[[#This Row],[Total]]/CampList[[#This Row],[HH]],"NA")</f>
        <v>4.068965517241379</v>
      </c>
      <c r="U187" s="197" t="s">
        <v>464</v>
      </c>
      <c r="V187" s="214" t="s">
        <v>997</v>
      </c>
      <c r="W187" s="197" t="s">
        <v>507</v>
      </c>
      <c r="X187" s="197" t="s">
        <v>785</v>
      </c>
      <c r="Y187" s="332">
        <v>42584</v>
      </c>
      <c r="Z187" s="233" t="s">
        <v>424</v>
      </c>
      <c r="AA187" s="213" t="s">
        <v>775</v>
      </c>
      <c r="AB187" s="225">
        <v>43220</v>
      </c>
      <c r="AC187" s="235" t="s">
        <v>1747</v>
      </c>
      <c r="AD187" s="236" t="str">
        <f ca="1">IFERROR(OFFSET(DistanceToCamp[Nearest Town],MATCH(CampList[[#This Row],[CP_Pcode]],DistanceToCamp[CP_Pcode],0)-1,0,1,1),"")</f>
        <v>Hpakant Town</v>
      </c>
      <c r="AE187" s="227">
        <f ca="1">IFERROR(OFFSET(DistanceToCamp[distance],MATCH(CampList[[#This Row],[CP_Pcode]],DistanceToCamp[CP_Pcode],0)-1,0,1,1),"")</f>
        <v>0</v>
      </c>
      <c r="AF187" s="237">
        <f ca="1">IFERROR(INT(CampList[[#This Row],[Distance]]/5)+1,"")</f>
        <v>1</v>
      </c>
    </row>
    <row r="188" spans="2:32" ht="15.75" customHeight="1" x14ac:dyDescent="0.25">
      <c r="B188" s="218" t="s">
        <v>460</v>
      </c>
      <c r="C188" s="212" t="s">
        <v>378</v>
      </c>
      <c r="D188" s="212" t="s">
        <v>478</v>
      </c>
      <c r="E188" s="212" t="s">
        <v>5</v>
      </c>
      <c r="F188" s="212" t="s">
        <v>482</v>
      </c>
      <c r="G188" s="212" t="s">
        <v>185</v>
      </c>
      <c r="H188" s="212" t="s">
        <v>486</v>
      </c>
      <c r="I188" s="212" t="s">
        <v>738</v>
      </c>
      <c r="J188" s="212" t="s">
        <v>926</v>
      </c>
      <c r="K188" s="212" t="s">
        <v>927</v>
      </c>
      <c r="L188" s="212">
        <v>167060</v>
      </c>
      <c r="M188" s="212" t="s">
        <v>474</v>
      </c>
      <c r="N188" s="212" t="s">
        <v>475</v>
      </c>
      <c r="O188" s="248">
        <v>97.343406999999999</v>
      </c>
      <c r="P188" s="219">
        <v>24.377054000000001</v>
      </c>
      <c r="Q188" s="233"/>
      <c r="R188" s="329">
        <v>3</v>
      </c>
      <c r="S188" s="330">
        <v>18</v>
      </c>
      <c r="T188" s="222">
        <f>IF(CampList[[#This Row],[HH]]&gt;0,CampList[[#This Row],[Total]]/CampList[[#This Row],[HH]],"NA")</f>
        <v>6</v>
      </c>
      <c r="U188" s="214" t="s">
        <v>464</v>
      </c>
      <c r="V188" s="214" t="s">
        <v>997</v>
      </c>
      <c r="W188" s="214" t="s">
        <v>12</v>
      </c>
      <c r="X188" s="214" t="s">
        <v>785</v>
      </c>
      <c r="Y188" s="332"/>
      <c r="Z188" s="224"/>
      <c r="AA188" s="239" t="s">
        <v>774</v>
      </c>
      <c r="AB188" s="225">
        <v>42950</v>
      </c>
      <c r="AC188" s="218" t="s">
        <v>1170</v>
      </c>
      <c r="AD188" s="214" t="str">
        <f ca="1">IFERROR(OFFSET(DistanceToCamp[Nearest Town],MATCH(CampList[[#This Row],[CP_Pcode]],DistanceToCamp[CP_Pcode],0)-1,0,1,1),"")</f>
        <v>Momauk Town</v>
      </c>
      <c r="AE188" s="227">
        <f ca="1">IFERROR(OFFSET(DistanceToCamp[distance],MATCH(CampList[[#This Row],[CP_Pcode]],DistanceToCamp[CP_Pcode],0)-1,0,1,1),"")</f>
        <v>13.446032768350749</v>
      </c>
      <c r="AF188" s="228">
        <f ca="1">IFERROR(INT(CampList[[#This Row],[Distance]]/5)+1,"")</f>
        <v>3</v>
      </c>
    </row>
    <row r="189" spans="2:32" ht="15.75" hidden="1" customHeight="1" x14ac:dyDescent="0.25">
      <c r="B189" s="218" t="s">
        <v>776</v>
      </c>
      <c r="C189" s="212" t="s">
        <v>378</v>
      </c>
      <c r="D189" s="212" t="s">
        <v>478</v>
      </c>
      <c r="E189" s="212" t="s">
        <v>180</v>
      </c>
      <c r="F189" s="212" t="s">
        <v>479</v>
      </c>
      <c r="G189" s="212" t="s">
        <v>480</v>
      </c>
      <c r="H189" s="212" t="s">
        <v>481</v>
      </c>
      <c r="I189" s="226" t="s">
        <v>543</v>
      </c>
      <c r="J189" s="226" t="s">
        <v>544</v>
      </c>
      <c r="K189" s="226" t="s">
        <v>547</v>
      </c>
      <c r="L189" s="226" t="s">
        <v>548</v>
      </c>
      <c r="M189" s="212" t="s">
        <v>467</v>
      </c>
      <c r="N189" s="212" t="s">
        <v>468</v>
      </c>
      <c r="O189" s="219">
        <v>96.315601999999998</v>
      </c>
      <c r="P189" s="219">
        <v>25.615006000000001</v>
      </c>
      <c r="Q189" s="233"/>
      <c r="R189" s="302">
        <v>0</v>
      </c>
      <c r="S189" s="303">
        <v>0</v>
      </c>
      <c r="T189" s="222" t="str">
        <f>IF(CampList[[#This Row],[HH]]&gt;0,CampList[[#This Row],[Total]]/CampList[[#This Row],[HH]],"NA")</f>
        <v>NA</v>
      </c>
      <c r="U189" s="214" t="s">
        <v>464</v>
      </c>
      <c r="V189" s="214" t="s">
        <v>997</v>
      </c>
      <c r="W189" s="214" t="s">
        <v>507</v>
      </c>
      <c r="X189" s="214"/>
      <c r="Y189" s="234"/>
      <c r="Z189" s="224"/>
      <c r="AA189" s="239"/>
      <c r="AB189" s="243"/>
      <c r="AC189" s="218" t="s">
        <v>541</v>
      </c>
      <c r="AD189" s="214" t="str">
        <f ca="1">IFERROR(OFFSET(DistanceToCamp[Nearest Town],MATCH(CampList[[#This Row],[CP_Pcode]],DistanceToCamp[CP_Pcode],0)-1,0,1,1),"")</f>
        <v/>
      </c>
      <c r="AE189" s="227" t="str">
        <f ca="1">IFERROR(OFFSET(DistanceToCamp[distance],MATCH(CampList[[#This Row],[CP_Pcode]],DistanceToCamp[CP_Pcode],0)-1,0,1,1),"")</f>
        <v/>
      </c>
      <c r="AF189" s="228" t="str">
        <f ca="1">IFERROR(INT(CampList[[#This Row],[Distance]]/5)+1,"")</f>
        <v/>
      </c>
    </row>
    <row r="190" spans="2:32" ht="15.75" hidden="1" customHeight="1" x14ac:dyDescent="0.25">
      <c r="B190" s="218" t="s">
        <v>776</v>
      </c>
      <c r="C190" s="212" t="s">
        <v>378</v>
      </c>
      <c r="D190" s="212" t="s">
        <v>478</v>
      </c>
      <c r="E190" s="212" t="s">
        <v>5</v>
      </c>
      <c r="F190" s="212" t="s">
        <v>482</v>
      </c>
      <c r="G190" s="212" t="s">
        <v>151</v>
      </c>
      <c r="H190" s="212" t="s">
        <v>492</v>
      </c>
      <c r="I190" s="226" t="s">
        <v>681</v>
      </c>
      <c r="J190" s="226" t="s">
        <v>682</v>
      </c>
      <c r="K190" s="226"/>
      <c r="L190" s="226"/>
      <c r="M190" s="212" t="s">
        <v>469</v>
      </c>
      <c r="N190" s="212" t="s">
        <v>470</v>
      </c>
      <c r="O190" s="219">
        <v>97.601243999999994</v>
      </c>
      <c r="P190" s="219">
        <v>23.867713999999999</v>
      </c>
      <c r="Q190" s="220">
        <v>755</v>
      </c>
      <c r="R190" s="302">
        <v>0</v>
      </c>
      <c r="S190" s="303">
        <v>0</v>
      </c>
      <c r="T190" s="222" t="str">
        <f>IF(CampList[[#This Row],[HH]]&gt;0,CampList[[#This Row],[Total]]/CampList[[#This Row],[HH]],"NA")</f>
        <v>NA</v>
      </c>
      <c r="U190" s="214" t="s">
        <v>466</v>
      </c>
      <c r="V190" s="214" t="s">
        <v>997</v>
      </c>
      <c r="W190" s="214" t="s">
        <v>507</v>
      </c>
      <c r="X190" s="214" t="s">
        <v>785</v>
      </c>
      <c r="Y190" s="223">
        <v>41365</v>
      </c>
      <c r="Z190" s="223" t="s">
        <v>937</v>
      </c>
      <c r="AA190" s="239" t="s">
        <v>775</v>
      </c>
      <c r="AB190" s="225">
        <v>41811</v>
      </c>
      <c r="AC190" s="218" t="s">
        <v>943</v>
      </c>
      <c r="AD190" s="214" t="str">
        <f ca="1">IFERROR(OFFSET(DistanceToCamp[Nearest Town],MATCH(CampList[[#This Row],[CP_Pcode]],DistanceToCamp[CP_Pcode],0)-1,0,1,1),"")</f>
        <v/>
      </c>
      <c r="AE190" s="227" t="str">
        <f ca="1">IFERROR(OFFSET(DistanceToCamp[distance],MATCH(CampList[[#This Row],[CP_Pcode]],DistanceToCamp[CP_Pcode],0)-1,0,1,1),"")</f>
        <v/>
      </c>
      <c r="AF190" s="228" t="str">
        <f ca="1">IFERROR(INT(CampList[[#This Row],[Distance]]/5)+1,"")</f>
        <v/>
      </c>
    </row>
    <row r="191" spans="2:32" ht="15.75" hidden="1" customHeight="1" x14ac:dyDescent="0.25">
      <c r="B191" s="218" t="s">
        <v>776</v>
      </c>
      <c r="C191" s="212" t="s">
        <v>378</v>
      </c>
      <c r="D191" s="212" t="s">
        <v>478</v>
      </c>
      <c r="E191" s="212" t="s">
        <v>5</v>
      </c>
      <c r="F191" s="212" t="s">
        <v>482</v>
      </c>
      <c r="G191" s="212" t="s">
        <v>151</v>
      </c>
      <c r="H191" s="212" t="s">
        <v>492</v>
      </c>
      <c r="I191" s="226" t="s">
        <v>566</v>
      </c>
      <c r="J191" s="226" t="s">
        <v>567</v>
      </c>
      <c r="K191" s="226"/>
      <c r="L191" s="226"/>
      <c r="M191" s="212" t="s">
        <v>471</v>
      </c>
      <c r="N191" s="212" t="s">
        <v>472</v>
      </c>
      <c r="O191" s="219">
        <v>96.808850000000007</v>
      </c>
      <c r="P191" s="219">
        <v>24.20645</v>
      </c>
      <c r="Q191" s="220">
        <v>781.8</v>
      </c>
      <c r="R191" s="302">
        <v>0</v>
      </c>
      <c r="S191" s="303">
        <v>0</v>
      </c>
      <c r="T191" s="222" t="str">
        <f>IF(CampList[[#This Row],[HH]]&gt;0,CampList[[#This Row],[Total]]/CampList[[#This Row],[HH]],"NA")</f>
        <v>NA</v>
      </c>
      <c r="U191" s="214" t="s">
        <v>466</v>
      </c>
      <c r="V191" s="214" t="s">
        <v>997</v>
      </c>
      <c r="W191" s="214" t="s">
        <v>507</v>
      </c>
      <c r="X191" s="214" t="s">
        <v>785</v>
      </c>
      <c r="Y191" s="223">
        <v>41091</v>
      </c>
      <c r="Z191" s="223"/>
      <c r="AA191" s="239" t="s">
        <v>775</v>
      </c>
      <c r="AB191" s="225">
        <v>41661</v>
      </c>
      <c r="AC191" s="218" t="s">
        <v>845</v>
      </c>
      <c r="AD191" s="214" t="str">
        <f ca="1">IFERROR(OFFSET(DistanceToCamp[Nearest Town],MATCH(CampList[[#This Row],[CP_Pcode]],DistanceToCamp[CP_Pcode],0)-1,0,1,1),"")</f>
        <v/>
      </c>
      <c r="AE191" s="227" t="str">
        <f ca="1">IFERROR(OFFSET(DistanceToCamp[distance],MATCH(CampList[[#This Row],[CP_Pcode]],DistanceToCamp[CP_Pcode],0)-1,0,1,1),"")</f>
        <v/>
      </c>
      <c r="AF191" s="228" t="str">
        <f ca="1">IFERROR(INT(CampList[[#This Row],[Distance]]/5)+1,"")</f>
        <v/>
      </c>
    </row>
    <row r="192" spans="2:32" ht="15.75" hidden="1" customHeight="1" x14ac:dyDescent="0.25">
      <c r="B192" s="218" t="s">
        <v>776</v>
      </c>
      <c r="C192" s="212" t="s">
        <v>506</v>
      </c>
      <c r="D192" s="212" t="s">
        <v>489</v>
      </c>
      <c r="E192" s="212" t="s">
        <v>230</v>
      </c>
      <c r="F192" s="212" t="s">
        <v>490</v>
      </c>
      <c r="G192" s="212" t="s">
        <v>146</v>
      </c>
      <c r="H192" s="212" t="s">
        <v>497</v>
      </c>
      <c r="I192" s="212" t="s">
        <v>725</v>
      </c>
      <c r="J192" s="212" t="s">
        <v>726</v>
      </c>
      <c r="K192" s="240" t="s">
        <v>727</v>
      </c>
      <c r="L192" s="240"/>
      <c r="M192" s="212" t="s">
        <v>365</v>
      </c>
      <c r="N192" s="212" t="s">
        <v>384</v>
      </c>
      <c r="O192" s="219">
        <v>98.213958000000005</v>
      </c>
      <c r="P192" s="219">
        <v>23.391741</v>
      </c>
      <c r="Q192" s="220">
        <v>0</v>
      </c>
      <c r="R192" s="302">
        <v>0</v>
      </c>
      <c r="S192" s="303">
        <v>0</v>
      </c>
      <c r="T192" s="222" t="str">
        <f>IF(CampList[[#This Row],[HH]]&gt;0,CampList[[#This Row],[Total]]/CampList[[#This Row],[HH]],"NA")</f>
        <v>NA</v>
      </c>
      <c r="U192" s="214" t="s">
        <v>464</v>
      </c>
      <c r="V192" s="214" t="s">
        <v>997</v>
      </c>
      <c r="W192" s="214" t="s">
        <v>507</v>
      </c>
      <c r="X192" s="214" t="s">
        <v>785</v>
      </c>
      <c r="Y192" s="223">
        <v>40787</v>
      </c>
      <c r="Z192" s="223"/>
      <c r="AA192" s="239" t="s">
        <v>775</v>
      </c>
      <c r="AB192" s="225">
        <v>41701</v>
      </c>
      <c r="AC192" s="218" t="s">
        <v>873</v>
      </c>
      <c r="AD192" s="214" t="str">
        <f ca="1">IFERROR(OFFSET(DistanceToCamp[Nearest Town],MATCH(CampList[[#This Row],[CP_Pcode]],DistanceToCamp[CP_Pcode],0)-1,0,1,1),"")</f>
        <v/>
      </c>
      <c r="AE192" s="227" t="str">
        <f ca="1">IFERROR(OFFSET(DistanceToCamp[distance],MATCH(CampList[[#This Row],[CP_Pcode]],DistanceToCamp[CP_Pcode],0)-1,0,1,1),"")</f>
        <v/>
      </c>
      <c r="AF192" s="228" t="str">
        <f ca="1">IFERROR(INT(CampList[[#This Row],[Distance]]/5)+1,"")</f>
        <v/>
      </c>
    </row>
    <row r="193" spans="2:32" ht="15.75" customHeight="1" x14ac:dyDescent="0.25">
      <c r="B193" s="289" t="s">
        <v>460</v>
      </c>
      <c r="C193" s="213" t="s">
        <v>378</v>
      </c>
      <c r="D193" s="213" t="s">
        <v>478</v>
      </c>
      <c r="E193" s="213" t="s">
        <v>237</v>
      </c>
      <c r="F193" s="213" t="s">
        <v>484</v>
      </c>
      <c r="G193" s="213" t="s">
        <v>309</v>
      </c>
      <c r="H193" s="213" t="s">
        <v>485</v>
      </c>
      <c r="I193" s="212" t="s">
        <v>695</v>
      </c>
      <c r="J193" s="212" t="s">
        <v>696</v>
      </c>
      <c r="K193" s="229" t="s">
        <v>1123</v>
      </c>
      <c r="L193" s="229">
        <v>165792</v>
      </c>
      <c r="M193" s="186" t="s">
        <v>1273</v>
      </c>
      <c r="N193" s="213" t="s">
        <v>1271</v>
      </c>
      <c r="O193" s="221"/>
      <c r="P193" s="221"/>
      <c r="Q193" s="233"/>
      <c r="R193" s="292">
        <v>413</v>
      </c>
      <c r="S193" s="292">
        <v>1913</v>
      </c>
      <c r="T193" s="222">
        <f>IF(CampList[[#This Row],[HH]]&gt;0,CampList[[#This Row],[Total]]/CampList[[#This Row],[HH]],"NA")</f>
        <v>4.6319612590799029</v>
      </c>
      <c r="U193" s="197" t="s">
        <v>466</v>
      </c>
      <c r="V193" s="214" t="s">
        <v>997</v>
      </c>
      <c r="W193" s="197" t="s">
        <v>507</v>
      </c>
      <c r="X193" s="197" t="s">
        <v>785</v>
      </c>
      <c r="Y193" s="332">
        <v>42752</v>
      </c>
      <c r="Z193" s="233" t="s">
        <v>424</v>
      </c>
      <c r="AA193" s="213" t="s">
        <v>775</v>
      </c>
      <c r="AB193" s="225">
        <v>43220</v>
      </c>
      <c r="AC193" s="235" t="s">
        <v>1748</v>
      </c>
      <c r="AD193" s="236" t="str">
        <f ca="1">IFERROR(OFFSET(DistanceToCamp[Nearest Town],MATCH(CampList[[#This Row],[CP_Pcode]],DistanceToCamp[CP_Pcode],0)-1,0,1,1),"")</f>
        <v/>
      </c>
      <c r="AE193" s="227" t="str">
        <f ca="1">IFERROR(OFFSET(DistanceToCamp[distance],MATCH(CampList[[#This Row],[CP_Pcode]],DistanceToCamp[CP_Pcode],0)-1,0,1,1),"")</f>
        <v/>
      </c>
      <c r="AF193" s="237" t="str">
        <f ca="1">IFERROR(INT(CampList[[#This Row],[Distance]]/5)+1,"")</f>
        <v/>
      </c>
    </row>
    <row r="194" spans="2:32" ht="15.75" customHeight="1" x14ac:dyDescent="0.25">
      <c r="B194" s="218" t="s">
        <v>460</v>
      </c>
      <c r="C194" s="212" t="s">
        <v>506</v>
      </c>
      <c r="D194" s="212" t="s">
        <v>489</v>
      </c>
      <c r="E194" s="212" t="s">
        <v>230</v>
      </c>
      <c r="F194" s="212" t="s">
        <v>490</v>
      </c>
      <c r="G194" s="212" t="s">
        <v>230</v>
      </c>
      <c r="H194" s="212" t="s">
        <v>491</v>
      </c>
      <c r="I194" s="212" t="s">
        <v>716</v>
      </c>
      <c r="J194" s="212" t="s">
        <v>715</v>
      </c>
      <c r="K194" s="212" t="s">
        <v>716</v>
      </c>
      <c r="L194" s="232">
        <v>208156</v>
      </c>
      <c r="M194" s="212" t="s">
        <v>231</v>
      </c>
      <c r="N194" s="212" t="s">
        <v>386</v>
      </c>
      <c r="O194" s="219">
        <v>98.115809999999996</v>
      </c>
      <c r="P194" s="219">
        <v>24.08738</v>
      </c>
      <c r="Q194" s="233"/>
      <c r="R194" s="329">
        <v>32</v>
      </c>
      <c r="S194" s="330">
        <v>187</v>
      </c>
      <c r="T194" s="222">
        <f>IF(CampList[[#This Row],[HH]]&gt;0,CampList[[#This Row],[Total]]/CampList[[#This Row],[HH]],"NA")</f>
        <v>5.84375</v>
      </c>
      <c r="U194" s="214" t="s">
        <v>464</v>
      </c>
      <c r="V194" s="214" t="s">
        <v>997</v>
      </c>
      <c r="W194" s="214" t="s">
        <v>12</v>
      </c>
      <c r="X194" s="214" t="s">
        <v>785</v>
      </c>
      <c r="Y194" s="234"/>
      <c r="Z194" s="224"/>
      <c r="AA194" s="239" t="s">
        <v>522</v>
      </c>
      <c r="AB194" s="225">
        <v>42888</v>
      </c>
      <c r="AC194" s="218" t="s">
        <v>1251</v>
      </c>
      <c r="AD194" s="214" t="str">
        <f ca="1">IFERROR(OFFSET(DistanceToCamp[Nearest Town],MATCH(CampList[[#This Row],[CP_Pcode]],DistanceToCamp[CP_Pcode],0)-1,0,1,1),"")</f>
        <v>Pang Hseng (Kyu Koke) Town</v>
      </c>
      <c r="AE194" s="227">
        <f ca="1">IFERROR(OFFSET(DistanceToCamp[distance],MATCH(CampList[[#This Row],[CP_Pcode]],DistanceToCamp[CP_Pcode],0)-1,0,1,1),"")</f>
        <v>5.5919136174199959</v>
      </c>
      <c r="AF194" s="228">
        <f ca="1">IFERROR(INT(CampList[[#This Row],[Distance]]/5)+1,"")</f>
        <v>2</v>
      </c>
    </row>
    <row r="195" spans="2:32" ht="15.75" hidden="1" customHeight="1" x14ac:dyDescent="0.25">
      <c r="B195" s="218" t="s">
        <v>776</v>
      </c>
      <c r="C195" s="212" t="s">
        <v>378</v>
      </c>
      <c r="D195" s="212" t="s">
        <v>478</v>
      </c>
      <c r="E195" s="212" t="s">
        <v>5</v>
      </c>
      <c r="F195" s="212" t="s">
        <v>482</v>
      </c>
      <c r="G195" s="212" t="s">
        <v>151</v>
      </c>
      <c r="H195" s="212" t="s">
        <v>492</v>
      </c>
      <c r="I195" s="226" t="s">
        <v>568</v>
      </c>
      <c r="J195" s="226" t="s">
        <v>569</v>
      </c>
      <c r="K195" s="226"/>
      <c r="L195" s="226"/>
      <c r="M195" s="212" t="s">
        <v>792</v>
      </c>
      <c r="N195" s="212" t="s">
        <v>473</v>
      </c>
      <c r="O195" s="219">
        <v>97.132339999999999</v>
      </c>
      <c r="P195" s="219">
        <v>23.75817</v>
      </c>
      <c r="Q195" s="220">
        <v>781.8</v>
      </c>
      <c r="R195" s="302">
        <v>0</v>
      </c>
      <c r="S195" s="303">
        <v>0</v>
      </c>
      <c r="T195" s="222" t="str">
        <f>IF(CampList[[#This Row],[HH]]&gt;0,CampList[[#This Row],[Total]]/CampList[[#This Row],[HH]],"NA")</f>
        <v>NA</v>
      </c>
      <c r="U195" s="214" t="s">
        <v>466</v>
      </c>
      <c r="V195" s="214" t="s">
        <v>997</v>
      </c>
      <c r="W195" s="214" t="s">
        <v>507</v>
      </c>
      <c r="X195" s="214" t="s">
        <v>785</v>
      </c>
      <c r="Y195" s="223">
        <v>41091</v>
      </c>
      <c r="Z195" s="223"/>
      <c r="AA195" s="239" t="s">
        <v>775</v>
      </c>
      <c r="AB195" s="243"/>
      <c r="AC195" s="218" t="s">
        <v>845</v>
      </c>
      <c r="AD195" s="214" t="str">
        <f ca="1">IFERROR(OFFSET(DistanceToCamp[Nearest Town],MATCH(CampList[[#This Row],[CP_Pcode]],DistanceToCamp[CP_Pcode],0)-1,0,1,1),"")</f>
        <v/>
      </c>
      <c r="AE195" s="227" t="str">
        <f ca="1">IFERROR(OFFSET(DistanceToCamp[distance],MATCH(CampList[[#This Row],[CP_Pcode]],DistanceToCamp[CP_Pcode],0)-1,0,1,1),"")</f>
        <v/>
      </c>
      <c r="AF195" s="228" t="str">
        <f ca="1">IFERROR(INT(CampList[[#This Row],[Distance]]/5)+1,"")</f>
        <v/>
      </c>
    </row>
    <row r="196" spans="2:32" ht="15.75" customHeight="1" x14ac:dyDescent="0.25">
      <c r="B196" s="239" t="s">
        <v>460</v>
      </c>
      <c r="C196" s="212" t="s">
        <v>378</v>
      </c>
      <c r="D196" s="212" t="s">
        <v>478</v>
      </c>
      <c r="E196" s="212" t="s">
        <v>299</v>
      </c>
      <c r="F196" s="212" t="s">
        <v>499</v>
      </c>
      <c r="G196" s="212" t="s">
        <v>747</v>
      </c>
      <c r="H196" s="212" t="s">
        <v>748</v>
      </c>
      <c r="I196" s="212" t="s">
        <v>749</v>
      </c>
      <c r="J196" s="212" t="s">
        <v>750</v>
      </c>
      <c r="K196" s="212"/>
      <c r="L196" s="212"/>
      <c r="M196" s="212" t="s">
        <v>747</v>
      </c>
      <c r="N196" s="212" t="s">
        <v>751</v>
      </c>
      <c r="O196" s="219">
        <v>97.568836000000005</v>
      </c>
      <c r="P196" s="219">
        <v>26.541930000000001</v>
      </c>
      <c r="Q196" s="220">
        <v>1025</v>
      </c>
      <c r="R196" s="220">
        <v>5</v>
      </c>
      <c r="S196" s="233">
        <v>32</v>
      </c>
      <c r="T196" s="222">
        <f>IF(CampList[[#This Row],[HH]]&gt;0,CampList[[#This Row],[Total]]/CampList[[#This Row],[HH]],"NA")</f>
        <v>6.4</v>
      </c>
      <c r="U196" s="214" t="s">
        <v>464</v>
      </c>
      <c r="V196" s="214" t="s">
        <v>997</v>
      </c>
      <c r="W196" s="214" t="s">
        <v>1399</v>
      </c>
      <c r="X196" s="214" t="s">
        <v>785</v>
      </c>
      <c r="Y196" s="331"/>
      <c r="Z196" s="223"/>
      <c r="AA196" s="239" t="s">
        <v>774</v>
      </c>
      <c r="AB196" s="225">
        <v>42927</v>
      </c>
      <c r="AC196" s="226"/>
      <c r="AD196" s="214" t="str">
        <f ca="1">IFERROR(OFFSET(DistanceToCamp[Nearest Town],MATCH(CampList[[#This Row],[CP_Pcode]],DistanceToCamp[CP_Pcode],0)-1,0,1,1),"")</f>
        <v>Sumprabum Town</v>
      </c>
      <c r="AE196" s="227">
        <f ca="1">IFERROR(OFFSET(DistanceToCamp[distance],MATCH(CampList[[#This Row],[CP_Pcode]],DistanceToCamp[CP_Pcode],0)-1,0,1,1),"")</f>
        <v>0.23004407510846425</v>
      </c>
      <c r="AF196" s="228">
        <f ca="1">IFERROR(INT(CampList[[#This Row],[Distance]]/5)+1,"")</f>
        <v>1</v>
      </c>
    </row>
    <row r="197" spans="2:32" ht="15.75" customHeight="1" x14ac:dyDescent="0.25">
      <c r="B197" s="239" t="s">
        <v>460</v>
      </c>
      <c r="C197" s="212" t="s">
        <v>378</v>
      </c>
      <c r="D197" s="212" t="s">
        <v>478</v>
      </c>
      <c r="E197" s="212" t="s">
        <v>237</v>
      </c>
      <c r="F197" s="212" t="s">
        <v>484</v>
      </c>
      <c r="G197" s="212" t="s">
        <v>309</v>
      </c>
      <c r="H197" s="212" t="s">
        <v>485</v>
      </c>
      <c r="I197" s="212" t="s">
        <v>667</v>
      </c>
      <c r="J197" s="212" t="s">
        <v>668</v>
      </c>
      <c r="K197" s="212"/>
      <c r="L197" s="230"/>
      <c r="M197" s="212" t="s">
        <v>752</v>
      </c>
      <c r="N197" s="212" t="s">
        <v>753</v>
      </c>
      <c r="O197" s="219">
        <v>97.541793999999996</v>
      </c>
      <c r="P197" s="219">
        <v>24.752471</v>
      </c>
      <c r="Q197" s="233"/>
      <c r="R197" s="221"/>
      <c r="S197" s="233">
        <v>872</v>
      </c>
      <c r="T197" s="222" t="str">
        <f>IF(CampList[[#This Row],[HH]]&gt;0,CampList[[#This Row],[Total]]/CampList[[#This Row],[HH]],"NA")</f>
        <v>NA</v>
      </c>
      <c r="U197" s="214" t="s">
        <v>466</v>
      </c>
      <c r="V197" s="214" t="s">
        <v>997</v>
      </c>
      <c r="W197" s="214" t="s">
        <v>851</v>
      </c>
      <c r="X197" s="214" t="s">
        <v>742</v>
      </c>
      <c r="Y197" s="332"/>
      <c r="Z197" s="224"/>
      <c r="AA197" s="239" t="s">
        <v>522</v>
      </c>
      <c r="AB197" s="225">
        <v>42736</v>
      </c>
      <c r="AC197" s="226" t="s">
        <v>953</v>
      </c>
      <c r="AD197" s="214" t="str">
        <f ca="1">IFERROR(OFFSET(DistanceToCamp[Nearest Town],MATCH(CampList[[#This Row],[CP_Pcode]],DistanceToCamp[CP_Pcode],0)-1,0,1,1),"")</f>
        <v>Laiza town</v>
      </c>
      <c r="AE197" s="227">
        <f ca="1">IFERROR(OFFSET(DistanceToCamp[distance],MATCH(CampList[[#This Row],[CP_Pcode]],DistanceToCamp[CP_Pcode],0)-1,0,1,1),"")</f>
        <v>2.3307568207764655</v>
      </c>
      <c r="AF197" s="228">
        <f ca="1">IFERROR(INT(CampList[[#This Row],[Distance]]/5)+1,"")</f>
        <v>1</v>
      </c>
    </row>
    <row r="198" spans="2:32" ht="15.75" hidden="1" customHeight="1" x14ac:dyDescent="0.25">
      <c r="B198" s="218" t="s">
        <v>776</v>
      </c>
      <c r="C198" s="212" t="s">
        <v>378</v>
      </c>
      <c r="D198" s="212" t="s">
        <v>478</v>
      </c>
      <c r="E198" s="212" t="s">
        <v>5</v>
      </c>
      <c r="F198" s="212" t="s">
        <v>482</v>
      </c>
      <c r="G198" s="212" t="s">
        <v>151</v>
      </c>
      <c r="H198" s="212" t="s">
        <v>492</v>
      </c>
      <c r="I198" s="226" t="s">
        <v>568</v>
      </c>
      <c r="J198" s="226" t="s">
        <v>569</v>
      </c>
      <c r="K198" s="212"/>
      <c r="L198" s="230"/>
      <c r="M198" s="212" t="s">
        <v>793</v>
      </c>
      <c r="N198" s="212" t="s">
        <v>794</v>
      </c>
      <c r="O198" s="219"/>
      <c r="P198" s="219"/>
      <c r="Q198" s="233"/>
      <c r="R198" s="302">
        <v>0</v>
      </c>
      <c r="S198" s="303">
        <v>0</v>
      </c>
      <c r="T198" s="222" t="str">
        <f>IF(CampList[[#This Row],[HH]]&gt;0,CampList[[#This Row],[Total]]/CampList[[#This Row],[HH]],"NA")</f>
        <v>NA</v>
      </c>
      <c r="U198" s="214" t="s">
        <v>466</v>
      </c>
      <c r="V198" s="214" t="s">
        <v>997</v>
      </c>
      <c r="W198" s="214" t="s">
        <v>507</v>
      </c>
      <c r="X198" s="214"/>
      <c r="Y198" s="234"/>
      <c r="Z198" s="224"/>
      <c r="AA198" s="239" t="s">
        <v>775</v>
      </c>
      <c r="AB198" s="243"/>
      <c r="AC198" s="218" t="s">
        <v>845</v>
      </c>
      <c r="AD198" s="214" t="str">
        <f ca="1">IFERROR(OFFSET(DistanceToCamp[Nearest Town],MATCH(CampList[[#This Row],[CP_Pcode]],DistanceToCamp[CP_Pcode],0)-1,0,1,1),"")</f>
        <v/>
      </c>
      <c r="AE198" s="227" t="str">
        <f ca="1">IFERROR(OFFSET(DistanceToCamp[distance],MATCH(CampList[[#This Row],[CP_Pcode]],DistanceToCamp[CP_Pcode],0)-1,0,1,1),"")</f>
        <v/>
      </c>
      <c r="AF198" s="228" t="str">
        <f ca="1">IFERROR(INT(CampList[[#This Row],[Distance]]/5)+1,"")</f>
        <v/>
      </c>
    </row>
    <row r="199" spans="2:32" ht="15.75" customHeight="1" x14ac:dyDescent="0.25">
      <c r="B199" s="231" t="s">
        <v>460</v>
      </c>
      <c r="C199" s="213" t="s">
        <v>378</v>
      </c>
      <c r="D199" s="213" t="s">
        <v>478</v>
      </c>
      <c r="E199" s="213" t="s">
        <v>237</v>
      </c>
      <c r="F199" s="213" t="s">
        <v>484</v>
      </c>
      <c r="G199" s="213" t="s">
        <v>27</v>
      </c>
      <c r="H199" s="213" t="s">
        <v>487</v>
      </c>
      <c r="I199" s="213" t="s">
        <v>730</v>
      </c>
      <c r="J199" s="232" t="s">
        <v>729</v>
      </c>
      <c r="K199" s="213" t="s">
        <v>877</v>
      </c>
      <c r="L199" s="213"/>
      <c r="M199" s="213" t="s">
        <v>877</v>
      </c>
      <c r="N199" s="213" t="s">
        <v>878</v>
      </c>
      <c r="O199" s="221">
        <v>98.356260000000006</v>
      </c>
      <c r="P199" s="221">
        <v>25.645959999999999</v>
      </c>
      <c r="Q199" s="233">
        <v>1945</v>
      </c>
      <c r="R199" s="292">
        <v>30</v>
      </c>
      <c r="S199" s="292">
        <v>172</v>
      </c>
      <c r="T199" s="222">
        <f>IF(CampList[[#This Row],[HH]]&gt;0,CampList[[#This Row],[Total]]/CampList[[#This Row],[HH]],"NA")</f>
        <v>5.7333333333333334</v>
      </c>
      <c r="U199" s="197" t="s">
        <v>464</v>
      </c>
      <c r="V199" s="214" t="s">
        <v>997</v>
      </c>
      <c r="W199" s="197" t="s">
        <v>507</v>
      </c>
      <c r="X199" s="197" t="s">
        <v>742</v>
      </c>
      <c r="Y199" s="332">
        <v>41091</v>
      </c>
      <c r="Z199" s="233" t="s">
        <v>938</v>
      </c>
      <c r="AA199" s="213" t="s">
        <v>775</v>
      </c>
      <c r="AB199" s="731">
        <v>43220</v>
      </c>
      <c r="AC199" s="235" t="s">
        <v>1797</v>
      </c>
      <c r="AD199" s="236" t="str">
        <f ca="1">IFERROR(OFFSET(DistanceToCamp[Nearest Town],MATCH(CampList[[#This Row],[CP_Pcode]],DistanceToCamp[CP_Pcode],0)-1,0,1,1),"")</f>
        <v>Naypyitaw Town</v>
      </c>
      <c r="AE199" s="227">
        <f ca="1">IFERROR(OFFSET(DistanceToCamp[distance],MATCH(CampList[[#This Row],[CP_Pcode]],DistanceToCamp[CP_Pcode],0)-1,0,1,1),"")</f>
        <v>0</v>
      </c>
      <c r="AF199" s="237">
        <f ca="1">IFERROR(INT(CampList[[#This Row],[Distance]]/5)+1,"")</f>
        <v>1</v>
      </c>
    </row>
    <row r="200" spans="2:32" ht="15.75" hidden="1" customHeight="1" x14ac:dyDescent="0.25">
      <c r="B200" s="218" t="s">
        <v>776</v>
      </c>
      <c r="C200" s="212" t="s">
        <v>378</v>
      </c>
      <c r="D200" s="212" t="s">
        <v>478</v>
      </c>
      <c r="E200" s="212" t="s">
        <v>5</v>
      </c>
      <c r="F200" s="212" t="s">
        <v>482</v>
      </c>
      <c r="G200" s="212" t="s">
        <v>5</v>
      </c>
      <c r="H200" s="212" t="s">
        <v>483</v>
      </c>
      <c r="I200" s="226"/>
      <c r="J200" s="226"/>
      <c r="K200" s="226"/>
      <c r="L200" s="226"/>
      <c r="M200" s="212" t="s">
        <v>796</v>
      </c>
      <c r="N200" s="212" t="s">
        <v>784</v>
      </c>
      <c r="O200" s="219"/>
      <c r="P200" s="219"/>
      <c r="Q200" s="220"/>
      <c r="R200" s="302">
        <v>0</v>
      </c>
      <c r="S200" s="303">
        <v>0</v>
      </c>
      <c r="T200" s="222" t="str">
        <f>IF(CampList[[#This Row],[HH]]&gt;0,CampList[[#This Row],[Total]]/CampList[[#This Row],[HH]],"NA")</f>
        <v>NA</v>
      </c>
      <c r="U200" s="214" t="s">
        <v>464</v>
      </c>
      <c r="V200" s="214" t="s">
        <v>997</v>
      </c>
      <c r="W200" s="214" t="s">
        <v>507</v>
      </c>
      <c r="X200" s="214" t="s">
        <v>742</v>
      </c>
      <c r="Y200" s="223"/>
      <c r="Z200" s="223"/>
      <c r="AA200" s="239" t="s">
        <v>775</v>
      </c>
      <c r="AB200" s="225">
        <v>41701</v>
      </c>
      <c r="AC200" s="218" t="s">
        <v>875</v>
      </c>
      <c r="AD200" s="214" t="str">
        <f ca="1">IFERROR(OFFSET(DistanceToCamp[Nearest Town],MATCH(CampList[[#This Row],[CP_Pcode]],DistanceToCamp[CP_Pcode],0)-1,0,1,1),"")</f>
        <v/>
      </c>
      <c r="AE200" s="227" t="str">
        <f ca="1">IFERROR(OFFSET(DistanceToCamp[distance],MATCH(CampList[[#This Row],[CP_Pcode]],DistanceToCamp[CP_Pcode],0)-1,0,1,1),"")</f>
        <v/>
      </c>
      <c r="AF200" s="228" t="str">
        <f ca="1">IFERROR(INT(CampList[[#This Row],[Distance]]/5)+1,"")</f>
        <v/>
      </c>
    </row>
    <row r="201" spans="2:32" ht="15.75" hidden="1" customHeight="1" x14ac:dyDescent="0.25">
      <c r="B201" s="218" t="s">
        <v>776</v>
      </c>
      <c r="C201" s="212" t="s">
        <v>378</v>
      </c>
      <c r="D201" s="212" t="s">
        <v>478</v>
      </c>
      <c r="E201" s="212" t="s">
        <v>5</v>
      </c>
      <c r="F201" s="212" t="s">
        <v>482</v>
      </c>
      <c r="G201" s="212" t="s">
        <v>151</v>
      </c>
      <c r="H201" s="212" t="s">
        <v>492</v>
      </c>
      <c r="I201" s="226" t="s">
        <v>799</v>
      </c>
      <c r="J201" s="226" t="s">
        <v>800</v>
      </c>
      <c r="K201" s="226" t="s">
        <v>798</v>
      </c>
      <c r="L201" s="226">
        <v>167391</v>
      </c>
      <c r="M201" s="212" t="s">
        <v>803</v>
      </c>
      <c r="N201" s="212" t="s">
        <v>797</v>
      </c>
      <c r="O201" s="219">
        <v>97.710989999999995</v>
      </c>
      <c r="P201" s="249">
        <v>24.181640000000002</v>
      </c>
      <c r="Q201" s="233"/>
      <c r="R201" s="302">
        <v>0</v>
      </c>
      <c r="S201" s="303">
        <v>0</v>
      </c>
      <c r="T201" s="222" t="str">
        <f>IF(CampList[[#This Row],[HH]]&gt;0,CampList[[#This Row],[Total]]/CampList[[#This Row],[HH]],"NA")</f>
        <v>NA</v>
      </c>
      <c r="U201" s="214" t="s">
        <v>464</v>
      </c>
      <c r="V201" s="214" t="s">
        <v>997</v>
      </c>
      <c r="W201" s="214" t="s">
        <v>507</v>
      </c>
      <c r="X201" s="214"/>
      <c r="Y201" s="234"/>
      <c r="Z201" s="224"/>
      <c r="AA201" s="239" t="s">
        <v>775</v>
      </c>
      <c r="AB201" s="225">
        <v>41701</v>
      </c>
      <c r="AC201" s="218" t="s">
        <v>870</v>
      </c>
      <c r="AD201" s="214" t="str">
        <f ca="1">IFERROR(OFFSET(DistanceToCamp[Nearest Town],MATCH(CampList[[#This Row],[CP_Pcode]],DistanceToCamp[CP_Pcode],0)-1,0,1,1),"")</f>
        <v/>
      </c>
      <c r="AE201" s="227" t="str">
        <f ca="1">IFERROR(OFFSET(DistanceToCamp[distance],MATCH(CampList[[#This Row],[CP_Pcode]],DistanceToCamp[CP_Pcode],0)-1,0,1,1),"")</f>
        <v/>
      </c>
      <c r="AF201" s="228" t="str">
        <f ca="1">IFERROR(INT(CampList[[#This Row],[Distance]]/5)+1,"")</f>
        <v/>
      </c>
    </row>
    <row r="202" spans="2:32" ht="15.75" hidden="1" customHeight="1" x14ac:dyDescent="0.25">
      <c r="B202" s="218" t="s">
        <v>776</v>
      </c>
      <c r="C202" s="212" t="s">
        <v>378</v>
      </c>
      <c r="D202" s="212" t="s">
        <v>478</v>
      </c>
      <c r="E202" s="212" t="s">
        <v>5</v>
      </c>
      <c r="F202" s="212" t="s">
        <v>482</v>
      </c>
      <c r="G202" s="212" t="s">
        <v>151</v>
      </c>
      <c r="H202" s="212" t="s">
        <v>492</v>
      </c>
      <c r="I202" s="226" t="s">
        <v>799</v>
      </c>
      <c r="J202" s="226" t="s">
        <v>800</v>
      </c>
      <c r="K202" s="226" t="s">
        <v>798</v>
      </c>
      <c r="L202" s="226">
        <v>167391</v>
      </c>
      <c r="M202" s="212" t="s">
        <v>802</v>
      </c>
      <c r="N202" s="212" t="s">
        <v>801</v>
      </c>
      <c r="O202" s="219">
        <v>97.710989999999995</v>
      </c>
      <c r="P202" s="249">
        <v>24.181640000000002</v>
      </c>
      <c r="Q202" s="233"/>
      <c r="R202" s="302">
        <v>0</v>
      </c>
      <c r="S202" s="303">
        <v>0</v>
      </c>
      <c r="T202" s="222" t="str">
        <f>IF(CampList[[#This Row],[HH]]&gt;0,CampList[[#This Row],[Total]]/CampList[[#This Row],[HH]],"NA")</f>
        <v>NA</v>
      </c>
      <c r="U202" s="214" t="s">
        <v>464</v>
      </c>
      <c r="V202" s="214" t="s">
        <v>997</v>
      </c>
      <c r="W202" s="214" t="s">
        <v>507</v>
      </c>
      <c r="X202" s="214"/>
      <c r="Y202" s="234"/>
      <c r="Z202" s="224"/>
      <c r="AA202" s="239" t="s">
        <v>775</v>
      </c>
      <c r="AB202" s="225">
        <v>41701</v>
      </c>
      <c r="AC202" s="218" t="s">
        <v>870</v>
      </c>
      <c r="AD202" s="214" t="str">
        <f ca="1">IFERROR(OFFSET(DistanceToCamp[Nearest Town],MATCH(CampList[[#This Row],[CP_Pcode]],DistanceToCamp[CP_Pcode],0)-1,0,1,1),"")</f>
        <v/>
      </c>
      <c r="AE202" s="227" t="str">
        <f ca="1">IFERROR(OFFSET(DistanceToCamp[distance],MATCH(CampList[[#This Row],[CP_Pcode]],DistanceToCamp[CP_Pcode],0)-1,0,1,1),"")</f>
        <v/>
      </c>
      <c r="AF202" s="228" t="str">
        <f ca="1">IFERROR(INT(CampList[[#This Row],[Distance]]/5)+1,"")</f>
        <v/>
      </c>
    </row>
    <row r="203" spans="2:32" ht="15.75" hidden="1" customHeight="1" x14ac:dyDescent="0.25">
      <c r="B203" s="218" t="s">
        <v>776</v>
      </c>
      <c r="C203" s="212" t="s">
        <v>378</v>
      </c>
      <c r="D203" s="212" t="s">
        <v>478</v>
      </c>
      <c r="E203" s="212" t="s">
        <v>5</v>
      </c>
      <c r="F203" s="212" t="s">
        <v>482</v>
      </c>
      <c r="G203" s="212" t="s">
        <v>151</v>
      </c>
      <c r="H203" s="212" t="s">
        <v>492</v>
      </c>
      <c r="I203" s="226"/>
      <c r="J203" s="226"/>
      <c r="K203" s="226"/>
      <c r="L203" s="226"/>
      <c r="M203" s="212" t="s">
        <v>805</v>
      </c>
      <c r="N203" s="212" t="s">
        <v>806</v>
      </c>
      <c r="O203" s="219"/>
      <c r="P203" s="219"/>
      <c r="Q203" s="233"/>
      <c r="R203" s="302">
        <v>0</v>
      </c>
      <c r="S203" s="303">
        <v>0</v>
      </c>
      <c r="T203" s="222" t="str">
        <f>IF(CampList[[#This Row],[HH]]&gt;0,CampList[[#This Row],[Total]]/CampList[[#This Row],[HH]],"NA")</f>
        <v>NA</v>
      </c>
      <c r="U203" s="214" t="s">
        <v>464</v>
      </c>
      <c r="V203" s="214" t="s">
        <v>997</v>
      </c>
      <c r="W203" s="214" t="s">
        <v>507</v>
      </c>
      <c r="X203" s="214"/>
      <c r="Y203" s="234"/>
      <c r="Z203" s="224"/>
      <c r="AA203" s="239" t="s">
        <v>775</v>
      </c>
      <c r="AB203" s="225">
        <v>41701</v>
      </c>
      <c r="AC203" s="218" t="s">
        <v>869</v>
      </c>
      <c r="AD203" s="214" t="str">
        <f ca="1">IFERROR(OFFSET(DistanceToCamp[Nearest Town],MATCH(CampList[[#This Row],[CP_Pcode]],DistanceToCamp[CP_Pcode],0)-1,0,1,1),"")</f>
        <v/>
      </c>
      <c r="AE203" s="227" t="str">
        <f ca="1">IFERROR(OFFSET(DistanceToCamp[distance],MATCH(CampList[[#This Row],[CP_Pcode]],DistanceToCamp[CP_Pcode],0)-1,0,1,1),"")</f>
        <v/>
      </c>
      <c r="AF203" s="228" t="str">
        <f ca="1">IFERROR(INT(CampList[[#This Row],[Distance]]/5)+1,"")</f>
        <v/>
      </c>
    </row>
    <row r="204" spans="2:32" ht="15.75" hidden="1" customHeight="1" x14ac:dyDescent="0.25">
      <c r="B204" s="218" t="s">
        <v>776</v>
      </c>
      <c r="C204" s="212" t="s">
        <v>378</v>
      </c>
      <c r="D204" s="212" t="s">
        <v>478</v>
      </c>
      <c r="E204" s="212" t="s">
        <v>5</v>
      </c>
      <c r="F204" s="212" t="s">
        <v>482</v>
      </c>
      <c r="G204" s="212" t="s">
        <v>151</v>
      </c>
      <c r="H204" s="212" t="s">
        <v>492</v>
      </c>
      <c r="I204" s="226"/>
      <c r="J204" s="226"/>
      <c r="K204" s="226"/>
      <c r="L204" s="226"/>
      <c r="M204" s="212" t="s">
        <v>809</v>
      </c>
      <c r="N204" s="212" t="s">
        <v>807</v>
      </c>
      <c r="O204" s="219"/>
      <c r="P204" s="219"/>
      <c r="Q204" s="233"/>
      <c r="R204" s="302">
        <v>0</v>
      </c>
      <c r="S204" s="303">
        <v>0</v>
      </c>
      <c r="T204" s="222" t="str">
        <f>IF(CampList[[#This Row],[HH]]&gt;0,CampList[[#This Row],[Total]]/CampList[[#This Row],[HH]],"NA")</f>
        <v>NA</v>
      </c>
      <c r="U204" s="214" t="s">
        <v>464</v>
      </c>
      <c r="V204" s="214" t="s">
        <v>997</v>
      </c>
      <c r="W204" s="214" t="s">
        <v>507</v>
      </c>
      <c r="X204" s="214"/>
      <c r="Y204" s="234"/>
      <c r="Z204" s="224"/>
      <c r="AA204" s="239" t="s">
        <v>775</v>
      </c>
      <c r="AB204" s="225">
        <v>41701</v>
      </c>
      <c r="AC204" s="218" t="s">
        <v>869</v>
      </c>
      <c r="AD204" s="214" t="str">
        <f ca="1">IFERROR(OFFSET(DistanceToCamp[Nearest Town],MATCH(CampList[[#This Row],[CP_Pcode]],DistanceToCamp[CP_Pcode],0)-1,0,1,1),"")</f>
        <v/>
      </c>
      <c r="AE204" s="227" t="str">
        <f ca="1">IFERROR(OFFSET(DistanceToCamp[distance],MATCH(CampList[[#This Row],[CP_Pcode]],DistanceToCamp[CP_Pcode],0)-1,0,1,1),"")</f>
        <v/>
      </c>
      <c r="AF204" s="228" t="str">
        <f ca="1">IFERROR(INT(CampList[[#This Row],[Distance]]/5)+1,"")</f>
        <v/>
      </c>
    </row>
    <row r="205" spans="2:32" ht="15.75" hidden="1" customHeight="1" x14ac:dyDescent="0.25">
      <c r="B205" s="218" t="s">
        <v>776</v>
      </c>
      <c r="C205" s="212" t="s">
        <v>378</v>
      </c>
      <c r="D205" s="212" t="s">
        <v>478</v>
      </c>
      <c r="E205" s="212" t="s">
        <v>5</v>
      </c>
      <c r="F205" s="212" t="s">
        <v>482</v>
      </c>
      <c r="G205" s="212" t="s">
        <v>151</v>
      </c>
      <c r="H205" s="212" t="s">
        <v>492</v>
      </c>
      <c r="I205" s="226"/>
      <c r="J205" s="226"/>
      <c r="K205" s="226"/>
      <c r="L205" s="226"/>
      <c r="M205" s="212" t="s">
        <v>804</v>
      </c>
      <c r="N205" s="212" t="s">
        <v>808</v>
      </c>
      <c r="O205" s="219"/>
      <c r="P205" s="219"/>
      <c r="Q205" s="233"/>
      <c r="R205" s="302">
        <v>0</v>
      </c>
      <c r="S205" s="303">
        <v>0</v>
      </c>
      <c r="T205" s="222" t="str">
        <f>IF(CampList[[#This Row],[HH]]&gt;0,CampList[[#This Row],[Total]]/CampList[[#This Row],[HH]],"NA")</f>
        <v>NA</v>
      </c>
      <c r="U205" s="214" t="s">
        <v>464</v>
      </c>
      <c r="V205" s="214" t="s">
        <v>997</v>
      </c>
      <c r="W205" s="214" t="s">
        <v>12</v>
      </c>
      <c r="X205" s="214" t="s">
        <v>785</v>
      </c>
      <c r="Y205" s="234"/>
      <c r="Z205" s="224"/>
      <c r="AA205" s="239" t="s">
        <v>775</v>
      </c>
      <c r="AB205" s="225">
        <v>42090</v>
      </c>
      <c r="AC205" s="218" t="s">
        <v>1029</v>
      </c>
      <c r="AD205" s="214" t="str">
        <f ca="1">IFERROR(OFFSET(DistanceToCamp[Nearest Town],MATCH(CampList[[#This Row],[CP_Pcode]],DistanceToCamp[CP_Pcode],0)-1,0,1,1),"")</f>
        <v/>
      </c>
      <c r="AE205" s="227" t="str">
        <f ca="1">IFERROR(OFFSET(DistanceToCamp[distance],MATCH(CampList[[#This Row],[CP_Pcode]],DistanceToCamp[CP_Pcode],0)-1,0,1,1),"")</f>
        <v/>
      </c>
      <c r="AF205" s="228" t="str">
        <f ca="1">IFERROR(INT(CampList[[#This Row],[Distance]]/5)+1,"")</f>
        <v/>
      </c>
    </row>
    <row r="206" spans="2:32" ht="15.75" hidden="1" customHeight="1" x14ac:dyDescent="0.25">
      <c r="B206" s="218" t="s">
        <v>776</v>
      </c>
      <c r="C206" s="212" t="s">
        <v>378</v>
      </c>
      <c r="D206" s="212" t="s">
        <v>478</v>
      </c>
      <c r="E206" s="212" t="s">
        <v>5</v>
      </c>
      <c r="F206" s="212" t="s">
        <v>482</v>
      </c>
      <c r="G206" s="212" t="s">
        <v>151</v>
      </c>
      <c r="H206" s="212" t="s">
        <v>492</v>
      </c>
      <c r="I206" s="226"/>
      <c r="J206" s="226"/>
      <c r="K206" s="226"/>
      <c r="L206" s="226"/>
      <c r="M206" s="212" t="s">
        <v>811</v>
      </c>
      <c r="N206" s="212" t="s">
        <v>810</v>
      </c>
      <c r="O206" s="219"/>
      <c r="P206" s="249"/>
      <c r="Q206" s="233"/>
      <c r="R206" s="302">
        <v>0</v>
      </c>
      <c r="S206" s="303">
        <v>0</v>
      </c>
      <c r="T206" s="222" t="str">
        <f>IF(CampList[[#This Row],[HH]]&gt;0,CampList[[#This Row],[Total]]/CampList[[#This Row],[HH]],"NA")</f>
        <v>NA</v>
      </c>
      <c r="U206" s="214" t="s">
        <v>464</v>
      </c>
      <c r="V206" s="214" t="s">
        <v>997</v>
      </c>
      <c r="W206" s="214" t="s">
        <v>785</v>
      </c>
      <c r="X206" s="214"/>
      <c r="Y206" s="234"/>
      <c r="Z206" s="224"/>
      <c r="AA206" s="239" t="s">
        <v>775</v>
      </c>
      <c r="AB206" s="225">
        <v>41677</v>
      </c>
      <c r="AC206" s="218" t="s">
        <v>850</v>
      </c>
      <c r="AD206" s="214" t="str">
        <f ca="1">IFERROR(OFFSET(DistanceToCamp[Nearest Town],MATCH(CampList[[#This Row],[CP_Pcode]],DistanceToCamp[CP_Pcode],0)-1,0,1,1),"")</f>
        <v/>
      </c>
      <c r="AE206" s="227" t="str">
        <f ca="1">IFERROR(OFFSET(DistanceToCamp[distance],MATCH(CampList[[#This Row],[CP_Pcode]],DistanceToCamp[CP_Pcode],0)-1,0,1,1),"")</f>
        <v/>
      </c>
      <c r="AF206" s="228" t="str">
        <f ca="1">IFERROR(INT(CampList[[#This Row],[Distance]]/5)+1,"")</f>
        <v/>
      </c>
    </row>
    <row r="207" spans="2:32" ht="15.75" customHeight="1" x14ac:dyDescent="0.25">
      <c r="B207" s="289" t="s">
        <v>460</v>
      </c>
      <c r="C207" s="212" t="s">
        <v>378</v>
      </c>
      <c r="D207" s="212" t="s">
        <v>478</v>
      </c>
      <c r="E207" s="212" t="s">
        <v>180</v>
      </c>
      <c r="F207" s="212" t="s">
        <v>479</v>
      </c>
      <c r="G207" s="212" t="s">
        <v>480</v>
      </c>
      <c r="H207" s="212" t="s">
        <v>481</v>
      </c>
      <c r="I207" s="212" t="s">
        <v>552</v>
      </c>
      <c r="J207" s="232" t="s">
        <v>553</v>
      </c>
      <c r="K207" s="212" t="s">
        <v>1276</v>
      </c>
      <c r="L207" s="232">
        <v>220486</v>
      </c>
      <c r="M207" s="213" t="s">
        <v>1631</v>
      </c>
      <c r="N207" s="213" t="s">
        <v>1277</v>
      </c>
      <c r="O207" s="292"/>
      <c r="P207" s="292"/>
      <c r="Q207" s="293"/>
      <c r="R207" s="292">
        <v>123</v>
      </c>
      <c r="S207" s="292">
        <v>656</v>
      </c>
      <c r="T207" s="294">
        <f>IF(CampList[[#This Row],[HH]]&gt;0,CampList[[#This Row],[Total]]/CampList[[#This Row],[HH]],"NA")</f>
        <v>5.333333333333333</v>
      </c>
      <c r="U207" s="196" t="s">
        <v>464</v>
      </c>
      <c r="V207" s="295" t="s">
        <v>997</v>
      </c>
      <c r="W207" s="196" t="s">
        <v>507</v>
      </c>
      <c r="X207" s="196" t="s">
        <v>785</v>
      </c>
      <c r="Y207" s="341">
        <v>42887</v>
      </c>
      <c r="Z207" s="293" t="s">
        <v>424</v>
      </c>
      <c r="AA207" s="290" t="s">
        <v>775</v>
      </c>
      <c r="AB207" s="225">
        <v>43220</v>
      </c>
      <c r="AC207" s="312" t="s">
        <v>1749</v>
      </c>
      <c r="AD207" s="299" t="str">
        <f ca="1">IFERROR(OFFSET(DistanceToCamp[Nearest Town],MATCH(CampList[[#This Row],[CP_Pcode]],DistanceToCamp[CP_Pcode],0)-1,0,1,1),"")</f>
        <v/>
      </c>
      <c r="AE207" s="300" t="str">
        <f ca="1">IFERROR(OFFSET(DistanceToCamp[distance],MATCH(CampList[[#This Row],[CP_Pcode]],DistanceToCamp[CP_Pcode],0)-1,0,1,1),"")</f>
        <v/>
      </c>
      <c r="AF207" s="301" t="str">
        <f ca="1">IFERROR(INT(CampList[[#This Row],[Distance]]/5)+1,"")</f>
        <v/>
      </c>
    </row>
    <row r="208" spans="2:32" ht="15.75" hidden="1" customHeight="1" x14ac:dyDescent="0.25">
      <c r="B208" s="218" t="s">
        <v>776</v>
      </c>
      <c r="C208" s="212" t="s">
        <v>378</v>
      </c>
      <c r="D208" s="212" t="s">
        <v>478</v>
      </c>
      <c r="E208" s="212" t="s">
        <v>5</v>
      </c>
      <c r="F208" s="212" t="s">
        <v>482</v>
      </c>
      <c r="G208" s="212" t="s">
        <v>151</v>
      </c>
      <c r="H208" s="212" t="s">
        <v>492</v>
      </c>
      <c r="I208" s="212"/>
      <c r="J208" s="212"/>
      <c r="K208" s="212"/>
      <c r="L208" s="212"/>
      <c r="M208" s="212" t="s">
        <v>814</v>
      </c>
      <c r="N208" s="212" t="s">
        <v>815</v>
      </c>
      <c r="O208" s="221"/>
      <c r="P208" s="221"/>
      <c r="Q208" s="233"/>
      <c r="R208" s="302">
        <v>0</v>
      </c>
      <c r="S208" s="303">
        <v>0</v>
      </c>
      <c r="T208" s="222" t="str">
        <f>IF(CampList[[#This Row],[HH]]&gt;0,CampList[[#This Row],[Total]]/CampList[[#This Row],[HH]],"NA")</f>
        <v>NA</v>
      </c>
      <c r="U208" s="214" t="s">
        <v>464</v>
      </c>
      <c r="V208" s="214" t="s">
        <v>997</v>
      </c>
      <c r="W208" s="214" t="s">
        <v>507</v>
      </c>
      <c r="X208" s="214" t="s">
        <v>785</v>
      </c>
      <c r="Y208" s="234"/>
      <c r="Z208" s="224"/>
      <c r="AA208" s="212" t="s">
        <v>775</v>
      </c>
      <c r="AB208" s="225">
        <v>41652</v>
      </c>
      <c r="AC208" s="218" t="s">
        <v>836</v>
      </c>
      <c r="AD208" s="214" t="str">
        <f ca="1">IFERROR(OFFSET(DistanceToCamp[Nearest Town],MATCH(CampList[[#This Row],[CP_Pcode]],DistanceToCamp[CP_Pcode],0)-1,0,1,1),"")</f>
        <v/>
      </c>
      <c r="AE208" s="227" t="str">
        <f ca="1">IFERROR(OFFSET(DistanceToCamp[distance],MATCH(CampList[[#This Row],[CP_Pcode]],DistanceToCamp[CP_Pcode],0)-1,0,1,1),"")</f>
        <v/>
      </c>
      <c r="AF208" s="228" t="str">
        <f ca="1">IFERROR(INT(CampList[[#This Row],[Distance]]/5)+1,"")</f>
        <v/>
      </c>
    </row>
    <row r="209" spans="2:35" ht="15.75" hidden="1" customHeight="1" x14ac:dyDescent="0.25">
      <c r="B209" s="218" t="s">
        <v>776</v>
      </c>
      <c r="C209" s="212" t="s">
        <v>378</v>
      </c>
      <c r="D209" s="212" t="s">
        <v>478</v>
      </c>
      <c r="E209" s="212" t="s">
        <v>299</v>
      </c>
      <c r="F209" s="212" t="s">
        <v>499</v>
      </c>
      <c r="G209" s="212" t="s">
        <v>299</v>
      </c>
      <c r="H209" s="212" t="s">
        <v>505</v>
      </c>
      <c r="I209" s="212" t="s">
        <v>885</v>
      </c>
      <c r="J209" s="212" t="s">
        <v>886</v>
      </c>
      <c r="K209" s="212" t="s">
        <v>887</v>
      </c>
      <c r="L209" s="212">
        <v>167567</v>
      </c>
      <c r="M209" s="212" t="s">
        <v>816</v>
      </c>
      <c r="N209" s="212" t="s">
        <v>817</v>
      </c>
      <c r="O209" s="219">
        <v>97.58184</v>
      </c>
      <c r="P209" s="219">
        <v>27.270199999999999</v>
      </c>
      <c r="Q209" s="220">
        <v>372.9</v>
      </c>
      <c r="R209" s="236">
        <v>0</v>
      </c>
      <c r="S209" s="241">
        <v>0</v>
      </c>
      <c r="T209" s="222" t="str">
        <f>IF(CampList[[#This Row],[HH]]&gt;0,CampList[[#This Row],[Total]]/CampList[[#This Row],[HH]],"NA")</f>
        <v>NA</v>
      </c>
      <c r="U209" s="214" t="s">
        <v>464</v>
      </c>
      <c r="V209" s="214" t="s">
        <v>997</v>
      </c>
      <c r="W209" s="214" t="s">
        <v>507</v>
      </c>
      <c r="X209" s="214" t="s">
        <v>785</v>
      </c>
      <c r="Y209" s="223">
        <v>41487</v>
      </c>
      <c r="Z209" s="223"/>
      <c r="AA209" s="212" t="s">
        <v>775</v>
      </c>
      <c r="AB209" s="225">
        <v>41725</v>
      </c>
      <c r="AC209" s="226" t="s">
        <v>1053</v>
      </c>
      <c r="AD209" s="214" t="str">
        <f ca="1">IFERROR(OFFSET(DistanceToCamp[Nearest Town],MATCH(CampList[[#This Row],[CP_Pcode]],DistanceToCamp[CP_Pcode],0)-1,0,1,1),"")</f>
        <v>Machanbaw Town</v>
      </c>
      <c r="AE209" s="227">
        <f ca="1">IFERROR(OFFSET(DistanceToCamp[distance],MATCH(CampList[[#This Row],[CP_Pcode]],DistanceToCamp[CP_Pcode],0)-1,0,1,1),"")</f>
        <v>1.7005689699647599</v>
      </c>
      <c r="AF209" s="228">
        <f ca="1">IFERROR(INT(CampList[[#This Row],[Distance]]/5)+1,"")</f>
        <v>1</v>
      </c>
    </row>
    <row r="210" spans="2:35" ht="15.75" hidden="1" customHeight="1" x14ac:dyDescent="0.25">
      <c r="B210" s="218" t="s">
        <v>776</v>
      </c>
      <c r="C210" s="212" t="s">
        <v>378</v>
      </c>
      <c r="D210" s="212" t="s">
        <v>478</v>
      </c>
      <c r="E210" s="212" t="s">
        <v>299</v>
      </c>
      <c r="F210" s="212" t="s">
        <v>499</v>
      </c>
      <c r="G210" s="212" t="s">
        <v>818</v>
      </c>
      <c r="H210" s="212" t="s">
        <v>819</v>
      </c>
      <c r="I210" s="212"/>
      <c r="J210" s="212"/>
      <c r="K210" s="212"/>
      <c r="L210" s="212"/>
      <c r="M210" s="212" t="s">
        <v>820</v>
      </c>
      <c r="N210" s="212" t="s">
        <v>821</v>
      </c>
      <c r="O210" s="219">
        <v>97.586470000000006</v>
      </c>
      <c r="P210" s="219">
        <v>27.274059999999999</v>
      </c>
      <c r="Q210" s="233">
        <v>403</v>
      </c>
      <c r="R210" s="197"/>
      <c r="S210" s="241"/>
      <c r="T210" s="222" t="str">
        <f>IF(CampList[[#This Row],[HH]]&gt;0,CampList[[#This Row],[Total]]/CampList[[#This Row],[HH]],"NA")</f>
        <v>NA</v>
      </c>
      <c r="U210" s="214" t="s">
        <v>464</v>
      </c>
      <c r="V210" s="214" t="s">
        <v>997</v>
      </c>
      <c r="W210" s="214" t="s">
        <v>507</v>
      </c>
      <c r="X210" s="214" t="s">
        <v>785</v>
      </c>
      <c r="Y210" s="234">
        <v>41518</v>
      </c>
      <c r="Z210" s="250"/>
      <c r="AA210" s="212" t="s">
        <v>775</v>
      </c>
      <c r="AB210" s="225">
        <v>42180</v>
      </c>
      <c r="AC210" s="218" t="s">
        <v>1052</v>
      </c>
      <c r="AD210" s="214" t="str">
        <f ca="1">IFERROR(OFFSET(DistanceToCamp[Nearest Town],MATCH(CampList[[#This Row],[CP_Pcode]],DistanceToCamp[CP_Pcode],0)-1,0,1,1),"")</f>
        <v>Machanbaw Town</v>
      </c>
      <c r="AE210" s="227">
        <f ca="1">IFERROR(OFFSET(DistanceToCamp[distance],MATCH(CampList[[#This Row],[CP_Pcode]],DistanceToCamp[CP_Pcode],0)-1,0,1,1),"")</f>
        <v>1.136583238544624</v>
      </c>
      <c r="AF210" s="228">
        <f ca="1">IFERROR(INT(CampList[[#This Row],[Distance]]/5)+1,"")</f>
        <v>1</v>
      </c>
    </row>
    <row r="211" spans="2:35" ht="15.75" hidden="1" customHeight="1" x14ac:dyDescent="0.25">
      <c r="B211" s="218" t="s">
        <v>776</v>
      </c>
      <c r="C211" s="212" t="s">
        <v>378</v>
      </c>
      <c r="D211" s="212" t="s">
        <v>478</v>
      </c>
      <c r="E211" s="212" t="s">
        <v>5</v>
      </c>
      <c r="F211" s="212" t="s">
        <v>482</v>
      </c>
      <c r="G211" s="212" t="s">
        <v>5</v>
      </c>
      <c r="H211" s="212" t="s">
        <v>483</v>
      </c>
      <c r="I211" s="212"/>
      <c r="J211" s="212"/>
      <c r="K211" s="212"/>
      <c r="L211" s="212"/>
      <c r="M211" s="212" t="s">
        <v>823</v>
      </c>
      <c r="N211" s="212" t="s">
        <v>822</v>
      </c>
      <c r="O211" s="219"/>
      <c r="P211" s="219"/>
      <c r="Q211" s="233"/>
      <c r="R211" s="302"/>
      <c r="S211" s="303"/>
      <c r="T211" s="222" t="str">
        <f>IF(CampList[[#This Row],[HH]]&gt;0,CampList[[#This Row],[Total]]/CampList[[#This Row],[HH]],"NA")</f>
        <v>NA</v>
      </c>
      <c r="U211" s="214" t="s">
        <v>464</v>
      </c>
      <c r="V211" s="214" t="s">
        <v>997</v>
      </c>
      <c r="W211" s="214" t="s">
        <v>507</v>
      </c>
      <c r="X211" s="214" t="s">
        <v>742</v>
      </c>
      <c r="Y211" s="234"/>
      <c r="Z211" s="224"/>
      <c r="AA211" s="239" t="s">
        <v>775</v>
      </c>
      <c r="AB211" s="225">
        <v>41702</v>
      </c>
      <c r="AC211" s="226" t="s">
        <v>874</v>
      </c>
      <c r="AD211" s="214" t="str">
        <f ca="1">IFERROR(OFFSET(DistanceToCamp[Nearest Town],MATCH(CampList[[#This Row],[CP_Pcode]],DistanceToCamp[CP_Pcode],0)-1,0,1,1),"")</f>
        <v/>
      </c>
      <c r="AE211" s="227" t="str">
        <f ca="1">IFERROR(OFFSET(DistanceToCamp[distance],MATCH(CampList[[#This Row],[CP_Pcode]],DistanceToCamp[CP_Pcode],0)-1,0,1,1),"")</f>
        <v/>
      </c>
      <c r="AF211" s="228" t="str">
        <f ca="1">IFERROR(INT(CampList[[#This Row],[Distance]]/5)+1,"")</f>
        <v/>
      </c>
    </row>
    <row r="212" spans="2:35" ht="15.75" customHeight="1" x14ac:dyDescent="0.25">
      <c r="B212" s="231" t="s">
        <v>460</v>
      </c>
      <c r="C212" s="213" t="s">
        <v>378</v>
      </c>
      <c r="D212" s="213" t="s">
        <v>478</v>
      </c>
      <c r="E212" s="213" t="s">
        <v>5</v>
      </c>
      <c r="F212" s="213" t="s">
        <v>482</v>
      </c>
      <c r="G212" s="213" t="s">
        <v>185</v>
      </c>
      <c r="H212" s="213" t="s">
        <v>486</v>
      </c>
      <c r="I212" s="213" t="s">
        <v>701</v>
      </c>
      <c r="J212" s="232" t="s">
        <v>702</v>
      </c>
      <c r="K212" s="213" t="s">
        <v>703</v>
      </c>
      <c r="L212" s="213">
        <v>216913</v>
      </c>
      <c r="M212" s="213" t="s">
        <v>219</v>
      </c>
      <c r="N212" s="213" t="s">
        <v>218</v>
      </c>
      <c r="O212" s="221">
        <v>97.752667000000002</v>
      </c>
      <c r="P212" s="221">
        <v>24.2744</v>
      </c>
      <c r="Q212" s="233">
        <v>978</v>
      </c>
      <c r="R212" s="221">
        <v>651</v>
      </c>
      <c r="S212" s="221">
        <v>3631</v>
      </c>
      <c r="T212" s="222">
        <f>IF(CampList[[#This Row],[HH]]&gt;0,CampList[[#This Row],[Total]]/CampList[[#This Row],[HH]],"NA")</f>
        <v>5.5775729646697387</v>
      </c>
      <c r="U212" s="197" t="s">
        <v>466</v>
      </c>
      <c r="V212" s="214" t="s">
        <v>997</v>
      </c>
      <c r="W212" s="197" t="s">
        <v>507</v>
      </c>
      <c r="X212" s="197" t="s">
        <v>785</v>
      </c>
      <c r="Y212" s="332">
        <v>41000</v>
      </c>
      <c r="Z212" s="233" t="s">
        <v>937</v>
      </c>
      <c r="AA212" s="213" t="s">
        <v>775</v>
      </c>
      <c r="AB212" s="225">
        <v>43220</v>
      </c>
      <c r="AC212" s="235" t="s">
        <v>1773</v>
      </c>
      <c r="AD212" s="236" t="str">
        <f ca="1">IFERROR(OFFSET(DistanceToCamp[Nearest Town],MATCH(CampList[[#This Row],[CP_Pcode]],DistanceToCamp[CP_Pcode],0)-1,0,1,1),"")</f>
        <v>Lwegel Town</v>
      </c>
      <c r="AE212" s="227">
        <f ca="1">IFERROR(OFFSET(DistanceToCamp[distance],MATCH(CampList[[#This Row],[CP_Pcode]],DistanceToCamp[CP_Pcode],0)-1,0,1,1),"")</f>
        <v>8.953204937938569</v>
      </c>
      <c r="AF212" s="237">
        <f ca="1">IFERROR(INT(CampList[[#This Row],[Distance]]/5)+1,"")</f>
        <v>2</v>
      </c>
    </row>
    <row r="213" spans="2:35" ht="15.75" hidden="1" customHeight="1" x14ac:dyDescent="0.25">
      <c r="B213" s="218" t="s">
        <v>776</v>
      </c>
      <c r="C213" s="212" t="s">
        <v>378</v>
      </c>
      <c r="D213" s="212" t="s">
        <v>478</v>
      </c>
      <c r="E213" s="212" t="s">
        <v>5</v>
      </c>
      <c r="F213" s="212" t="s">
        <v>482</v>
      </c>
      <c r="G213" s="212" t="s">
        <v>5</v>
      </c>
      <c r="H213" s="212" t="s">
        <v>483</v>
      </c>
      <c r="I213" s="212" t="s">
        <v>585</v>
      </c>
      <c r="J213" s="212" t="s">
        <v>586</v>
      </c>
      <c r="K213" s="212"/>
      <c r="L213" s="212"/>
      <c r="M213" s="212" t="s">
        <v>879</v>
      </c>
      <c r="N213" s="212" t="s">
        <v>876</v>
      </c>
      <c r="O213" s="219">
        <v>97.239130000000003</v>
      </c>
      <c r="P213" s="221">
        <v>24.229189999999999</v>
      </c>
      <c r="Q213" s="233">
        <v>126</v>
      </c>
      <c r="R213" s="197"/>
      <c r="S213" s="241"/>
      <c r="T213" s="222" t="str">
        <f>IF(CampList[[#This Row],[HH]]&gt;0,CampList[[#This Row],[Total]]/CampList[[#This Row],[HH]],"NA")</f>
        <v>NA</v>
      </c>
      <c r="U213" s="214" t="s">
        <v>464</v>
      </c>
      <c r="V213" s="214" t="s">
        <v>997</v>
      </c>
      <c r="W213" s="214" t="s">
        <v>507</v>
      </c>
      <c r="X213" s="214" t="s">
        <v>742</v>
      </c>
      <c r="Y213" s="234"/>
      <c r="Z213" s="224" t="s">
        <v>462</v>
      </c>
      <c r="AA213" s="212" t="s">
        <v>775</v>
      </c>
      <c r="AB213" s="225">
        <v>41906</v>
      </c>
      <c r="AC213" s="226" t="s">
        <v>954</v>
      </c>
      <c r="AD213" s="214" t="str">
        <f ca="1">IFERROR(OFFSET(DistanceToCamp[Nearest Town],MATCH(CampList[[#This Row],[CP_Pcode]],DistanceToCamp[CP_Pcode],0)-1,0,1,1),"")</f>
        <v/>
      </c>
      <c r="AE213" s="227" t="str">
        <f ca="1">IFERROR(OFFSET(DistanceToCamp[distance],MATCH(CampList[[#This Row],[CP_Pcode]],DistanceToCamp[CP_Pcode],0)-1,0,1,1),"")</f>
        <v/>
      </c>
      <c r="AF213" s="228" t="str">
        <f ca="1">IFERROR(INT(CampList[[#This Row],[Distance]]/5)+1,"")</f>
        <v/>
      </c>
    </row>
    <row r="214" spans="2:35" s="199" customFormat="1" ht="15.75" hidden="1" customHeight="1" x14ac:dyDescent="0.25">
      <c r="B214" s="218" t="s">
        <v>776</v>
      </c>
      <c r="C214" s="212" t="s">
        <v>506</v>
      </c>
      <c r="D214" s="212" t="s">
        <v>489</v>
      </c>
      <c r="E214" s="212" t="s">
        <v>230</v>
      </c>
      <c r="F214" s="212" t="s">
        <v>490</v>
      </c>
      <c r="G214" s="212" t="s">
        <v>288</v>
      </c>
      <c r="H214" s="212" t="s">
        <v>502</v>
      </c>
      <c r="I214" s="212" t="s">
        <v>691</v>
      </c>
      <c r="J214" s="212" t="s">
        <v>692</v>
      </c>
      <c r="K214" s="212" t="s">
        <v>691</v>
      </c>
      <c r="L214" s="212">
        <v>208353</v>
      </c>
      <c r="M214" s="212" t="s">
        <v>373</v>
      </c>
      <c r="N214" s="212" t="s">
        <v>387</v>
      </c>
      <c r="O214" s="219">
        <v>97.678299999999993</v>
      </c>
      <c r="P214" s="219">
        <v>23.82152</v>
      </c>
      <c r="Q214" s="233">
        <v>813.4</v>
      </c>
      <c r="R214" s="302">
        <v>0</v>
      </c>
      <c r="S214" s="303">
        <v>0</v>
      </c>
      <c r="T214" s="222" t="str">
        <f>IF(CampList[[#This Row],[HH]]&gt;0,CampList[[#This Row],[Total]]/CampList[[#This Row],[HH]],"NA")</f>
        <v>NA</v>
      </c>
      <c r="U214" s="214" t="s">
        <v>466</v>
      </c>
      <c r="V214" s="214" t="s">
        <v>997</v>
      </c>
      <c r="W214" s="214" t="s">
        <v>507</v>
      </c>
      <c r="X214" s="214"/>
      <c r="Y214" s="234"/>
      <c r="Z214" s="223" t="s">
        <v>937</v>
      </c>
      <c r="AA214" s="239" t="s">
        <v>775</v>
      </c>
      <c r="AB214" s="225">
        <v>41712</v>
      </c>
      <c r="AC214" s="218" t="s">
        <v>880</v>
      </c>
      <c r="AD214" s="214" t="str">
        <f ca="1">IFERROR(OFFSET(DistanceToCamp[Nearest Town],MATCH(CampList[[#This Row],[CP_Pcode]],DistanceToCamp[CP_Pcode],0)-1,0,1,1),"")</f>
        <v/>
      </c>
      <c r="AE214" s="227" t="str">
        <f ca="1">IFERROR(OFFSET(DistanceToCamp[distance],MATCH(CampList[[#This Row],[CP_Pcode]],DistanceToCamp[CP_Pcode],0)-1,0,1,1),"")</f>
        <v/>
      </c>
      <c r="AF214" s="228" t="str">
        <f ca="1">IFERROR(INT(CampList[[#This Row],[Distance]]/5)+1,"")</f>
        <v/>
      </c>
      <c r="AH214" s="649"/>
      <c r="AI214" s="649"/>
    </row>
    <row r="215" spans="2:35" s="199" customFormat="1" ht="15.75" customHeight="1" x14ac:dyDescent="0.25">
      <c r="B215" s="218" t="s">
        <v>460</v>
      </c>
      <c r="C215" s="212" t="s">
        <v>378</v>
      </c>
      <c r="D215" s="212" t="s">
        <v>478</v>
      </c>
      <c r="E215" s="212" t="s">
        <v>180</v>
      </c>
      <c r="F215" s="212" t="s">
        <v>479</v>
      </c>
      <c r="G215" s="212" t="s">
        <v>480</v>
      </c>
      <c r="H215" s="212" t="s">
        <v>481</v>
      </c>
      <c r="I215" s="213" t="s">
        <v>1156</v>
      </c>
      <c r="J215" s="232" t="s">
        <v>1157</v>
      </c>
      <c r="K215" s="213" t="s">
        <v>1163</v>
      </c>
      <c r="L215" s="213">
        <v>166819</v>
      </c>
      <c r="M215" s="185" t="s">
        <v>1161</v>
      </c>
      <c r="N215" s="213" t="s">
        <v>1167</v>
      </c>
      <c r="O215" s="258">
        <v>96.662092000000001</v>
      </c>
      <c r="P215" s="258">
        <v>25.920006000000001</v>
      </c>
      <c r="Q215" s="233"/>
      <c r="R215" s="292">
        <v>5</v>
      </c>
      <c r="S215" s="292">
        <v>13</v>
      </c>
      <c r="T215" s="222">
        <f>IF(CampList[[#This Row],[HH]]&gt;0,CampList[[#This Row],[Total]]/CampList[[#This Row],[HH]],"NA")</f>
        <v>2.6</v>
      </c>
      <c r="U215" s="197" t="s">
        <v>464</v>
      </c>
      <c r="V215" s="214" t="s">
        <v>997</v>
      </c>
      <c r="W215" s="197" t="s">
        <v>1606</v>
      </c>
      <c r="X215" s="197" t="s">
        <v>785</v>
      </c>
      <c r="Y215" s="332">
        <v>42584</v>
      </c>
      <c r="Z215" s="223" t="s">
        <v>1327</v>
      </c>
      <c r="AA215" s="213" t="s">
        <v>775</v>
      </c>
      <c r="AB215" s="225">
        <v>43186</v>
      </c>
      <c r="AC215" s="235" t="s">
        <v>1634</v>
      </c>
      <c r="AD215" s="236" t="str">
        <f ca="1">IFERROR(OFFSET(DistanceToCamp[Nearest Town],MATCH(CampList[[#This Row],[CP_Pcode]],DistanceToCamp[CP_Pcode],0)-1,0,1,1),"")</f>
        <v>Hpakant Town</v>
      </c>
      <c r="AE215" s="227">
        <f ca="1">IFERROR(OFFSET(DistanceToCamp[distance],MATCH(CampList[[#This Row],[CP_Pcode]],DistanceToCamp[CP_Pcode],0)-1,0,1,1),"")</f>
        <v>0</v>
      </c>
      <c r="AF215" s="237">
        <f ca="1">IFERROR(INT(CampList[[#This Row],[Distance]]/5)+1,"")</f>
        <v>1</v>
      </c>
      <c r="AH215" s="649"/>
      <c r="AI215" s="649"/>
    </row>
    <row r="216" spans="2:35" s="199" customFormat="1" ht="15.75" hidden="1" customHeight="1" x14ac:dyDescent="0.25">
      <c r="B216" s="218" t="s">
        <v>776</v>
      </c>
      <c r="C216" s="212" t="s">
        <v>378</v>
      </c>
      <c r="D216" s="212" t="s">
        <v>478</v>
      </c>
      <c r="E216" s="212" t="s">
        <v>5</v>
      </c>
      <c r="F216" s="212" t="s">
        <v>482</v>
      </c>
      <c r="G216" s="212" t="s">
        <v>151</v>
      </c>
      <c r="H216" s="212" t="s">
        <v>492</v>
      </c>
      <c r="I216" s="212" t="s">
        <v>679</v>
      </c>
      <c r="J216" s="212" t="s">
        <v>680</v>
      </c>
      <c r="K216" s="212" t="s">
        <v>679</v>
      </c>
      <c r="L216" s="232">
        <v>167343</v>
      </c>
      <c r="M216" s="212" t="s">
        <v>890</v>
      </c>
      <c r="N216" s="212" t="s">
        <v>891</v>
      </c>
      <c r="O216" s="219">
        <v>97.608249999999998</v>
      </c>
      <c r="P216" s="219">
        <v>24.000250000000001</v>
      </c>
      <c r="Q216" s="233"/>
      <c r="R216" s="197"/>
      <c r="S216" s="241"/>
      <c r="T216" s="222" t="str">
        <f>IF(CampList[[#This Row],[HH]]&gt;0,CampList[[#This Row],[Total]]/CampList[[#This Row],[HH]],"NA")</f>
        <v>NA</v>
      </c>
      <c r="U216" s="214" t="s">
        <v>466</v>
      </c>
      <c r="V216" s="214" t="s">
        <v>997</v>
      </c>
      <c r="W216" s="214" t="s">
        <v>507</v>
      </c>
      <c r="X216" s="214" t="s">
        <v>785</v>
      </c>
      <c r="Y216" s="234">
        <v>40817</v>
      </c>
      <c r="Z216" s="223" t="s">
        <v>937</v>
      </c>
      <c r="AA216" s="212" t="s">
        <v>775</v>
      </c>
      <c r="AB216" s="225">
        <v>42629</v>
      </c>
      <c r="AC216" s="218" t="s">
        <v>1169</v>
      </c>
      <c r="AD216" s="214" t="str">
        <f ca="1">IFERROR(OFFSET(DistanceToCamp[Nearest Town],MATCH(CampList[[#This Row],[CP_Pcode]],DistanceToCamp[CP_Pcode],0)-1,0,1,1),"")</f>
        <v>Namhkan Town</v>
      </c>
      <c r="AE216" s="227">
        <f ca="1">IFERROR(OFFSET(DistanceToCamp[distance],MATCH(CampList[[#This Row],[CP_Pcode]],DistanceToCamp[CP_Pcode],0)-1,0,1,1),"")</f>
        <v>19.631786732140053</v>
      </c>
      <c r="AF216" s="228">
        <f ca="1">IFERROR(INT(CampList[[#This Row],[Distance]]/5)+1,"")</f>
        <v>4</v>
      </c>
      <c r="AH216" s="649"/>
      <c r="AI216" s="649"/>
    </row>
    <row r="217" spans="2:35" s="199" customFormat="1" ht="15.75" customHeight="1" x14ac:dyDescent="0.25">
      <c r="B217" s="218" t="s">
        <v>460</v>
      </c>
      <c r="C217" s="212" t="s">
        <v>378</v>
      </c>
      <c r="D217" s="212" t="s">
        <v>478</v>
      </c>
      <c r="E217" s="212" t="s">
        <v>299</v>
      </c>
      <c r="F217" s="212" t="s">
        <v>499</v>
      </c>
      <c r="G217" s="212" t="s">
        <v>299</v>
      </c>
      <c r="H217" s="212" t="s">
        <v>505</v>
      </c>
      <c r="I217" s="212" t="s">
        <v>885</v>
      </c>
      <c r="J217" s="212" t="s">
        <v>886</v>
      </c>
      <c r="K217" s="212" t="s">
        <v>893</v>
      </c>
      <c r="L217" s="212">
        <v>217032</v>
      </c>
      <c r="M217" s="212" t="s">
        <v>894</v>
      </c>
      <c r="N217" s="212" t="s">
        <v>895</v>
      </c>
      <c r="O217" s="221">
        <v>97.561105999999995</v>
      </c>
      <c r="P217" s="221">
        <v>27.248964999999998</v>
      </c>
      <c r="Q217" s="233">
        <v>398</v>
      </c>
      <c r="R217" s="221">
        <v>10</v>
      </c>
      <c r="S217" s="233">
        <v>56</v>
      </c>
      <c r="T217" s="222">
        <f>IF(CampList[[#This Row],[HH]]&gt;0,CampList[[#This Row],[Total]]/CampList[[#This Row],[HH]],"NA")</f>
        <v>5.6</v>
      </c>
      <c r="U217" s="214" t="s">
        <v>464</v>
      </c>
      <c r="V217" s="214" t="s">
        <v>997</v>
      </c>
      <c r="W217" s="214" t="s">
        <v>12</v>
      </c>
      <c r="X217" s="214" t="s">
        <v>785</v>
      </c>
      <c r="Y217" s="332">
        <v>41487</v>
      </c>
      <c r="Z217" s="224"/>
      <c r="AA217" s="212" t="s">
        <v>775</v>
      </c>
      <c r="AB217" s="225">
        <v>41736</v>
      </c>
      <c r="AC217" s="226" t="s">
        <v>1402</v>
      </c>
      <c r="AD217" s="214" t="str">
        <f ca="1">IFERROR(OFFSET(DistanceToCamp[Nearest Town],MATCH(CampList[[#This Row],[CP_Pcode]],DistanceToCamp[CP_Pcode],0)-1,0,1,1),"")</f>
        <v>Machanbaw Town</v>
      </c>
      <c r="AE217" s="227">
        <f ca="1">IFERROR(OFFSET(DistanceToCamp[distance],MATCH(CampList[[#This Row],[CP_Pcode]],DistanceToCamp[CP_Pcode],0)-1,0,1,1),"")</f>
        <v>4.789460146835963</v>
      </c>
      <c r="AF217" s="228">
        <f ca="1">IFERROR(INT(CampList[[#This Row],[Distance]]/5)+1,"")</f>
        <v>1</v>
      </c>
      <c r="AH217" s="649"/>
      <c r="AI217" s="649"/>
    </row>
    <row r="218" spans="2:35" s="199" customFormat="1" ht="15.75" customHeight="1" x14ac:dyDescent="0.25">
      <c r="B218" s="242" t="s">
        <v>460</v>
      </c>
      <c r="C218" s="213" t="s">
        <v>378</v>
      </c>
      <c r="D218" s="213" t="s">
        <v>478</v>
      </c>
      <c r="E218" s="213" t="s">
        <v>5</v>
      </c>
      <c r="F218" s="213" t="s">
        <v>482</v>
      </c>
      <c r="G218" s="213" t="s">
        <v>301</v>
      </c>
      <c r="H218" s="213" t="s">
        <v>493</v>
      </c>
      <c r="I218" s="213" t="s">
        <v>561</v>
      </c>
      <c r="J218" s="232" t="s">
        <v>562</v>
      </c>
      <c r="K218" s="213" t="s">
        <v>561</v>
      </c>
      <c r="L218" s="213" t="s">
        <v>563</v>
      </c>
      <c r="M218" s="213" t="s">
        <v>307</v>
      </c>
      <c r="N218" s="213" t="s">
        <v>306</v>
      </c>
      <c r="O218" s="221">
        <v>96.807353000000006</v>
      </c>
      <c r="P218" s="221">
        <v>24.200367</v>
      </c>
      <c r="Q218" s="233"/>
      <c r="R218" s="221">
        <v>46</v>
      </c>
      <c r="S218" s="221">
        <v>199</v>
      </c>
      <c r="T218" s="222">
        <f>IF(CampList[[#This Row],[HH]]&gt;0,CampList[[#This Row],[Total]]/CampList[[#This Row],[HH]],"NA")</f>
        <v>4.3260869565217392</v>
      </c>
      <c r="U218" s="197" t="s">
        <v>464</v>
      </c>
      <c r="V218" s="214" t="s">
        <v>997</v>
      </c>
      <c r="W218" s="197" t="s">
        <v>507</v>
      </c>
      <c r="X218" s="197" t="s">
        <v>742</v>
      </c>
      <c r="Y218" s="332">
        <v>40725</v>
      </c>
      <c r="Z218" s="233" t="s">
        <v>937</v>
      </c>
      <c r="AA218" s="213" t="s">
        <v>775</v>
      </c>
      <c r="AB218" s="225">
        <v>43220</v>
      </c>
      <c r="AC218" s="235" t="s">
        <v>1772</v>
      </c>
      <c r="AD218" s="236" t="str">
        <f ca="1">IFERROR(OFFSET(DistanceToCamp[Nearest Town],MATCH(CampList[[#This Row],[CP_Pcode]],DistanceToCamp[CP_Pcode],0)-1,0,1,1),"")</f>
        <v>Shwegu Town</v>
      </c>
      <c r="AE218" s="227">
        <f ca="1">IFERROR(OFFSET(DistanceToCamp[distance],MATCH(CampList[[#This Row],[CP_Pcode]],DistanceToCamp[CP_Pcode],0)-1,0,1,1),"")</f>
        <v>0.74330366237812662</v>
      </c>
      <c r="AF218" s="237">
        <f ca="1">IFERROR(INT(CampList[[#This Row],[Distance]]/5)+1,"")</f>
        <v>1</v>
      </c>
      <c r="AH218" s="649"/>
      <c r="AI218" s="649"/>
    </row>
    <row r="219" spans="2:35" s="199" customFormat="1" ht="15.75" customHeight="1" x14ac:dyDescent="0.25">
      <c r="B219" s="218" t="s">
        <v>460</v>
      </c>
      <c r="C219" s="212" t="s">
        <v>506</v>
      </c>
      <c r="D219" s="212" t="s">
        <v>489</v>
      </c>
      <c r="E219" s="212" t="s">
        <v>230</v>
      </c>
      <c r="F219" s="212" t="s">
        <v>490</v>
      </c>
      <c r="G219" s="212" t="s">
        <v>288</v>
      </c>
      <c r="H219" s="212" t="s">
        <v>502</v>
      </c>
      <c r="I219" s="212" t="s">
        <v>691</v>
      </c>
      <c r="J219" s="212" t="s">
        <v>692</v>
      </c>
      <c r="K219" s="212" t="s">
        <v>691</v>
      </c>
      <c r="L219" s="212">
        <v>208353</v>
      </c>
      <c r="M219" s="212" t="s">
        <v>289</v>
      </c>
      <c r="N219" s="212" t="s">
        <v>287</v>
      </c>
      <c r="O219" s="219">
        <v>97.669557999999995</v>
      </c>
      <c r="P219" s="219">
        <v>23.828520000000001</v>
      </c>
      <c r="Q219" s="220">
        <v>740</v>
      </c>
      <c r="R219" s="219">
        <v>66</v>
      </c>
      <c r="S219" s="219">
        <v>336</v>
      </c>
      <c r="T219" s="222">
        <f>IF(CampList[[#This Row],[HH]]&gt;0,CampList[[#This Row],[Total]]/CampList[[#This Row],[HH]],"NA")</f>
        <v>5.0909090909090908</v>
      </c>
      <c r="U219" s="214" t="s">
        <v>464</v>
      </c>
      <c r="V219" s="214" t="s">
        <v>997</v>
      </c>
      <c r="W219" s="214" t="s">
        <v>507</v>
      </c>
      <c r="X219" s="214" t="s">
        <v>742</v>
      </c>
      <c r="Y219" s="223">
        <v>40878</v>
      </c>
      <c r="Z219" s="223" t="s">
        <v>424</v>
      </c>
      <c r="AA219" s="239" t="s">
        <v>775</v>
      </c>
      <c r="AB219" s="225">
        <v>43220</v>
      </c>
      <c r="AC219" s="226" t="s">
        <v>1750</v>
      </c>
      <c r="AD219" s="214" t="str">
        <f ca="1">IFERROR(OFFSET(DistanceToCamp[Nearest Town],MATCH(CampList[[#This Row],[CP_Pcode]],DistanceToCamp[CP_Pcode],0)-1,0,1,1),"")</f>
        <v>Namhkan Town</v>
      </c>
      <c r="AE219" s="227">
        <f ca="1">IFERROR(OFFSET(DistanceToCamp[distance],MATCH(CampList[[#This Row],[CP_Pcode]],DistanceToCamp[CP_Pcode],0)-1,0,1,1),"")</f>
        <v>1.5619149693996526</v>
      </c>
      <c r="AF219" s="228">
        <f ca="1">IFERROR(INT(CampList[[#This Row],[Distance]]/5)+1,"")</f>
        <v>1</v>
      </c>
      <c r="AH219" s="649"/>
      <c r="AI219" s="649"/>
    </row>
    <row r="220" spans="2:35" s="199" customFormat="1" ht="15.75" customHeight="1" x14ac:dyDescent="0.25">
      <c r="B220" s="218" t="s">
        <v>460</v>
      </c>
      <c r="C220" s="212" t="s">
        <v>506</v>
      </c>
      <c r="D220" s="212" t="s">
        <v>489</v>
      </c>
      <c r="E220" s="212" t="s">
        <v>230</v>
      </c>
      <c r="F220" s="212" t="s">
        <v>490</v>
      </c>
      <c r="G220" s="212" t="s">
        <v>288</v>
      </c>
      <c r="H220" s="212" t="s">
        <v>502</v>
      </c>
      <c r="I220" s="212" t="s">
        <v>691</v>
      </c>
      <c r="J220" s="212" t="s">
        <v>692</v>
      </c>
      <c r="K220" s="212" t="s">
        <v>691</v>
      </c>
      <c r="L220" s="212">
        <v>208353</v>
      </c>
      <c r="M220" s="212" t="s">
        <v>291</v>
      </c>
      <c r="N220" s="212" t="s">
        <v>290</v>
      </c>
      <c r="O220" s="219">
        <v>97.681970000000007</v>
      </c>
      <c r="P220" s="219">
        <v>23.821380000000001</v>
      </c>
      <c r="Q220" s="220">
        <v>811.6</v>
      </c>
      <c r="R220" s="219">
        <v>75</v>
      </c>
      <c r="S220" s="292">
        <v>367</v>
      </c>
      <c r="T220" s="222">
        <f>IF(CampList[[#This Row],[HH]]&gt;0,CampList[[#This Row],[Total]]/CampList[[#This Row],[HH]],"NA")</f>
        <v>4.8933333333333335</v>
      </c>
      <c r="U220" s="214" t="s">
        <v>464</v>
      </c>
      <c r="V220" s="214" t="s">
        <v>997</v>
      </c>
      <c r="W220" s="214" t="s">
        <v>507</v>
      </c>
      <c r="X220" s="214" t="s">
        <v>742</v>
      </c>
      <c r="Y220" s="223">
        <v>41609</v>
      </c>
      <c r="Z220" s="223" t="s">
        <v>424</v>
      </c>
      <c r="AA220" s="239" t="s">
        <v>775</v>
      </c>
      <c r="AB220" s="225">
        <v>43220</v>
      </c>
      <c r="AC220" s="226" t="s">
        <v>1742</v>
      </c>
      <c r="AD220" s="214" t="str">
        <f ca="1">IFERROR(OFFSET(DistanceToCamp[Nearest Town],MATCH(CampList[[#This Row],[CP_Pcode]],DistanceToCamp[CP_Pcode],0)-1,0,1,1),"")</f>
        <v>Namhkan Town</v>
      </c>
      <c r="AE220" s="227">
        <f ca="1">IFERROR(OFFSET(DistanceToCamp[distance],MATCH(CampList[[#This Row],[CP_Pcode]],DistanceToCamp[CP_Pcode],0)-1,0,1,1),"")</f>
        <v>1.7369508287203668</v>
      </c>
      <c r="AF220" s="228">
        <f ca="1">IFERROR(INT(CampList[[#This Row],[Distance]]/5)+1,"")</f>
        <v>1</v>
      </c>
      <c r="AH220" s="649"/>
      <c r="AI220" s="649"/>
    </row>
    <row r="221" spans="2:35" s="199" customFormat="1" ht="15.75" hidden="1" customHeight="1" x14ac:dyDescent="0.25">
      <c r="B221" s="218" t="s">
        <v>776</v>
      </c>
      <c r="C221" s="212" t="s">
        <v>378</v>
      </c>
      <c r="D221" s="212" t="s">
        <v>478</v>
      </c>
      <c r="E221" s="212" t="s">
        <v>180</v>
      </c>
      <c r="F221" s="212" t="s">
        <v>479</v>
      </c>
      <c r="G221" s="212" t="s">
        <v>480</v>
      </c>
      <c r="H221" s="212" t="s">
        <v>481</v>
      </c>
      <c r="I221" s="212" t="s">
        <v>552</v>
      </c>
      <c r="J221" s="212" t="s">
        <v>553</v>
      </c>
      <c r="K221" s="212" t="s">
        <v>700</v>
      </c>
      <c r="L221" s="212">
        <v>216877</v>
      </c>
      <c r="M221" s="212" t="s">
        <v>958</v>
      </c>
      <c r="N221" s="212" t="s">
        <v>959</v>
      </c>
      <c r="O221" s="221">
        <v>96.637</v>
      </c>
      <c r="P221" s="221">
        <v>25.806999999999999</v>
      </c>
      <c r="Q221" s="233"/>
      <c r="R221" s="292"/>
      <c r="S221" s="292"/>
      <c r="T221" s="222" t="str">
        <f>IF(CampList[[#This Row],[HH]]&gt;0,CampList[[#This Row],[Total]]/CampList[[#This Row],[HH]],"NA")</f>
        <v>NA</v>
      </c>
      <c r="U221" s="214" t="s">
        <v>464</v>
      </c>
      <c r="V221" s="214" t="s">
        <v>997</v>
      </c>
      <c r="W221" s="214" t="s">
        <v>507</v>
      </c>
      <c r="X221" s="214" t="s">
        <v>785</v>
      </c>
      <c r="Y221" s="331">
        <v>42019</v>
      </c>
      <c r="Z221" s="224" t="s">
        <v>424</v>
      </c>
      <c r="AA221" s="212" t="s">
        <v>775</v>
      </c>
      <c r="AB221" s="225">
        <v>42919</v>
      </c>
      <c r="AC221" s="226" t="s">
        <v>1280</v>
      </c>
      <c r="AD221" s="214" t="str">
        <f ca="1">IFERROR(OFFSET(DistanceToCamp[Nearest Town],MATCH(CampList[[#This Row],[CP_Pcode]],DistanceToCamp[CP_Pcode],0)-1,0,1,1),"")</f>
        <v>Hpakant Town</v>
      </c>
      <c r="AE221" s="227">
        <f ca="1">IFERROR(OFFSET(DistanceToCamp[distance],MATCH(CampList[[#This Row],[CP_Pcode]],DistanceToCamp[CP_Pcode],0)-1,0,1,1),"")</f>
        <v>10</v>
      </c>
      <c r="AF221" s="237">
        <f ca="1">IFERROR(INT(CampList[[#This Row],[Distance]]/5)+1,"")</f>
        <v>3</v>
      </c>
      <c r="AH221" s="649"/>
      <c r="AI221" s="649"/>
    </row>
    <row r="222" spans="2:35" s="199" customFormat="1" ht="15.75" customHeight="1" x14ac:dyDescent="0.25">
      <c r="B222" s="218" t="s">
        <v>460</v>
      </c>
      <c r="C222" s="212" t="s">
        <v>378</v>
      </c>
      <c r="D222" s="212" t="s">
        <v>478</v>
      </c>
      <c r="E222" s="212" t="s">
        <v>180</v>
      </c>
      <c r="F222" s="212" t="s">
        <v>479</v>
      </c>
      <c r="G222" s="212" t="s">
        <v>180</v>
      </c>
      <c r="H222" s="212" t="s">
        <v>504</v>
      </c>
      <c r="I222" s="212" t="s">
        <v>1009</v>
      </c>
      <c r="J222" s="212" t="s">
        <v>1113</v>
      </c>
      <c r="K222" s="212" t="s">
        <v>1114</v>
      </c>
      <c r="L222" s="212" t="s">
        <v>1115</v>
      </c>
      <c r="M222" s="212" t="s">
        <v>986</v>
      </c>
      <c r="N222" s="212" t="s">
        <v>988</v>
      </c>
      <c r="O222" s="221">
        <v>96.52534</v>
      </c>
      <c r="P222" s="221">
        <v>24.996279999999999</v>
      </c>
      <c r="Q222" s="233"/>
      <c r="R222" s="221">
        <v>27</v>
      </c>
      <c r="S222" s="233">
        <v>121</v>
      </c>
      <c r="T222" s="222">
        <f>IF(CampList[[#This Row],[HH]]&gt;0,CampList[[#This Row],[Total]]/CampList[[#This Row],[HH]],"NA")</f>
        <v>4.4814814814814818</v>
      </c>
      <c r="U222" s="214" t="s">
        <v>464</v>
      </c>
      <c r="V222" s="214" t="s">
        <v>997</v>
      </c>
      <c r="W222" s="244" t="s">
        <v>12</v>
      </c>
      <c r="X222" s="214" t="s">
        <v>742</v>
      </c>
      <c r="Y222" s="332">
        <v>41275</v>
      </c>
      <c r="Z222" s="224"/>
      <c r="AA222" s="212" t="s">
        <v>775</v>
      </c>
      <c r="AB222" s="225">
        <v>42849</v>
      </c>
      <c r="AC222" s="226" t="s">
        <v>1238</v>
      </c>
      <c r="AD222" s="214" t="str">
        <f ca="1">IFERROR(OFFSET(DistanceToCamp[Nearest Town],MATCH(CampList[[#This Row],[CP_Pcode]],DistanceToCamp[CP_Pcode],0)-1,0,1,1),"")</f>
        <v>Hopin Town</v>
      </c>
      <c r="AE222" s="227">
        <f ca="1">IFERROR(OFFSET(DistanceToCamp[distance],MATCH(CampList[[#This Row],[CP_Pcode]],DistanceToCamp[CP_Pcode],0)-1,0,1,1),"")</f>
        <v>0</v>
      </c>
      <c r="AF222" s="228">
        <f ca="1">IFERROR(INT(CampList[[#This Row],[Distance]]/5)+1,"")</f>
        <v>1</v>
      </c>
      <c r="AH222" s="649"/>
      <c r="AI222" s="649"/>
    </row>
    <row r="223" spans="2:35" s="199" customFormat="1" ht="15.75" customHeight="1" x14ac:dyDescent="0.25">
      <c r="B223" s="218" t="s">
        <v>460</v>
      </c>
      <c r="C223" s="212" t="s">
        <v>378</v>
      </c>
      <c r="D223" s="212" t="s">
        <v>478</v>
      </c>
      <c r="E223" s="212" t="s">
        <v>180</v>
      </c>
      <c r="F223" s="212" t="s">
        <v>479</v>
      </c>
      <c r="G223" s="212" t="s">
        <v>180</v>
      </c>
      <c r="H223" s="212" t="s">
        <v>504</v>
      </c>
      <c r="I223" s="212" t="s">
        <v>962</v>
      </c>
      <c r="J223" s="212" t="s">
        <v>1040</v>
      </c>
      <c r="K223" s="212"/>
      <c r="L223" s="212"/>
      <c r="M223" s="212" t="s">
        <v>987</v>
      </c>
      <c r="N223" s="212" t="s">
        <v>989</v>
      </c>
      <c r="O223" s="221">
        <v>96.366919999999993</v>
      </c>
      <c r="P223" s="221">
        <v>24.764959999999999</v>
      </c>
      <c r="Q223" s="233"/>
      <c r="R223" s="221">
        <v>14</v>
      </c>
      <c r="S223" s="233">
        <v>63</v>
      </c>
      <c r="T223" s="222">
        <f>IF(CampList[[#This Row],[HH]]&gt;0,CampList[[#This Row],[Total]]/CampList[[#This Row],[HH]],"NA")</f>
        <v>4.5</v>
      </c>
      <c r="U223" s="214" t="s">
        <v>464</v>
      </c>
      <c r="V223" s="214" t="s">
        <v>997</v>
      </c>
      <c r="W223" s="244" t="s">
        <v>12</v>
      </c>
      <c r="X223" s="214" t="s">
        <v>742</v>
      </c>
      <c r="Y223" s="332">
        <v>41275</v>
      </c>
      <c r="Z223" s="224"/>
      <c r="AA223" s="212" t="s">
        <v>775</v>
      </c>
      <c r="AB223" s="225">
        <v>42849</v>
      </c>
      <c r="AC223" s="226" t="s">
        <v>1239</v>
      </c>
      <c r="AD223" s="214" t="str">
        <f ca="1">IFERROR(OFFSET(DistanceToCamp[Nearest Town],MATCH(CampList[[#This Row],[CP_Pcode]],DistanceToCamp[CP_Pcode],0)-1,0,1,1),"")</f>
        <v>Mohnyin Town</v>
      </c>
      <c r="AE223" s="227">
        <f ca="1">IFERROR(OFFSET(DistanceToCamp[distance],MATCH(CampList[[#This Row],[CP_Pcode]],DistanceToCamp[CP_Pcode],0)-1,0,1,1),"")</f>
        <v>0</v>
      </c>
      <c r="AF223" s="228">
        <f ca="1">IFERROR(INT(CampList[[#This Row],[Distance]]/5)+1,"")</f>
        <v>1</v>
      </c>
      <c r="AH223" s="649"/>
      <c r="AI223" s="649"/>
    </row>
    <row r="224" spans="2:35" s="199" customFormat="1" ht="15.75" customHeight="1" x14ac:dyDescent="0.25">
      <c r="B224" s="218" t="s">
        <v>460</v>
      </c>
      <c r="C224" s="212" t="s">
        <v>506</v>
      </c>
      <c r="D224" s="212" t="s">
        <v>489</v>
      </c>
      <c r="E224" s="212" t="s">
        <v>230</v>
      </c>
      <c r="F224" s="212" t="s">
        <v>490</v>
      </c>
      <c r="G224" s="212" t="s">
        <v>146</v>
      </c>
      <c r="H224" s="212" t="s">
        <v>497</v>
      </c>
      <c r="I224" s="212" t="s">
        <v>725</v>
      </c>
      <c r="J224" s="212" t="s">
        <v>726</v>
      </c>
      <c r="K224" s="230" t="s">
        <v>727</v>
      </c>
      <c r="L224" s="213">
        <v>219842</v>
      </c>
      <c r="M224" s="212" t="s">
        <v>369</v>
      </c>
      <c r="N224" s="212" t="s">
        <v>147</v>
      </c>
      <c r="O224" s="219">
        <v>98.220614999999995</v>
      </c>
      <c r="P224" s="219">
        <v>23.400155999999999</v>
      </c>
      <c r="Q224" s="220">
        <v>3109</v>
      </c>
      <c r="R224" s="292">
        <v>42</v>
      </c>
      <c r="S224" s="292">
        <v>234</v>
      </c>
      <c r="T224" s="222">
        <f>IF(CampList[[#This Row],[HH]]&gt;0,CampList[[#This Row],[Total]]/CampList[[#This Row],[HH]],"NA")</f>
        <v>5.5714285714285712</v>
      </c>
      <c r="U224" s="214" t="s">
        <v>464</v>
      </c>
      <c r="V224" s="214" t="s">
        <v>997</v>
      </c>
      <c r="W224" s="214" t="s">
        <v>507</v>
      </c>
      <c r="X224" s="214" t="s">
        <v>785</v>
      </c>
      <c r="Y224" s="223">
        <v>40787</v>
      </c>
      <c r="Z224" s="223" t="s">
        <v>424</v>
      </c>
      <c r="AA224" s="239" t="s">
        <v>775</v>
      </c>
      <c r="AB224" s="225">
        <v>43220</v>
      </c>
      <c r="AC224" s="218" t="s">
        <v>1751</v>
      </c>
      <c r="AD224" s="214" t="str">
        <f ca="1">IFERROR(OFFSET(DistanceToCamp[Nearest Town],MATCH(CampList[[#This Row],[CP_Pcode]],DistanceToCamp[CP_Pcode],0)-1,0,1,1),"")</f>
        <v>Tarmoenye Town</v>
      </c>
      <c r="AE224" s="227">
        <f ca="1">IFERROR(OFFSET(DistanceToCamp[distance],MATCH(CampList[[#This Row],[CP_Pcode]],DistanceToCamp[CP_Pcode],0)-1,0,1,1),"")</f>
        <v>23.172399462804503</v>
      </c>
      <c r="AF224" s="228">
        <f ca="1">IFERROR(INT(CampList[[#This Row],[Distance]]/5)+1,"")</f>
        <v>5</v>
      </c>
      <c r="AH224" s="649"/>
      <c r="AI224" s="649"/>
    </row>
    <row r="225" spans="2:35" s="199" customFormat="1" ht="15.75" hidden="1" customHeight="1" x14ac:dyDescent="0.25">
      <c r="B225" s="218" t="s">
        <v>776</v>
      </c>
      <c r="C225" s="212" t="s">
        <v>378</v>
      </c>
      <c r="D225" s="212" t="s">
        <v>478</v>
      </c>
      <c r="E225" s="212" t="s">
        <v>180</v>
      </c>
      <c r="F225" s="212" t="s">
        <v>479</v>
      </c>
      <c r="G225" s="212" t="s">
        <v>173</v>
      </c>
      <c r="H225" s="212" t="s">
        <v>498</v>
      </c>
      <c r="I225" s="212" t="s">
        <v>1060</v>
      </c>
      <c r="J225" s="212" t="s">
        <v>1061</v>
      </c>
      <c r="K225" s="212" t="s">
        <v>1060</v>
      </c>
      <c r="L225" s="240">
        <v>166724</v>
      </c>
      <c r="M225" s="212" t="s">
        <v>1065</v>
      </c>
      <c r="N225" s="212" t="s">
        <v>1057</v>
      </c>
      <c r="O225" s="219">
        <v>96.793999999999997</v>
      </c>
      <c r="P225" s="219">
        <v>25.225000000000001</v>
      </c>
      <c r="Q225" s="233"/>
      <c r="R225" s="221"/>
      <c r="S225" s="233"/>
      <c r="T225" s="222" t="str">
        <f>IF(CampList[[#This Row],[HH]]&gt;0,CampList[[#This Row],[Total]]/CampList[[#This Row],[HH]],"NA")</f>
        <v>NA</v>
      </c>
      <c r="U225" s="214" t="s">
        <v>464</v>
      </c>
      <c r="V225" s="214" t="s">
        <v>997</v>
      </c>
      <c r="W225" s="214" t="s">
        <v>12</v>
      </c>
      <c r="X225" s="214" t="s">
        <v>785</v>
      </c>
      <c r="Y225" s="332">
        <v>42125</v>
      </c>
      <c r="Z225" s="224"/>
      <c r="AA225" s="239" t="s">
        <v>774</v>
      </c>
      <c r="AB225" s="225">
        <v>42927</v>
      </c>
      <c r="AC225" s="226" t="s">
        <v>1296</v>
      </c>
      <c r="AD225" s="214" t="str">
        <f ca="1">IFERROR(OFFSET(DistanceToCamp[Nearest Town],MATCH(CampList[[#This Row],[CP_Pcode]],DistanceToCamp[CP_Pcode],0)-1,0,1,1),"")</f>
        <v>Mogaung Town</v>
      </c>
      <c r="AE225" s="227">
        <f ca="1">IFERROR(OFFSET(DistanceToCamp[distance],MATCH(CampList[[#This Row],[CP_Pcode]],DistanceToCamp[CP_Pcode],0)-1,0,1,1),"")</f>
        <v>5</v>
      </c>
      <c r="AF225" s="228">
        <f ca="1">IFERROR(INT(CampList[[#This Row],[Distance]]/5)+1,"")</f>
        <v>2</v>
      </c>
      <c r="AH225" s="649"/>
      <c r="AI225" s="649"/>
    </row>
    <row r="226" spans="2:35" s="199" customFormat="1" ht="15.75" customHeight="1" x14ac:dyDescent="0.25">
      <c r="B226" s="218" t="s">
        <v>460</v>
      </c>
      <c r="C226" s="212" t="s">
        <v>506</v>
      </c>
      <c r="D226" s="212" t="s">
        <v>489</v>
      </c>
      <c r="E226" s="212" t="s">
        <v>230</v>
      </c>
      <c r="F226" s="212" t="s">
        <v>490</v>
      </c>
      <c r="G226" s="212" t="s">
        <v>146</v>
      </c>
      <c r="H226" s="212" t="s">
        <v>497</v>
      </c>
      <c r="I226" s="240" t="s">
        <v>663</v>
      </c>
      <c r="J226" s="212" t="s">
        <v>1043</v>
      </c>
      <c r="K226" s="240" t="s">
        <v>664</v>
      </c>
      <c r="L226" s="253">
        <v>208696</v>
      </c>
      <c r="M226" s="212" t="s">
        <v>149</v>
      </c>
      <c r="N226" s="212" t="s">
        <v>148</v>
      </c>
      <c r="O226" s="219">
        <v>97.818979999999996</v>
      </c>
      <c r="P226" s="219">
        <v>23.694130000000001</v>
      </c>
      <c r="Q226" s="220">
        <v>1135.7</v>
      </c>
      <c r="R226" s="292">
        <v>58</v>
      </c>
      <c r="S226" s="292">
        <v>273</v>
      </c>
      <c r="T226" s="222">
        <f>IF(CampList[[#This Row],[HH]]&gt;0,CampList[[#This Row],[Total]]/CampList[[#This Row],[HH]],"NA")</f>
        <v>4.7068965517241379</v>
      </c>
      <c r="U226" s="214" t="s">
        <v>464</v>
      </c>
      <c r="V226" s="214" t="s">
        <v>997</v>
      </c>
      <c r="W226" s="214" t="s">
        <v>507</v>
      </c>
      <c r="X226" s="214" t="s">
        <v>785</v>
      </c>
      <c r="Y226" s="223">
        <v>40878</v>
      </c>
      <c r="Z226" s="223" t="s">
        <v>424</v>
      </c>
      <c r="AA226" s="239" t="s">
        <v>775</v>
      </c>
      <c r="AB226" s="225">
        <v>43220</v>
      </c>
      <c r="AC226" s="218" t="s">
        <v>1752</v>
      </c>
      <c r="AD226" s="214" t="str">
        <f ca="1">IFERROR(OFFSET(DistanceToCamp[Nearest Town],MATCH(CampList[[#This Row],[CP_Pcode]],DistanceToCamp[CP_Pcode],0)-1,0,1,1),"")</f>
        <v>Namhkan Town</v>
      </c>
      <c r="AE226" s="227">
        <f ca="1">IFERROR(OFFSET(DistanceToCamp[distance],MATCH(CampList[[#This Row],[CP_Pcode]],DistanceToCamp[CP_Pcode],0)-1,0,1,1),"")</f>
        <v>21.148671772283631</v>
      </c>
      <c r="AF226" s="228">
        <f ca="1">IFERROR(INT(CampList[[#This Row],[Distance]]/5)+1,"")</f>
        <v>5</v>
      </c>
      <c r="AH226" s="649"/>
      <c r="AI226" s="649"/>
    </row>
    <row r="227" spans="2:35" s="199" customFormat="1" ht="15.75" hidden="1" customHeight="1" x14ac:dyDescent="0.25">
      <c r="B227" s="231" t="s">
        <v>776</v>
      </c>
      <c r="C227" s="213" t="s">
        <v>378</v>
      </c>
      <c r="D227" s="212" t="s">
        <v>478</v>
      </c>
      <c r="E227" s="212" t="s">
        <v>180</v>
      </c>
      <c r="F227" s="212" t="s">
        <v>479</v>
      </c>
      <c r="G227" s="213" t="s">
        <v>173</v>
      </c>
      <c r="H227" s="213" t="s">
        <v>498</v>
      </c>
      <c r="I227" s="213" t="s">
        <v>572</v>
      </c>
      <c r="J227" s="232" t="s">
        <v>573</v>
      </c>
      <c r="K227" s="213" t="s">
        <v>574</v>
      </c>
      <c r="L227" s="213">
        <v>166676</v>
      </c>
      <c r="M227" s="213" t="s">
        <v>1056</v>
      </c>
      <c r="N227" s="213" t="s">
        <v>1059</v>
      </c>
      <c r="O227" s="221">
        <v>96.942279999999997</v>
      </c>
      <c r="P227" s="221">
        <v>25.299679999999999</v>
      </c>
      <c r="Q227" s="233"/>
      <c r="R227" s="221">
        <v>6</v>
      </c>
      <c r="S227" s="233">
        <v>31</v>
      </c>
      <c r="T227" s="222">
        <f>IF(CampList[[#This Row],[HH]]&gt;0,CampList[[#This Row],[Total]]/CampList[[#This Row],[HH]],"NA")</f>
        <v>5.166666666666667</v>
      </c>
      <c r="U227" s="197" t="s">
        <v>464</v>
      </c>
      <c r="V227" s="214" t="s">
        <v>997</v>
      </c>
      <c r="W227" s="214" t="s">
        <v>1399</v>
      </c>
      <c r="X227" s="197" t="s">
        <v>742</v>
      </c>
      <c r="Y227" s="332">
        <v>42125</v>
      </c>
      <c r="Z227" s="233"/>
      <c r="AA227" s="213" t="s">
        <v>775</v>
      </c>
      <c r="AB227" s="225">
        <v>42915</v>
      </c>
      <c r="AC227" s="235" t="s">
        <v>1806</v>
      </c>
      <c r="AD227" s="214" t="str">
        <f ca="1">IFERROR(OFFSET(DistanceToCamp[Nearest Town],MATCH(CampList[[#This Row],[CP_Pcode]],DistanceToCamp[CP_Pcode],0)-1,0,1,1),"")</f>
        <v>Mogaung Town</v>
      </c>
      <c r="AE227" s="227">
        <f ca="1">IFERROR(OFFSET(DistanceToCamp[distance],MATCH(CampList[[#This Row],[CP_Pcode]],DistanceToCamp[CP_Pcode],0)-1,0,1,1),"")</f>
        <v>0.75</v>
      </c>
      <c r="AF227" s="228">
        <f ca="1">IFERROR(INT(CampList[[#This Row],[Distance]]/5)+1,"")</f>
        <v>1</v>
      </c>
      <c r="AH227" s="649"/>
      <c r="AI227" s="649"/>
    </row>
    <row r="228" spans="2:35" s="199" customFormat="1" ht="15.75" customHeight="1" x14ac:dyDescent="0.25">
      <c r="B228" s="218" t="s">
        <v>460</v>
      </c>
      <c r="C228" s="212" t="s">
        <v>506</v>
      </c>
      <c r="D228" s="212" t="s">
        <v>489</v>
      </c>
      <c r="E228" s="212" t="s">
        <v>494</v>
      </c>
      <c r="F228" s="212" t="s">
        <v>495</v>
      </c>
      <c r="G228" s="212" t="s">
        <v>166</v>
      </c>
      <c r="H228" s="212" t="s">
        <v>496</v>
      </c>
      <c r="I228" s="240" t="s">
        <v>742</v>
      </c>
      <c r="J228" s="254" t="s">
        <v>965</v>
      </c>
      <c r="K228" s="213" t="s">
        <v>656</v>
      </c>
      <c r="L228" s="213" t="s">
        <v>1106</v>
      </c>
      <c r="M228" s="212" t="s">
        <v>167</v>
      </c>
      <c r="N228" s="212" t="s">
        <v>165</v>
      </c>
      <c r="O228" s="219">
        <v>97.124403000000001</v>
      </c>
      <c r="P228" s="219">
        <v>23.250678000000001</v>
      </c>
      <c r="Q228" s="220">
        <v>1250</v>
      </c>
      <c r="R228" s="292">
        <v>33</v>
      </c>
      <c r="S228" s="292">
        <v>182</v>
      </c>
      <c r="T228" s="222">
        <f>IF(CampList[[#This Row],[HH]]&gt;0,CampList[[#This Row],[Total]]/CampList[[#This Row],[HH]],"NA")</f>
        <v>5.5151515151515156</v>
      </c>
      <c r="U228" s="214" t="s">
        <v>464</v>
      </c>
      <c r="V228" s="214" t="s">
        <v>997</v>
      </c>
      <c r="W228" s="214" t="s">
        <v>507</v>
      </c>
      <c r="X228" s="214" t="s">
        <v>742</v>
      </c>
      <c r="Y228" s="223">
        <v>41000</v>
      </c>
      <c r="Z228" s="223" t="s">
        <v>424</v>
      </c>
      <c r="AA228" s="239" t="s">
        <v>775</v>
      </c>
      <c r="AB228" s="225">
        <v>43220</v>
      </c>
      <c r="AC228" s="218" t="s">
        <v>1753</v>
      </c>
      <c r="AD228" s="214" t="str">
        <f ca="1">IFERROR(OFFSET(DistanceToCamp[Nearest Town],MATCH(CampList[[#This Row],[CP_Pcode]],DistanceToCamp[CP_Pcode],0)-1,0,1,1),"")</f>
        <v>Manton Town</v>
      </c>
      <c r="AE228" s="227">
        <f ca="1">IFERROR(OFFSET(DistanceToCamp[distance],MATCH(CampList[[#This Row],[CP_Pcode]],DistanceToCamp[CP_Pcode],0)-1,0,1,1),"")</f>
        <v>0.43878855438285824</v>
      </c>
      <c r="AF228" s="228">
        <f ca="1">IFERROR(INT(CampList[[#This Row],[Distance]]/5)+1,"")</f>
        <v>1</v>
      </c>
      <c r="AH228" s="649"/>
      <c r="AI228" s="649"/>
    </row>
    <row r="229" spans="2:35" s="199" customFormat="1" ht="15.75" hidden="1" customHeight="1" x14ac:dyDescent="0.25">
      <c r="B229" s="218" t="s">
        <v>776</v>
      </c>
      <c r="C229" s="212" t="s">
        <v>506</v>
      </c>
      <c r="D229" s="212" t="s">
        <v>489</v>
      </c>
      <c r="E229" s="212" t="s">
        <v>230</v>
      </c>
      <c r="F229" s="212" t="s">
        <v>490</v>
      </c>
      <c r="G229" s="212" t="s">
        <v>230</v>
      </c>
      <c r="H229" s="212" t="s">
        <v>491</v>
      </c>
      <c r="I229" s="212" t="s">
        <v>883</v>
      </c>
      <c r="J229" s="212" t="s">
        <v>882</v>
      </c>
      <c r="K229" s="212" t="s">
        <v>884</v>
      </c>
      <c r="L229" s="232">
        <v>208182</v>
      </c>
      <c r="M229" s="212" t="s">
        <v>359</v>
      </c>
      <c r="N229" s="212" t="s">
        <v>772</v>
      </c>
      <c r="O229" s="219">
        <v>98.139397000000002</v>
      </c>
      <c r="P229" s="219">
        <v>23.933098999999999</v>
      </c>
      <c r="Q229" s="220">
        <v>0</v>
      </c>
      <c r="R229" s="329">
        <v>9</v>
      </c>
      <c r="S229" s="330">
        <v>44</v>
      </c>
      <c r="T229" s="222">
        <f>IF(CampList[[#This Row],[HH]]&gt;0,CampList[[#This Row],[Total]]/CampList[[#This Row],[HH]],"NA")</f>
        <v>4.8888888888888893</v>
      </c>
      <c r="U229" s="214" t="s">
        <v>466</v>
      </c>
      <c r="V229" s="214" t="s">
        <v>997</v>
      </c>
      <c r="W229" s="214" t="s">
        <v>1399</v>
      </c>
      <c r="X229" s="214" t="s">
        <v>785</v>
      </c>
      <c r="Y229" s="223">
        <v>40787</v>
      </c>
      <c r="Z229" s="223"/>
      <c r="AA229" s="239" t="s">
        <v>775</v>
      </c>
      <c r="AB229" s="225">
        <v>42888</v>
      </c>
      <c r="AC229" s="218" t="s">
        <v>1554</v>
      </c>
      <c r="AD229" s="214" t="str">
        <f ca="1">IFERROR(OFFSET(DistanceToCamp[Nearest Town],MATCH(CampList[[#This Row],[CP_Pcode]],DistanceToCamp[CP_Pcode],0)-1,0,1,1),"")</f>
        <v/>
      </c>
      <c r="AE229" s="227" t="str">
        <f ca="1">IFERROR(OFFSET(DistanceToCamp[distance],MATCH(CampList[[#This Row],[CP_Pcode]],DistanceToCamp[CP_Pcode],0)-1,0,1,1),"")</f>
        <v/>
      </c>
      <c r="AF229" s="228" t="str">
        <f ca="1">IFERROR(INT(CampList[[#This Row],[Distance]]/5)+1,"")</f>
        <v/>
      </c>
      <c r="AH229" s="649"/>
      <c r="AI229" s="649"/>
    </row>
    <row r="230" spans="2:35" s="199" customFormat="1" ht="15.75" customHeight="1" x14ac:dyDescent="0.25">
      <c r="B230" s="218" t="s">
        <v>460</v>
      </c>
      <c r="C230" s="212" t="s">
        <v>506</v>
      </c>
      <c r="D230" s="212" t="s">
        <v>489</v>
      </c>
      <c r="E230" s="212" t="s">
        <v>494</v>
      </c>
      <c r="F230" s="212" t="s">
        <v>495</v>
      </c>
      <c r="G230" s="212" t="s">
        <v>297</v>
      </c>
      <c r="H230" s="212" t="s">
        <v>503</v>
      </c>
      <c r="I230" s="240" t="s">
        <v>756</v>
      </c>
      <c r="J230" s="212" t="s">
        <v>757</v>
      </c>
      <c r="K230" s="240" t="s">
        <v>758</v>
      </c>
      <c r="L230" s="240" t="s">
        <v>759</v>
      </c>
      <c r="M230" s="212" t="s">
        <v>760</v>
      </c>
      <c r="N230" s="212" t="s">
        <v>296</v>
      </c>
      <c r="O230" s="219">
        <v>97.404089999999997</v>
      </c>
      <c r="P230" s="219">
        <v>23.094290000000001</v>
      </c>
      <c r="Q230" s="220">
        <v>534.29999999999995</v>
      </c>
      <c r="R230" s="292">
        <v>41</v>
      </c>
      <c r="S230" s="292">
        <v>179</v>
      </c>
      <c r="T230" s="222">
        <f>IF(CampList[[#This Row],[HH]]&gt;0,CampList[[#This Row],[Total]]/CampList[[#This Row],[HH]],"NA")</f>
        <v>4.3658536585365857</v>
      </c>
      <c r="U230" s="214" t="s">
        <v>464</v>
      </c>
      <c r="V230" s="214" t="s">
        <v>997</v>
      </c>
      <c r="W230" s="214" t="s">
        <v>507</v>
      </c>
      <c r="X230" s="214" t="s">
        <v>742</v>
      </c>
      <c r="Y230" s="223">
        <v>41000</v>
      </c>
      <c r="Z230" s="223" t="s">
        <v>424</v>
      </c>
      <c r="AA230" s="239" t="s">
        <v>775</v>
      </c>
      <c r="AB230" s="225">
        <v>43220</v>
      </c>
      <c r="AC230" s="218" t="s">
        <v>1754</v>
      </c>
      <c r="AD230" s="214" t="str">
        <f ca="1">IFERROR(OFFSET(DistanceToCamp[Nearest Town],MATCH(CampList[[#This Row],[CP_Pcode]],DistanceToCamp[CP_Pcode],0)-1,0,1,1),"")</f>
        <v>Namtu Town</v>
      </c>
      <c r="AE230" s="227">
        <f ca="1">IFERROR(OFFSET(DistanceToCamp[distance],MATCH(CampList[[#This Row],[CP_Pcode]],DistanceToCamp[CP_Pcode],0)-1,0,1,1),"")</f>
        <v>0.37588352961435612</v>
      </c>
      <c r="AF230" s="228">
        <f ca="1">IFERROR(INT(CampList[[#This Row],[Distance]]/5)+1,"")</f>
        <v>1</v>
      </c>
      <c r="AH230" s="649"/>
      <c r="AI230" s="649"/>
    </row>
    <row r="231" spans="2:35" s="199" customFormat="1" ht="15.75" customHeight="1" x14ac:dyDescent="0.25">
      <c r="B231" s="218" t="s">
        <v>460</v>
      </c>
      <c r="C231" s="212" t="s">
        <v>506</v>
      </c>
      <c r="D231" s="212" t="s">
        <v>489</v>
      </c>
      <c r="E231" s="212" t="s">
        <v>717</v>
      </c>
      <c r="F231" s="212" t="s">
        <v>718</v>
      </c>
      <c r="G231" s="212" t="s">
        <v>719</v>
      </c>
      <c r="H231" s="212" t="s">
        <v>720</v>
      </c>
      <c r="I231" s="212" t="s">
        <v>721</v>
      </c>
      <c r="J231" s="212" t="s">
        <v>722</v>
      </c>
      <c r="K231" s="212" t="s">
        <v>721</v>
      </c>
      <c r="L231" s="212">
        <v>206422</v>
      </c>
      <c r="M231" s="212" t="s">
        <v>535</v>
      </c>
      <c r="N231" s="212" t="s">
        <v>773</v>
      </c>
      <c r="O231" s="219">
        <v>98.352670000000003</v>
      </c>
      <c r="P231" s="219">
        <v>23.372409999999999</v>
      </c>
      <c r="Q231" s="220">
        <v>617.6</v>
      </c>
      <c r="R231" s="220">
        <v>67</v>
      </c>
      <c r="S231" s="233">
        <v>392</v>
      </c>
      <c r="T231" s="222">
        <f>IF(CampList[[#This Row],[HH]]&gt;0,CampList[[#This Row],[Total]]/CampList[[#This Row],[HH]],"NA")</f>
        <v>5.8507462686567164</v>
      </c>
      <c r="U231" s="214" t="s">
        <v>466</v>
      </c>
      <c r="V231" s="214" t="s">
        <v>997</v>
      </c>
      <c r="W231" s="214" t="s">
        <v>12</v>
      </c>
      <c r="X231" s="214" t="s">
        <v>785</v>
      </c>
      <c r="Y231" s="223">
        <v>41365</v>
      </c>
      <c r="Z231" s="223"/>
      <c r="AA231" s="212" t="s">
        <v>775</v>
      </c>
      <c r="AB231" s="225">
        <v>41699</v>
      </c>
      <c r="AC231" s="226" t="s">
        <v>1562</v>
      </c>
      <c r="AD231" s="214" t="str">
        <f ca="1">IFERROR(OFFSET(DistanceToCamp[Nearest Town],MATCH(CampList[[#This Row],[CP_Pcode]],DistanceToCamp[CP_Pcode],0)-1,0,1,1),"")</f>
        <v>Kunlong Town</v>
      </c>
      <c r="AE231" s="227">
        <f ca="1">IFERROR(OFFSET(DistanceToCamp[distance],MATCH(CampList[[#This Row],[CP_Pcode]],DistanceToCamp[CP_Pcode],0)-1,0,1,1),"")</f>
        <v>30.037709702375544</v>
      </c>
      <c r="AF231" s="228">
        <f ca="1">IFERROR(INT(CampList[[#This Row],[Distance]]/5)+1,"")</f>
        <v>7</v>
      </c>
      <c r="AH231" s="649"/>
      <c r="AI231" s="649"/>
    </row>
    <row r="232" spans="2:35" s="199" customFormat="1" ht="15.75" hidden="1" customHeight="1" x14ac:dyDescent="0.25">
      <c r="B232" s="231" t="s">
        <v>776</v>
      </c>
      <c r="C232" s="212" t="s">
        <v>378</v>
      </c>
      <c r="D232" s="212" t="s">
        <v>478</v>
      </c>
      <c r="E232" s="212" t="s">
        <v>5</v>
      </c>
      <c r="F232" s="212" t="s">
        <v>482</v>
      </c>
      <c r="G232" s="256" t="s">
        <v>185</v>
      </c>
      <c r="H232" s="256" t="s">
        <v>486</v>
      </c>
      <c r="I232" s="256" t="s">
        <v>1011</v>
      </c>
      <c r="J232" s="256" t="s">
        <v>1081</v>
      </c>
      <c r="K232" s="213" t="s">
        <v>656</v>
      </c>
      <c r="L232" s="212" t="s">
        <v>1112</v>
      </c>
      <c r="M232" s="212" t="s">
        <v>1082</v>
      </c>
      <c r="N232" s="212" t="s">
        <v>1083</v>
      </c>
      <c r="O232" s="257">
        <v>97.461271999999994</v>
      </c>
      <c r="P232" s="257">
        <v>24.613976000000001</v>
      </c>
      <c r="Q232" s="233"/>
      <c r="R232" s="220"/>
      <c r="S232" s="233"/>
      <c r="T232" s="222" t="str">
        <f>IF(CampList[[#This Row],[HH]]&gt;0,CampList[[#This Row],[Total]]/CampList[[#This Row],[HH]],"NA")</f>
        <v>NA</v>
      </c>
      <c r="U232" s="214" t="s">
        <v>464</v>
      </c>
      <c r="V232" s="214" t="s">
        <v>997</v>
      </c>
      <c r="W232" s="214" t="s">
        <v>851</v>
      </c>
      <c r="X232" s="214" t="s">
        <v>785</v>
      </c>
      <c r="Y232" s="331"/>
      <c r="Z232" s="223"/>
      <c r="AA232" s="212" t="s">
        <v>1170</v>
      </c>
      <c r="AB232" s="225">
        <v>42927</v>
      </c>
      <c r="AC232" s="226" t="s">
        <v>1292</v>
      </c>
      <c r="AD232" s="214" t="str">
        <f ca="1">IFERROR(OFFSET(DistanceToCamp[Nearest Town],MATCH(CampList[[#This Row],[CP_Pcode]],DistanceToCamp[CP_Pcode],0)-1,0,1,1),"")</f>
        <v>Dawthponeyan  Town</v>
      </c>
      <c r="AE232" s="227">
        <f ca="1">IFERROR(OFFSET(DistanceToCamp[distance],MATCH(CampList[[#This Row],[CP_Pcode]],DistanceToCamp[CP_Pcode],0)-1,0,1,1),"")</f>
        <v>0</v>
      </c>
      <c r="AF232" s="228">
        <f ca="1">IFERROR(INT(CampList[[#This Row],[Distance]]/5)+1,"")</f>
        <v>1</v>
      </c>
      <c r="AH232" s="649"/>
      <c r="AI232" s="649"/>
    </row>
    <row r="233" spans="2:35" s="199" customFormat="1" ht="16.149999999999999" customHeight="1" x14ac:dyDescent="0.25">
      <c r="B233" s="231" t="s">
        <v>460</v>
      </c>
      <c r="C233" s="213" t="s">
        <v>506</v>
      </c>
      <c r="D233" s="213" t="s">
        <v>489</v>
      </c>
      <c r="E233" s="213" t="s">
        <v>494</v>
      </c>
      <c r="F233" s="213" t="s">
        <v>495</v>
      </c>
      <c r="G233" s="213" t="s">
        <v>166</v>
      </c>
      <c r="H233" s="213" t="s">
        <v>496</v>
      </c>
      <c r="I233" s="213" t="s">
        <v>742</v>
      </c>
      <c r="J233" s="232" t="s">
        <v>965</v>
      </c>
      <c r="K233" s="213" t="s">
        <v>656</v>
      </c>
      <c r="L233" s="213" t="s">
        <v>1106</v>
      </c>
      <c r="M233" s="213" t="s">
        <v>761</v>
      </c>
      <c r="N233" s="213" t="s">
        <v>762</v>
      </c>
      <c r="O233" s="221">
        <v>97.116680000000002</v>
      </c>
      <c r="P233" s="221">
        <v>23.24661</v>
      </c>
      <c r="Q233" s="233">
        <v>87.3</v>
      </c>
      <c r="R233" s="221">
        <v>29</v>
      </c>
      <c r="S233" s="233">
        <v>171</v>
      </c>
      <c r="T233" s="222">
        <f>IF(CampList[[#This Row],[HH]]&gt;0,CampList[[#This Row],[Total]]/CampList[[#This Row],[HH]],"NA")</f>
        <v>5.8965517241379306</v>
      </c>
      <c r="U233" s="197" t="s">
        <v>464</v>
      </c>
      <c r="V233" s="214" t="s">
        <v>997</v>
      </c>
      <c r="W233" s="197" t="s">
        <v>507</v>
      </c>
      <c r="X233" s="197" t="s">
        <v>742</v>
      </c>
      <c r="Y233" s="234">
        <v>41030</v>
      </c>
      <c r="Z233" s="233" t="s">
        <v>1050</v>
      </c>
      <c r="AA233" s="213" t="s">
        <v>775</v>
      </c>
      <c r="AB233" s="566">
        <v>43220</v>
      </c>
      <c r="AC233" s="235" t="s">
        <v>1766</v>
      </c>
      <c r="AD233" s="236" t="str">
        <f ca="1">IFERROR(OFFSET(DistanceToCamp[Nearest Town],MATCH(CampList[[#This Row],[CP_Pcode]],DistanceToCamp[CP_Pcode],0)-1,0,1,1),"")</f>
        <v>Manton Town</v>
      </c>
      <c r="AE233" s="227">
        <f ca="1">IFERROR(OFFSET(DistanceToCamp[distance],MATCH(CampList[[#This Row],[CP_Pcode]],DistanceToCamp[CP_Pcode],0)-1,0,1,1),"")</f>
        <v>0.71762888500316424</v>
      </c>
      <c r="AF233" s="237">
        <f ca="1">IFERROR(INT(CampList[[#This Row],[Distance]]/5)+1,"")</f>
        <v>1</v>
      </c>
      <c r="AH233" s="649"/>
      <c r="AI233" s="649"/>
    </row>
    <row r="234" spans="2:35" s="199" customFormat="1" ht="23.45" hidden="1" customHeight="1" x14ac:dyDescent="0.25">
      <c r="B234" s="218" t="s">
        <v>776</v>
      </c>
      <c r="C234" s="212" t="s">
        <v>506</v>
      </c>
      <c r="D234" s="212" t="s">
        <v>489</v>
      </c>
      <c r="E234" s="212" t="s">
        <v>494</v>
      </c>
      <c r="F234" s="212" t="s">
        <v>495</v>
      </c>
      <c r="G234" s="212" t="s">
        <v>297</v>
      </c>
      <c r="H234" s="212" t="s">
        <v>503</v>
      </c>
      <c r="I234" s="240" t="s">
        <v>756</v>
      </c>
      <c r="J234" s="212" t="s">
        <v>757</v>
      </c>
      <c r="K234" s="240" t="s">
        <v>758</v>
      </c>
      <c r="L234" s="240" t="s">
        <v>759</v>
      </c>
      <c r="M234" s="212" t="s">
        <v>534</v>
      </c>
      <c r="N234" s="212" t="s">
        <v>763</v>
      </c>
      <c r="O234" s="219">
        <v>97.398989</v>
      </c>
      <c r="P234" s="219">
        <v>23.088058</v>
      </c>
      <c r="Q234" s="220">
        <v>1948</v>
      </c>
      <c r="R234" s="329">
        <v>118</v>
      </c>
      <c r="S234" s="330">
        <v>520</v>
      </c>
      <c r="T234" s="222">
        <f>IF(CampList[[#This Row],[HH]]&gt;0,CampList[[#This Row],[Total]]/CampList[[#This Row],[HH]],"NA")</f>
        <v>4.406779661016949</v>
      </c>
      <c r="U234" s="214" t="s">
        <v>464</v>
      </c>
      <c r="V234" s="214" t="s">
        <v>997</v>
      </c>
      <c r="W234" s="214" t="s">
        <v>12</v>
      </c>
      <c r="X234" s="214" t="s">
        <v>742</v>
      </c>
      <c r="Y234" s="223"/>
      <c r="Z234" s="223"/>
      <c r="AA234" s="239" t="s">
        <v>775</v>
      </c>
      <c r="AB234" s="225">
        <v>41883</v>
      </c>
      <c r="AC234" s="218" t="s">
        <v>1406</v>
      </c>
      <c r="AD234" s="214" t="str">
        <f ca="1">IFERROR(OFFSET(DistanceToCamp[Nearest Town],MATCH(CampList[[#This Row],[CP_Pcode]],DistanceToCamp[CP_Pcode],0)-1,0,1,1),"")</f>
        <v>Namtu Town</v>
      </c>
      <c r="AE234" s="227">
        <f ca="1">IFERROR(OFFSET(DistanceToCamp[distance],MATCH(CampList[[#This Row],[CP_Pcode]],DistanceToCamp[CP_Pcode],0)-1,0,1,1),"")</f>
        <v>0.63626694856259092</v>
      </c>
      <c r="AF234" s="228">
        <f ca="1">IFERROR(INT(CampList[[#This Row],[Distance]]/5)+1,"")</f>
        <v>1</v>
      </c>
      <c r="AH234" s="649"/>
      <c r="AI234" s="649"/>
    </row>
    <row r="235" spans="2:35" s="199" customFormat="1" ht="15.75" hidden="1" customHeight="1" x14ac:dyDescent="0.25">
      <c r="B235" s="218" t="s">
        <v>776</v>
      </c>
      <c r="C235" s="212" t="s">
        <v>506</v>
      </c>
      <c r="D235" s="212" t="s">
        <v>489</v>
      </c>
      <c r="E235" s="212" t="s">
        <v>230</v>
      </c>
      <c r="F235" s="212" t="s">
        <v>490</v>
      </c>
      <c r="G235" s="212" t="s">
        <v>146</v>
      </c>
      <c r="H235" s="212" t="s">
        <v>497</v>
      </c>
      <c r="I235" s="212" t="s">
        <v>837</v>
      </c>
      <c r="J235" s="212"/>
      <c r="K235" s="212" t="s">
        <v>837</v>
      </c>
      <c r="L235" s="212"/>
      <c r="M235" s="212" t="s">
        <v>838</v>
      </c>
      <c r="N235" s="212" t="s">
        <v>839</v>
      </c>
      <c r="O235" s="221"/>
      <c r="P235" s="221"/>
      <c r="Q235" s="233"/>
      <c r="R235" s="302">
        <v>0</v>
      </c>
      <c r="S235" s="303">
        <v>0</v>
      </c>
      <c r="T235" s="222" t="str">
        <f>IF(CampList[[#This Row],[HH]]&gt;0,CampList[[#This Row],[Total]]/CampList[[#This Row],[HH]],"NA")</f>
        <v>NA</v>
      </c>
      <c r="U235" s="214" t="s">
        <v>466</v>
      </c>
      <c r="V235" s="214" t="s">
        <v>997</v>
      </c>
      <c r="W235" s="214" t="s">
        <v>507</v>
      </c>
      <c r="X235" s="214" t="s">
        <v>785</v>
      </c>
      <c r="Y235" s="234"/>
      <c r="Z235" s="224"/>
      <c r="AA235" s="212" t="s">
        <v>775</v>
      </c>
      <c r="AB235" s="225">
        <v>41289</v>
      </c>
      <c r="AC235" s="226" t="s">
        <v>843</v>
      </c>
      <c r="AD235" s="214" t="str">
        <f ca="1">IFERROR(OFFSET(DistanceToCamp[Nearest Town],MATCH(CampList[[#This Row],[CP_Pcode]],DistanceToCamp[CP_Pcode],0)-1,0,1,1),"")</f>
        <v/>
      </c>
      <c r="AE235" s="227" t="str">
        <f ca="1">IFERROR(OFFSET(DistanceToCamp[distance],MATCH(CampList[[#This Row],[CP_Pcode]],DistanceToCamp[CP_Pcode],0)-1,0,1,1),"")</f>
        <v/>
      </c>
      <c r="AF235" s="228" t="str">
        <f ca="1">IFERROR(INT(CampList[[#This Row],[Distance]]/5)+1,"")</f>
        <v/>
      </c>
      <c r="AH235" s="649"/>
      <c r="AI235" s="649"/>
    </row>
    <row r="236" spans="2:35" s="199" customFormat="1" ht="15.75" hidden="1" customHeight="1" x14ac:dyDescent="0.25">
      <c r="B236" s="218" t="s">
        <v>776</v>
      </c>
      <c r="C236" s="212" t="s">
        <v>378</v>
      </c>
      <c r="D236" s="212" t="s">
        <v>478</v>
      </c>
      <c r="E236" s="212" t="s">
        <v>5</v>
      </c>
      <c r="F236" s="212" t="s">
        <v>482</v>
      </c>
      <c r="G236" s="212" t="s">
        <v>151</v>
      </c>
      <c r="H236" s="212" t="s">
        <v>492</v>
      </c>
      <c r="I236" s="212" t="s">
        <v>566</v>
      </c>
      <c r="J236" s="212" t="s">
        <v>567</v>
      </c>
      <c r="K236" s="212" t="s">
        <v>566</v>
      </c>
      <c r="L236" s="212">
        <v>167495</v>
      </c>
      <c r="M236" s="212" t="s">
        <v>295</v>
      </c>
      <c r="N236" s="212" t="s">
        <v>1136</v>
      </c>
      <c r="O236" s="219">
        <v>97.174999999999997</v>
      </c>
      <c r="P236" s="219">
        <v>23.867000000000001</v>
      </c>
      <c r="Q236" s="233"/>
      <c r="R236" s="302"/>
      <c r="S236" s="303"/>
      <c r="T236" s="222" t="str">
        <f>IF(CampList[[#This Row],[HH]]&gt;0,CampList[[#This Row],[Total]]/CampList[[#This Row],[HH]],"NA")</f>
        <v>NA</v>
      </c>
      <c r="U236" s="214" t="s">
        <v>466</v>
      </c>
      <c r="V236" s="214" t="s">
        <v>997</v>
      </c>
      <c r="W236" s="214" t="s">
        <v>507</v>
      </c>
      <c r="X236" s="214"/>
      <c r="Y236" s="234"/>
      <c r="Z236" s="224"/>
      <c r="AA236" s="239"/>
      <c r="AB236" s="225">
        <v>41701</v>
      </c>
      <c r="AC236" s="218" t="s">
        <v>871</v>
      </c>
      <c r="AD236" s="214" t="str">
        <f ca="1">IFERROR(OFFSET(DistanceToCamp[Nearest Town],MATCH(CampList[[#This Row],[CP_Pcode]],DistanceToCamp[CP_Pcode],0)-1,0,1,1),"")</f>
        <v/>
      </c>
      <c r="AE236" s="227" t="str">
        <f ca="1">IFERROR(OFFSET(DistanceToCamp[distance],MATCH(CampList[[#This Row],[CP_Pcode]],DistanceToCamp[CP_Pcode],0)-1,0,1,1),"")</f>
        <v/>
      </c>
      <c r="AF236" s="228" t="str">
        <f ca="1">IFERROR(INT(CampList[[#This Row],[Distance]]/5)+1,"")</f>
        <v/>
      </c>
      <c r="AH236" s="649"/>
      <c r="AI236" s="649"/>
    </row>
    <row r="237" spans="2:35" s="199" customFormat="1" ht="15.75" hidden="1" customHeight="1" x14ac:dyDescent="0.25">
      <c r="B237" s="231" t="s">
        <v>776</v>
      </c>
      <c r="C237" s="212" t="s">
        <v>378</v>
      </c>
      <c r="D237" s="212" t="s">
        <v>478</v>
      </c>
      <c r="E237" s="213" t="s">
        <v>237</v>
      </c>
      <c r="F237" s="213" t="s">
        <v>484</v>
      </c>
      <c r="G237" s="213" t="s">
        <v>480</v>
      </c>
      <c r="H237" s="213" t="s">
        <v>1139</v>
      </c>
      <c r="I237" s="213" t="s">
        <v>1156</v>
      </c>
      <c r="J237" s="232" t="s">
        <v>1157</v>
      </c>
      <c r="K237" s="212" t="s">
        <v>1156</v>
      </c>
      <c r="L237" s="232">
        <v>166818</v>
      </c>
      <c r="M237" s="213" t="s">
        <v>1137</v>
      </c>
      <c r="N237" s="212" t="s">
        <v>1138</v>
      </c>
      <c r="O237" s="221">
        <v>96.637</v>
      </c>
      <c r="P237" s="221">
        <v>25.806999999999999</v>
      </c>
      <c r="Q237" s="233"/>
      <c r="R237" s="220"/>
      <c r="S237" s="233"/>
      <c r="T237" s="222" t="str">
        <f>IF(CampList[[#This Row],[HH]]&gt;0,CampList[[#This Row],[Total]]/CampList[[#This Row],[HH]],"NA")</f>
        <v>NA</v>
      </c>
      <c r="U237" s="214" t="s">
        <v>464</v>
      </c>
      <c r="V237" s="214" t="s">
        <v>997</v>
      </c>
      <c r="W237" s="214" t="s">
        <v>507</v>
      </c>
      <c r="X237" s="214" t="s">
        <v>785</v>
      </c>
      <c r="Y237" s="332">
        <v>42370</v>
      </c>
      <c r="Z237" s="223"/>
      <c r="AA237" s="212" t="s">
        <v>775</v>
      </c>
      <c r="AB237" s="225">
        <v>42927</v>
      </c>
      <c r="AC237" s="218" t="s">
        <v>1297</v>
      </c>
      <c r="AD237" s="214" t="str">
        <f ca="1">IFERROR(OFFSET(DistanceToCamp[Nearest Town],MATCH(CampList[[#This Row],[CP_Pcode]],DistanceToCamp[CP_Pcode],0)-1,0,1,1),"")</f>
        <v>Hpakant Town</v>
      </c>
      <c r="AE237" s="227">
        <f ca="1">IFERROR(OFFSET(DistanceToCamp[distance],MATCH(CampList[[#This Row],[CP_Pcode]],DistanceToCamp[CP_Pcode],0)-1,0,1,1),"")</f>
        <v>0</v>
      </c>
      <c r="AF237" s="228">
        <f ca="1">IFERROR(INT(CampList[[#This Row],[Distance]]/5)+1,"")</f>
        <v>1</v>
      </c>
      <c r="AH237" s="649"/>
      <c r="AI237" s="649"/>
    </row>
    <row r="238" spans="2:35" s="199" customFormat="1" ht="15.75" hidden="1" customHeight="1" x14ac:dyDescent="0.25">
      <c r="B238" s="218" t="s">
        <v>776</v>
      </c>
      <c r="C238" s="212" t="s">
        <v>378</v>
      </c>
      <c r="D238" s="212" t="s">
        <v>478</v>
      </c>
      <c r="E238" s="212" t="s">
        <v>180</v>
      </c>
      <c r="F238" s="212" t="s">
        <v>479</v>
      </c>
      <c r="G238" s="212" t="s">
        <v>480</v>
      </c>
      <c r="H238" s="212" t="s">
        <v>481</v>
      </c>
      <c r="I238" s="213" t="s">
        <v>1156</v>
      </c>
      <c r="J238" s="232" t="s">
        <v>1157</v>
      </c>
      <c r="K238" s="213" t="s">
        <v>1163</v>
      </c>
      <c r="L238" s="213">
        <v>166819</v>
      </c>
      <c r="M238" s="185" t="s">
        <v>1158</v>
      </c>
      <c r="N238" s="213" t="s">
        <v>1164</v>
      </c>
      <c r="O238" s="258">
        <v>96.662092000000001</v>
      </c>
      <c r="P238" s="258">
        <v>25.920006000000001</v>
      </c>
      <c r="Q238" s="233"/>
      <c r="R238" s="197"/>
      <c r="S238" s="241"/>
      <c r="T238" s="222" t="str">
        <f>IF(CampList[[#This Row],[HH]]&gt;0,CampList[[#This Row],[Total]]/CampList[[#This Row],[HH]],"NA")</f>
        <v>NA</v>
      </c>
      <c r="U238" s="197" t="s">
        <v>464</v>
      </c>
      <c r="V238" s="214" t="s">
        <v>997</v>
      </c>
      <c r="W238" s="197" t="s">
        <v>507</v>
      </c>
      <c r="X238" s="197" t="s">
        <v>785</v>
      </c>
      <c r="Y238" s="234">
        <v>42584</v>
      </c>
      <c r="Z238" s="233"/>
      <c r="AA238" s="213" t="s">
        <v>775</v>
      </c>
      <c r="AB238" s="225">
        <v>42849</v>
      </c>
      <c r="AC238" s="235" t="s">
        <v>1237</v>
      </c>
      <c r="AD238" s="236" t="str">
        <f ca="1">IFERROR(OFFSET(DistanceToCamp[Nearest Town],MATCH(CampList[[#This Row],[CP_Pcode]],DistanceToCamp[CP_Pcode],0)-1,0,1,1),"")</f>
        <v>Hpakant Town</v>
      </c>
      <c r="AE238" s="227">
        <f ca="1">IFERROR(OFFSET(DistanceToCamp[distance],MATCH(CampList[[#This Row],[CP_Pcode]],DistanceToCamp[CP_Pcode],0)-1,0,1,1),"")</f>
        <v>0</v>
      </c>
      <c r="AF238" s="237">
        <f ca="1">IFERROR(INT(CampList[[#This Row],[Distance]]/5)+1,"")</f>
        <v>1</v>
      </c>
      <c r="AH238" s="649"/>
      <c r="AI238" s="649"/>
    </row>
    <row r="239" spans="2:35" s="199" customFormat="1" ht="15.75" hidden="1" customHeight="1" x14ac:dyDescent="0.25">
      <c r="B239" s="218" t="s">
        <v>776</v>
      </c>
      <c r="C239" s="212" t="s">
        <v>506</v>
      </c>
      <c r="D239" s="212" t="s">
        <v>489</v>
      </c>
      <c r="E239" s="212" t="s">
        <v>230</v>
      </c>
      <c r="F239" s="212" t="s">
        <v>490</v>
      </c>
      <c r="G239" s="212" t="s">
        <v>146</v>
      </c>
      <c r="H239" s="212" t="s">
        <v>497</v>
      </c>
      <c r="I239" s="212" t="s">
        <v>837</v>
      </c>
      <c r="J239" s="212"/>
      <c r="K239" s="212" t="s">
        <v>837</v>
      </c>
      <c r="L239" s="212"/>
      <c r="M239" s="212" t="s">
        <v>840</v>
      </c>
      <c r="N239" s="212" t="s">
        <v>841</v>
      </c>
      <c r="O239" s="221"/>
      <c r="P239" s="221"/>
      <c r="Q239" s="233"/>
      <c r="R239" s="302">
        <v>0</v>
      </c>
      <c r="S239" s="303">
        <v>0</v>
      </c>
      <c r="T239" s="222" t="str">
        <f>IF(CampList[[#This Row],[HH]]&gt;0,CampList[[#This Row],[Total]]/CampList[[#This Row],[HH]],"NA")</f>
        <v>NA</v>
      </c>
      <c r="U239" s="214" t="s">
        <v>466</v>
      </c>
      <c r="V239" s="214" t="s">
        <v>997</v>
      </c>
      <c r="W239" s="214" t="s">
        <v>507</v>
      </c>
      <c r="X239" s="214" t="s">
        <v>785</v>
      </c>
      <c r="Y239" s="234"/>
      <c r="Z239" s="224"/>
      <c r="AA239" s="212" t="s">
        <v>775</v>
      </c>
      <c r="AB239" s="225">
        <v>41289</v>
      </c>
      <c r="AC239" s="226" t="s">
        <v>844</v>
      </c>
      <c r="AD239" s="214" t="str">
        <f ca="1">IFERROR(OFFSET(DistanceToCamp[Nearest Town],MATCH(CampList[[#This Row],[CP_Pcode]],DistanceToCamp[CP_Pcode],0)-1,0,1,1),"")</f>
        <v/>
      </c>
      <c r="AE239" s="227" t="str">
        <f ca="1">IFERROR(OFFSET(DistanceToCamp[distance],MATCH(CampList[[#This Row],[CP_Pcode]],DistanceToCamp[CP_Pcode],0)-1,0,1,1),"")</f>
        <v/>
      </c>
      <c r="AF239" s="228" t="str">
        <f ca="1">IFERROR(INT(CampList[[#This Row],[Distance]]/5)+1,"")</f>
        <v/>
      </c>
      <c r="AH239" s="649"/>
      <c r="AI239" s="649"/>
    </row>
    <row r="240" spans="2:35" s="199" customFormat="1" ht="15.75" customHeight="1" x14ac:dyDescent="0.25">
      <c r="B240" s="218" t="s">
        <v>460</v>
      </c>
      <c r="C240" s="212" t="s">
        <v>506</v>
      </c>
      <c r="D240" s="212" t="s">
        <v>489</v>
      </c>
      <c r="E240" s="212" t="s">
        <v>230</v>
      </c>
      <c r="F240" s="212" t="s">
        <v>490</v>
      </c>
      <c r="G240" s="212" t="s">
        <v>146</v>
      </c>
      <c r="H240" s="212" t="s">
        <v>497</v>
      </c>
      <c r="I240" s="212" t="s">
        <v>669</v>
      </c>
      <c r="J240" s="212" t="s">
        <v>670</v>
      </c>
      <c r="K240" s="212" t="s">
        <v>671</v>
      </c>
      <c r="L240" s="212" t="s">
        <v>672</v>
      </c>
      <c r="M240" s="212" t="s">
        <v>367</v>
      </c>
      <c r="N240" s="212" t="s">
        <v>381</v>
      </c>
      <c r="O240" s="219">
        <v>97.926813999999993</v>
      </c>
      <c r="P240" s="219">
        <v>23.450914000000001</v>
      </c>
      <c r="Q240" s="220">
        <v>4336</v>
      </c>
      <c r="R240" s="292">
        <v>56</v>
      </c>
      <c r="S240" s="292">
        <v>264</v>
      </c>
      <c r="T240" s="222">
        <f>IF(CampList[[#This Row],[HH]]&gt;0,CampList[[#This Row],[Total]]/CampList[[#This Row],[HH]],"NA")</f>
        <v>4.7142857142857144</v>
      </c>
      <c r="U240" s="214" t="s">
        <v>464</v>
      </c>
      <c r="V240" s="214" t="s">
        <v>997</v>
      </c>
      <c r="W240" s="214" t="s">
        <v>507</v>
      </c>
      <c r="X240" s="214" t="s">
        <v>742</v>
      </c>
      <c r="Y240" s="223">
        <v>41244</v>
      </c>
      <c r="Z240" s="223" t="s">
        <v>424</v>
      </c>
      <c r="AA240" s="239" t="s">
        <v>775</v>
      </c>
      <c r="AB240" s="225">
        <v>43220</v>
      </c>
      <c r="AC240" s="218" t="s">
        <v>1755</v>
      </c>
      <c r="AD240" s="214" t="str">
        <f ca="1">IFERROR(OFFSET(DistanceToCamp[Nearest Town],MATCH(CampList[[#This Row],[CP_Pcode]],DistanceToCamp[CP_Pcode],0)-1,0,1,1),"")</f>
        <v>Kutkai Town</v>
      </c>
      <c r="AE240" s="227">
        <f ca="1">IFERROR(OFFSET(DistanceToCamp[distance],MATCH(CampList[[#This Row],[CP_Pcode]],DistanceToCamp[CP_Pcode],0)-1,0,1,1),"")</f>
        <v>1.9281430163271129</v>
      </c>
      <c r="AF240" s="228">
        <f ca="1">IFERROR(INT(CampList[[#This Row],[Distance]]/5)+1,"")</f>
        <v>1</v>
      </c>
      <c r="AH240" s="649"/>
      <c r="AI240" s="649"/>
    </row>
    <row r="241" spans="2:35" s="199" customFormat="1" ht="15.75" customHeight="1" x14ac:dyDescent="0.25">
      <c r="B241" s="218" t="s">
        <v>460</v>
      </c>
      <c r="C241" s="212" t="s">
        <v>506</v>
      </c>
      <c r="D241" s="212" t="s">
        <v>489</v>
      </c>
      <c r="E241" s="212" t="s">
        <v>230</v>
      </c>
      <c r="F241" s="212" t="s">
        <v>490</v>
      </c>
      <c r="G241" s="212" t="s">
        <v>146</v>
      </c>
      <c r="H241" s="212" t="s">
        <v>497</v>
      </c>
      <c r="I241" s="240" t="s">
        <v>662</v>
      </c>
      <c r="J241" s="212" t="s">
        <v>1042</v>
      </c>
      <c r="K241" s="240" t="s">
        <v>662</v>
      </c>
      <c r="L241" s="255">
        <v>208747</v>
      </c>
      <c r="M241" s="212" t="s">
        <v>1660</v>
      </c>
      <c r="N241" s="212" t="s">
        <v>383</v>
      </c>
      <c r="O241" s="219">
        <v>97.793019999999999</v>
      </c>
      <c r="P241" s="219">
        <v>23.588920000000002</v>
      </c>
      <c r="Q241" s="220">
        <v>1012.5</v>
      </c>
      <c r="R241" s="292">
        <v>76</v>
      </c>
      <c r="S241" s="292">
        <v>338</v>
      </c>
      <c r="T241" s="222">
        <f>IF(CampList[[#This Row],[HH]]&gt;0,CampList[[#This Row],[Total]]/CampList[[#This Row],[HH]],"NA")</f>
        <v>4.4473684210526319</v>
      </c>
      <c r="U241" s="214" t="s">
        <v>464</v>
      </c>
      <c r="V241" s="214" t="s">
        <v>997</v>
      </c>
      <c r="W241" s="214" t="s">
        <v>507</v>
      </c>
      <c r="X241" s="214" t="s">
        <v>785</v>
      </c>
      <c r="Y241" s="223">
        <v>41275</v>
      </c>
      <c r="Z241" s="223" t="s">
        <v>424</v>
      </c>
      <c r="AA241" s="239" t="s">
        <v>775</v>
      </c>
      <c r="AB241" s="225">
        <v>43220</v>
      </c>
      <c r="AC241" s="218" t="s">
        <v>1756</v>
      </c>
      <c r="AD241" s="214" t="str">
        <f ca="1">IFERROR(OFFSET(DistanceToCamp[Nearest Town],MATCH(CampList[[#This Row],[CP_Pcode]],DistanceToCamp[CP_Pcode],0)-1,0,1,1),"")</f>
        <v>Kutkai Town</v>
      </c>
      <c r="AE241" s="227">
        <f ca="1">IFERROR(OFFSET(DistanceToCamp[distance],MATCH(CampList[[#This Row],[CP_Pcode]],DistanceToCamp[CP_Pcode],0)-1,0,1,1),"")</f>
        <v>21.050742639251741</v>
      </c>
      <c r="AF241" s="228">
        <f ca="1">IFERROR(INT(CampList[[#This Row],[Distance]]/5)+1,"")</f>
        <v>5</v>
      </c>
      <c r="AH241" s="649"/>
      <c r="AI241" s="649"/>
    </row>
    <row r="242" spans="2:35" s="199" customFormat="1" ht="15.75" customHeight="1" x14ac:dyDescent="0.25">
      <c r="B242" s="239" t="s">
        <v>460</v>
      </c>
      <c r="C242" s="212" t="s">
        <v>506</v>
      </c>
      <c r="D242" s="212" t="s">
        <v>489</v>
      </c>
      <c r="E242" s="212" t="s">
        <v>230</v>
      </c>
      <c r="F242" s="212" t="s">
        <v>490</v>
      </c>
      <c r="G242" s="212" t="s">
        <v>146</v>
      </c>
      <c r="H242" s="212" t="s">
        <v>497</v>
      </c>
      <c r="I242" s="212" t="s">
        <v>706</v>
      </c>
      <c r="J242" s="212" t="s">
        <v>707</v>
      </c>
      <c r="K242" s="212" t="s">
        <v>708</v>
      </c>
      <c r="L242" s="212">
        <v>208557</v>
      </c>
      <c r="M242" s="212" t="s">
        <v>371</v>
      </c>
      <c r="N242" s="212" t="s">
        <v>385</v>
      </c>
      <c r="O242" s="219">
        <v>97.837040000000002</v>
      </c>
      <c r="P242" s="219">
        <v>23.38503</v>
      </c>
      <c r="Q242" s="220">
        <v>0</v>
      </c>
      <c r="R242" s="292">
        <v>196</v>
      </c>
      <c r="S242" s="292">
        <v>1008</v>
      </c>
      <c r="T242" s="222">
        <f>IF(CampList[[#This Row],[HH]]&gt;0,CampList[[#This Row],[Total]]/CampList[[#This Row],[HH]],"NA")</f>
        <v>5.1428571428571432</v>
      </c>
      <c r="U242" s="214" t="s">
        <v>464</v>
      </c>
      <c r="V242" s="214" t="s">
        <v>997</v>
      </c>
      <c r="W242" s="214" t="s">
        <v>507</v>
      </c>
      <c r="X242" s="214" t="s">
        <v>785</v>
      </c>
      <c r="Y242" s="223">
        <v>41244</v>
      </c>
      <c r="Z242" s="223" t="s">
        <v>424</v>
      </c>
      <c r="AA242" s="212" t="s">
        <v>775</v>
      </c>
      <c r="AB242" s="225">
        <v>43220</v>
      </c>
      <c r="AC242" s="226" t="s">
        <v>1757</v>
      </c>
      <c r="AD242" s="214" t="str">
        <f ca="1">IFERROR(OFFSET(DistanceToCamp[Nearest Town],MATCH(CampList[[#This Row],[CP_Pcode]],DistanceToCamp[CP_Pcode],0)-1,0,1,1),"")</f>
        <v>Kutkai Town</v>
      </c>
      <c r="AE242" s="227">
        <f ca="1">IFERROR(OFFSET(DistanceToCamp[distance],MATCH(CampList[[#This Row],[CP_Pcode]],DistanceToCamp[CP_Pcode],0)-1,0,1,1),"")</f>
        <v>13.632081902964599</v>
      </c>
      <c r="AF242" s="228">
        <f ca="1">IFERROR(INT(CampList[[#This Row],[Distance]]/5)+1,"")</f>
        <v>3</v>
      </c>
      <c r="AH242" s="649"/>
      <c r="AI242" s="649"/>
    </row>
    <row r="243" spans="2:35" s="199" customFormat="1" ht="15.75" customHeight="1" x14ac:dyDescent="0.25">
      <c r="B243" s="218" t="s">
        <v>460</v>
      </c>
      <c r="C243" s="212" t="s">
        <v>506</v>
      </c>
      <c r="D243" s="212" t="s">
        <v>489</v>
      </c>
      <c r="E243" s="212" t="s">
        <v>230</v>
      </c>
      <c r="F243" s="212" t="s">
        <v>490</v>
      </c>
      <c r="G243" s="212" t="s">
        <v>230</v>
      </c>
      <c r="H243" s="212" t="s">
        <v>491</v>
      </c>
      <c r="I243" s="212" t="s">
        <v>901</v>
      </c>
      <c r="J243" s="212" t="s">
        <v>902</v>
      </c>
      <c r="K243" s="212" t="s">
        <v>903</v>
      </c>
      <c r="L243" s="240" t="s">
        <v>904</v>
      </c>
      <c r="M243" s="212" t="s">
        <v>905</v>
      </c>
      <c r="N243" s="212" t="s">
        <v>906</v>
      </c>
      <c r="O243" s="219">
        <v>97.909400000000005</v>
      </c>
      <c r="P243" s="219">
        <v>24.006319999999999</v>
      </c>
      <c r="Q243" s="233">
        <v>812.7</v>
      </c>
      <c r="R243" s="292">
        <v>42</v>
      </c>
      <c r="S243" s="292">
        <v>192</v>
      </c>
      <c r="T243" s="222">
        <f>IF(CampList[[#This Row],[HH]]&gt;0,CampList[[#This Row],[Total]]/CampList[[#This Row],[HH]],"NA")</f>
        <v>4.5714285714285712</v>
      </c>
      <c r="U243" s="214" t="s">
        <v>464</v>
      </c>
      <c r="V243" s="214" t="s">
        <v>997</v>
      </c>
      <c r="W243" s="214" t="s">
        <v>507</v>
      </c>
      <c r="X243" s="214" t="s">
        <v>742</v>
      </c>
      <c r="Y243" s="234">
        <v>41703</v>
      </c>
      <c r="Z243" s="224" t="s">
        <v>424</v>
      </c>
      <c r="AA243" s="212" t="s">
        <v>775</v>
      </c>
      <c r="AB243" s="225">
        <v>43220</v>
      </c>
      <c r="AC243" s="226" t="s">
        <v>1758</v>
      </c>
      <c r="AD243" s="214" t="str">
        <f ca="1">IFERROR(OFFSET(DistanceToCamp[Nearest Town],MATCH(CampList[[#This Row],[CP_Pcode]],DistanceToCamp[CP_Pcode],0)-1,0,1,1),"")</f>
        <v>Muse Town</v>
      </c>
      <c r="AE243" s="227">
        <f ca="1">IFERROR(OFFSET(DistanceToCamp[distance],MATCH(CampList[[#This Row],[CP_Pcode]],DistanceToCamp[CP_Pcode],0)-1,0,1,1),"")</f>
        <v>1.989668595899414</v>
      </c>
      <c r="AF243" s="228">
        <f ca="1">IFERROR(INT(CampList[[#This Row],[Distance]]/5)+1,"")</f>
        <v>1</v>
      </c>
      <c r="AH243" s="649"/>
      <c r="AI243" s="649"/>
    </row>
    <row r="244" spans="2:35" s="199" customFormat="1" ht="15.75" hidden="1" customHeight="1" x14ac:dyDescent="0.25">
      <c r="B244" s="218" t="s">
        <v>776</v>
      </c>
      <c r="C244" s="212" t="s">
        <v>378</v>
      </c>
      <c r="D244" s="212" t="s">
        <v>478</v>
      </c>
      <c r="E244" s="212" t="s">
        <v>180</v>
      </c>
      <c r="F244" s="212" t="s">
        <v>479</v>
      </c>
      <c r="G244" s="212" t="s">
        <v>480</v>
      </c>
      <c r="H244" s="212" t="s">
        <v>481</v>
      </c>
      <c r="I244" s="213" t="s">
        <v>1156</v>
      </c>
      <c r="J244" s="232" t="s">
        <v>1157</v>
      </c>
      <c r="K244" s="213" t="s">
        <v>1163</v>
      </c>
      <c r="L244" s="213">
        <v>166819</v>
      </c>
      <c r="M244" s="185" t="s">
        <v>1159</v>
      </c>
      <c r="N244" s="213" t="s">
        <v>1166</v>
      </c>
      <c r="O244" s="258">
        <v>96.662092000000001</v>
      </c>
      <c r="P244" s="258">
        <v>25.920006000000001</v>
      </c>
      <c r="Q244" s="233"/>
      <c r="R244" s="197"/>
      <c r="S244" s="241"/>
      <c r="T244" s="222" t="str">
        <f>IF(CampList[[#This Row],[HH]]&gt;0,CampList[[#This Row],[Total]]/CampList[[#This Row],[HH]],"NA")</f>
        <v>NA</v>
      </c>
      <c r="U244" s="197" t="s">
        <v>464</v>
      </c>
      <c r="V244" s="214" t="s">
        <v>997</v>
      </c>
      <c r="W244" s="197" t="s">
        <v>507</v>
      </c>
      <c r="X244" s="197" t="s">
        <v>785</v>
      </c>
      <c r="Y244" s="234">
        <v>42584</v>
      </c>
      <c r="Z244" s="233"/>
      <c r="AA244" s="213" t="s">
        <v>775</v>
      </c>
      <c r="AB244" s="225">
        <v>42849</v>
      </c>
      <c r="AC244" s="235" t="s">
        <v>1237</v>
      </c>
      <c r="AD244" s="236" t="str">
        <f ca="1">IFERROR(OFFSET(DistanceToCamp[Nearest Town],MATCH(CampList[[#This Row],[CP_Pcode]],DistanceToCamp[CP_Pcode],0)-1,0,1,1),"")</f>
        <v>Hpakant Town</v>
      </c>
      <c r="AE244" s="227">
        <f ca="1">IFERROR(OFFSET(DistanceToCamp[distance],MATCH(CampList[[#This Row],[CP_Pcode]],DistanceToCamp[CP_Pcode],0)-1,0,1,1),"")</f>
        <v>0</v>
      </c>
      <c r="AF244" s="237">
        <f ca="1">IFERROR(INT(CampList[[#This Row],[Distance]]/5)+1,"")</f>
        <v>1</v>
      </c>
      <c r="AH244" s="649"/>
      <c r="AI244" s="649"/>
    </row>
    <row r="245" spans="2:35" s="199" customFormat="1" ht="15.75" customHeight="1" x14ac:dyDescent="0.25">
      <c r="B245" s="231" t="s">
        <v>460</v>
      </c>
      <c r="C245" s="213" t="s">
        <v>506</v>
      </c>
      <c r="D245" s="213" t="s">
        <v>489</v>
      </c>
      <c r="E245" s="213" t="s">
        <v>230</v>
      </c>
      <c r="F245" s="213" t="s">
        <v>490</v>
      </c>
      <c r="G245" s="213" t="s">
        <v>230</v>
      </c>
      <c r="H245" s="213" t="s">
        <v>491</v>
      </c>
      <c r="I245" s="213" t="s">
        <v>901</v>
      </c>
      <c r="J245" s="232" t="s">
        <v>902</v>
      </c>
      <c r="K245" s="213" t="s">
        <v>903</v>
      </c>
      <c r="L245" s="213" t="s">
        <v>904</v>
      </c>
      <c r="M245" s="213" t="s">
        <v>915</v>
      </c>
      <c r="N245" s="213" t="s">
        <v>916</v>
      </c>
      <c r="O245" s="221">
        <v>97.911647000000002</v>
      </c>
      <c r="P245" s="221">
        <v>24.006789000000001</v>
      </c>
      <c r="Q245" s="233">
        <v>814</v>
      </c>
      <c r="R245" s="221">
        <v>22</v>
      </c>
      <c r="S245" s="233">
        <v>107</v>
      </c>
      <c r="T245" s="222">
        <f>IF(CampList[[#This Row],[HH]]&gt;0,CampList[[#This Row],[Total]]/CampList[[#This Row],[HH]],"NA")</f>
        <v>4.8636363636363633</v>
      </c>
      <c r="U245" s="197" t="s">
        <v>464</v>
      </c>
      <c r="V245" s="214" t="s">
        <v>997</v>
      </c>
      <c r="W245" s="197" t="s">
        <v>507</v>
      </c>
      <c r="X245" s="197" t="s">
        <v>742</v>
      </c>
      <c r="Y245" s="234">
        <v>41734</v>
      </c>
      <c r="Z245" s="233" t="s">
        <v>1050</v>
      </c>
      <c r="AA245" s="213" t="s">
        <v>775</v>
      </c>
      <c r="AB245" s="566">
        <v>43220</v>
      </c>
      <c r="AC245" s="235" t="s">
        <v>1767</v>
      </c>
      <c r="AD245" s="236" t="str">
        <f ca="1">IFERROR(OFFSET(DistanceToCamp[Nearest Town],MATCH(CampList[[#This Row],[CP_Pcode]],DistanceToCamp[CP_Pcode],0)-1,0,1,1),"")</f>
        <v>Muse Town</v>
      </c>
      <c r="AE245" s="227">
        <f ca="1">IFERROR(OFFSET(DistanceToCamp[distance],MATCH(CampList[[#This Row],[CP_Pcode]],DistanceToCamp[CP_Pcode],0)-1,0,1,1),"")</f>
        <v>2.1362355825722199</v>
      </c>
      <c r="AF245" s="237">
        <f ca="1">IFERROR(INT(CampList[[#This Row],[Distance]]/5)+1,"")</f>
        <v>1</v>
      </c>
      <c r="AH245" s="649"/>
      <c r="AI245" s="649"/>
    </row>
    <row r="246" spans="2:35" s="199" customFormat="1" ht="15.75" customHeight="1" x14ac:dyDescent="0.25">
      <c r="B246" s="231" t="s">
        <v>460</v>
      </c>
      <c r="C246" s="213" t="s">
        <v>506</v>
      </c>
      <c r="D246" s="213" t="s">
        <v>489</v>
      </c>
      <c r="E246" s="213" t="s">
        <v>230</v>
      </c>
      <c r="F246" s="213" t="s">
        <v>490</v>
      </c>
      <c r="G246" s="213" t="s">
        <v>146</v>
      </c>
      <c r="H246" s="213" t="s">
        <v>497</v>
      </c>
      <c r="I246" s="213" t="s">
        <v>725</v>
      </c>
      <c r="J246" s="232" t="s">
        <v>726</v>
      </c>
      <c r="K246" s="213" t="s">
        <v>727</v>
      </c>
      <c r="L246" s="213">
        <v>219842</v>
      </c>
      <c r="M246" s="213" t="s">
        <v>945</v>
      </c>
      <c r="N246" s="213" t="s">
        <v>944</v>
      </c>
      <c r="O246" s="221">
        <v>98.248999999999995</v>
      </c>
      <c r="P246" s="221">
        <v>23.463000000000001</v>
      </c>
      <c r="Q246" s="233"/>
      <c r="R246" s="221">
        <v>22</v>
      </c>
      <c r="S246" s="233">
        <v>105</v>
      </c>
      <c r="T246" s="222">
        <f>IF(CampList[[#This Row],[HH]]&gt;0,CampList[[#This Row],[Total]]/CampList[[#This Row],[HH]],"NA")</f>
        <v>4.7727272727272725</v>
      </c>
      <c r="U246" s="197" t="s">
        <v>464</v>
      </c>
      <c r="V246" s="214" t="s">
        <v>997</v>
      </c>
      <c r="W246" s="197" t="s">
        <v>507</v>
      </c>
      <c r="X246" s="197" t="s">
        <v>785</v>
      </c>
      <c r="Y246" s="234">
        <v>40787</v>
      </c>
      <c r="Z246" s="233" t="s">
        <v>1050</v>
      </c>
      <c r="AA246" s="213" t="s">
        <v>775</v>
      </c>
      <c r="AB246" s="566">
        <v>43220</v>
      </c>
      <c r="AC246" s="235" t="s">
        <v>1768</v>
      </c>
      <c r="AD246" s="214"/>
      <c r="AE246" s="227" t="str">
        <f ca="1">IFERROR(OFFSET(DistanceToCamp[distance],MATCH(CampList[[#This Row],[CP_Pcode]],DistanceToCamp[CP_Pcode],0)-1,0,1,1),"")</f>
        <v/>
      </c>
      <c r="AF246" s="237" t="str">
        <f ca="1">IFERROR(INT(CampList[[#This Row],[Distance]]/5)+1,"")</f>
        <v/>
      </c>
      <c r="AH246" s="649"/>
      <c r="AI246" s="649"/>
    </row>
    <row r="247" spans="2:35" s="199" customFormat="1" ht="15.75" customHeight="1" x14ac:dyDescent="0.25">
      <c r="B247" s="218" t="s">
        <v>460</v>
      </c>
      <c r="C247" s="212" t="s">
        <v>506</v>
      </c>
      <c r="D247" s="212" t="s">
        <v>489</v>
      </c>
      <c r="E247" s="212" t="s">
        <v>230</v>
      </c>
      <c r="F247" s="212" t="s">
        <v>490</v>
      </c>
      <c r="G247" s="212" t="s">
        <v>288</v>
      </c>
      <c r="H247" s="212" t="s">
        <v>502</v>
      </c>
      <c r="I247" s="212" t="s">
        <v>691</v>
      </c>
      <c r="J247" s="212" t="s">
        <v>692</v>
      </c>
      <c r="K247" s="212" t="s">
        <v>691</v>
      </c>
      <c r="L247" s="212">
        <v>208353</v>
      </c>
      <c r="M247" s="212" t="s">
        <v>907</v>
      </c>
      <c r="N247" s="212" t="s">
        <v>908</v>
      </c>
      <c r="O247" s="219">
        <v>97.700940000000003</v>
      </c>
      <c r="P247" s="219">
        <v>23.841646999999998</v>
      </c>
      <c r="Q247" s="233">
        <v>798</v>
      </c>
      <c r="R247" s="292">
        <v>38</v>
      </c>
      <c r="S247" s="292">
        <v>200</v>
      </c>
      <c r="T247" s="222">
        <f>IF(CampList[[#This Row],[HH]]&gt;0,CampList[[#This Row],[Total]]/CampList[[#This Row],[HH]],"NA")</f>
        <v>5.2631578947368425</v>
      </c>
      <c r="U247" s="214" t="s">
        <v>464</v>
      </c>
      <c r="V247" s="214" t="s">
        <v>997</v>
      </c>
      <c r="W247" s="214" t="s">
        <v>507</v>
      </c>
      <c r="X247" s="214" t="s">
        <v>742</v>
      </c>
      <c r="Y247" s="234">
        <v>41947</v>
      </c>
      <c r="Z247" s="224" t="s">
        <v>424</v>
      </c>
      <c r="AA247" s="212" t="s">
        <v>775</v>
      </c>
      <c r="AB247" s="225">
        <v>43220</v>
      </c>
      <c r="AC247" s="226" t="s">
        <v>1759</v>
      </c>
      <c r="AD247" s="214" t="str">
        <f ca="1">IFERROR(OFFSET(DistanceToCamp[Nearest Town],MATCH(CampList[[#This Row],[CP_Pcode]],DistanceToCamp[CP_Pcode],0)-1,0,1,1),"")</f>
        <v>Namhkan Town</v>
      </c>
      <c r="AE247" s="227">
        <f ca="1">IFERROR(OFFSET(DistanceToCamp[distance],MATCH(CampList[[#This Row],[CP_Pcode]],DistanceToCamp[CP_Pcode],0)-1,0,1,1),"")</f>
        <v>2.0141034419413328</v>
      </c>
      <c r="AF247" s="228">
        <f ca="1">IFERROR(INT(CampList[[#This Row],[Distance]]/5)+1,"")</f>
        <v>1</v>
      </c>
      <c r="AH247" s="649"/>
      <c r="AI247" s="649"/>
    </row>
    <row r="248" spans="2:35" s="199" customFormat="1" ht="15.75" customHeight="1" x14ac:dyDescent="0.25">
      <c r="B248" s="218" t="s">
        <v>460</v>
      </c>
      <c r="C248" s="212" t="s">
        <v>506</v>
      </c>
      <c r="D248" s="212" t="s">
        <v>489</v>
      </c>
      <c r="E248" s="212" t="s">
        <v>230</v>
      </c>
      <c r="F248" s="213" t="s">
        <v>490</v>
      </c>
      <c r="G248" s="213" t="s">
        <v>146</v>
      </c>
      <c r="H248" s="213" t="s">
        <v>497</v>
      </c>
      <c r="I248" s="256" t="s">
        <v>706</v>
      </c>
      <c r="J248" s="232" t="s">
        <v>707</v>
      </c>
      <c r="K248" s="212"/>
      <c r="L248" s="212"/>
      <c r="M248" s="256" t="s">
        <v>1084</v>
      </c>
      <c r="N248" s="212" t="s">
        <v>1085</v>
      </c>
      <c r="O248" s="251">
        <v>97.868876999999998</v>
      </c>
      <c r="P248" s="251">
        <v>23.447111</v>
      </c>
      <c r="Q248" s="233"/>
      <c r="R248" s="220">
        <v>105</v>
      </c>
      <c r="S248" s="233">
        <v>568</v>
      </c>
      <c r="T248" s="222">
        <f>IF(CampList[[#This Row],[HH]]&gt;0,CampList[[#This Row],[Total]]/CampList[[#This Row],[HH]],"NA")</f>
        <v>5.4095238095238098</v>
      </c>
      <c r="U248" s="214" t="s">
        <v>464</v>
      </c>
      <c r="V248" s="214" t="s">
        <v>997</v>
      </c>
      <c r="W248" s="214" t="s">
        <v>1399</v>
      </c>
      <c r="X248" s="214" t="s">
        <v>785</v>
      </c>
      <c r="Y248" s="223">
        <v>42036</v>
      </c>
      <c r="Z248" s="223"/>
      <c r="AA248" s="212" t="s">
        <v>775</v>
      </c>
      <c r="AB248" s="225">
        <v>42927</v>
      </c>
      <c r="AC248" s="226" t="s">
        <v>1293</v>
      </c>
      <c r="AD248" s="214"/>
      <c r="AE248" s="227" t="str">
        <f ca="1">IFERROR(OFFSET(DistanceToCamp[distance],MATCH(CampList[[#This Row],[CP_Pcode]],DistanceToCamp[CP_Pcode],0)-1,0,1,1),"")</f>
        <v/>
      </c>
      <c r="AF248" s="237" t="str">
        <f ca="1">IFERROR(INT(CampList[[#This Row],[Distance]]/5)+1,"")</f>
        <v/>
      </c>
      <c r="AH248" s="649"/>
      <c r="AI248" s="649"/>
    </row>
    <row r="249" spans="2:35" s="199" customFormat="1" ht="15.75" customHeight="1" x14ac:dyDescent="0.25">
      <c r="B249" s="218" t="s">
        <v>460</v>
      </c>
      <c r="C249" s="212" t="s">
        <v>506</v>
      </c>
      <c r="D249" s="212" t="s">
        <v>489</v>
      </c>
      <c r="E249" s="212" t="s">
        <v>230</v>
      </c>
      <c r="F249" s="212" t="s">
        <v>490</v>
      </c>
      <c r="G249" s="212" t="s">
        <v>288</v>
      </c>
      <c r="H249" s="212" t="s">
        <v>502</v>
      </c>
      <c r="I249" s="212" t="s">
        <v>910</v>
      </c>
      <c r="J249" s="212" t="s">
        <v>909</v>
      </c>
      <c r="K249" s="212" t="s">
        <v>911</v>
      </c>
      <c r="L249" s="240">
        <v>208338</v>
      </c>
      <c r="M249" s="212" t="s">
        <v>919</v>
      </c>
      <c r="N249" s="212" t="s">
        <v>912</v>
      </c>
      <c r="O249" s="219">
        <v>97.709879999999998</v>
      </c>
      <c r="P249" s="219">
        <v>23.838190000000001</v>
      </c>
      <c r="Q249" s="233">
        <v>829.8</v>
      </c>
      <c r="R249" s="292">
        <v>126</v>
      </c>
      <c r="S249" s="292">
        <v>575</v>
      </c>
      <c r="T249" s="222">
        <f>IF(CampList[[#This Row],[HH]]&gt;0,CampList[[#This Row],[Total]]/CampList[[#This Row],[HH]],"NA")</f>
        <v>4.5634920634920633</v>
      </c>
      <c r="U249" s="214" t="s">
        <v>464</v>
      </c>
      <c r="V249" s="214" t="s">
        <v>997</v>
      </c>
      <c r="W249" s="214" t="s">
        <v>507</v>
      </c>
      <c r="X249" s="214" t="s">
        <v>742</v>
      </c>
      <c r="Y249" s="234">
        <v>41747</v>
      </c>
      <c r="Z249" s="224" t="s">
        <v>424</v>
      </c>
      <c r="AA249" s="212" t="s">
        <v>775</v>
      </c>
      <c r="AB249" s="225">
        <v>43220</v>
      </c>
      <c r="AC249" s="226" t="s">
        <v>1760</v>
      </c>
      <c r="AD249" s="214" t="str">
        <f ca="1">IFERROR(OFFSET(DistanceToCamp[Nearest Town],MATCH(CampList[[#This Row],[CP_Pcode]],DistanceToCamp[CP_Pcode],0)-1,0,1,1),"")</f>
        <v>Namhkan Town</v>
      </c>
      <c r="AE249" s="227">
        <f ca="1">IFERROR(OFFSET(DistanceToCamp[distance],MATCH(CampList[[#This Row],[CP_Pcode]],DistanceToCamp[CP_Pcode],0)-1,0,1,1),"")</f>
        <v>2.8590638493982405</v>
      </c>
      <c r="AF249" s="228">
        <f ca="1">IFERROR(INT(CampList[[#This Row],[Distance]]/5)+1,"")</f>
        <v>1</v>
      </c>
      <c r="AH249" s="649"/>
      <c r="AI249" s="649"/>
    </row>
    <row r="250" spans="2:35" s="199" customFormat="1" ht="15.75" customHeight="1" x14ac:dyDescent="0.25">
      <c r="B250" s="231" t="s">
        <v>460</v>
      </c>
      <c r="C250" s="212" t="s">
        <v>506</v>
      </c>
      <c r="D250" s="212" t="s">
        <v>489</v>
      </c>
      <c r="E250" s="212" t="s">
        <v>494</v>
      </c>
      <c r="F250" s="212" t="s">
        <v>495</v>
      </c>
      <c r="G250" s="212" t="s">
        <v>297</v>
      </c>
      <c r="H250" s="212" t="s">
        <v>503</v>
      </c>
      <c r="I250" s="212" t="s">
        <v>911</v>
      </c>
      <c r="J250" s="232" t="s">
        <v>1142</v>
      </c>
      <c r="K250" s="212" t="s">
        <v>1143</v>
      </c>
      <c r="L250" s="232">
        <v>210455</v>
      </c>
      <c r="M250" s="212" t="s">
        <v>1141</v>
      </c>
      <c r="N250" s="213" t="s">
        <v>1125</v>
      </c>
      <c r="O250" s="219">
        <v>97.358999999999995</v>
      </c>
      <c r="P250" s="219">
        <v>22.765999999999998</v>
      </c>
      <c r="Q250" s="233"/>
      <c r="R250" s="329">
        <v>19</v>
      </c>
      <c r="S250" s="330">
        <v>82</v>
      </c>
      <c r="T250" s="222">
        <f>IF(CampList[[#This Row],[HH]]&gt;0,CampList[[#This Row],[Total]]/CampList[[#This Row],[HH]],"NA")</f>
        <v>4.3157894736842106</v>
      </c>
      <c r="U250" s="197" t="s">
        <v>464</v>
      </c>
      <c r="V250" s="214" t="s">
        <v>997</v>
      </c>
      <c r="W250" s="214" t="s">
        <v>1399</v>
      </c>
      <c r="X250" s="214" t="s">
        <v>785</v>
      </c>
      <c r="Y250" s="234">
        <v>42370</v>
      </c>
      <c r="Z250" s="224"/>
      <c r="AA250" s="213" t="s">
        <v>775</v>
      </c>
      <c r="AB250" s="225">
        <v>42576</v>
      </c>
      <c r="AC250" s="218" t="s">
        <v>1403</v>
      </c>
      <c r="AD250" s="214" t="str">
        <f ca="1">IFERROR(OFFSET(DistanceToCamp[Nearest Town],MATCH(CampList[[#This Row],[CP_Pcode]],DistanceToCamp[CP_Pcode],0)-1,0,1,1),"")</f>
        <v/>
      </c>
      <c r="AE250" s="227" t="str">
        <f ca="1">IFERROR(OFFSET(DistanceToCamp[distance],MATCH(CampList[[#This Row],[CP_Pcode]],DistanceToCamp[CP_Pcode],0)-1,0,1,1),"")</f>
        <v/>
      </c>
      <c r="AF250" s="237" t="str">
        <f ca="1">IFERROR(INT(CampList[[#This Row],[Distance]]/5)+1,"")</f>
        <v/>
      </c>
      <c r="AH250" s="649"/>
      <c r="AI250" s="649"/>
    </row>
    <row r="251" spans="2:35" s="199" customFormat="1" ht="13.9" customHeight="1" x14ac:dyDescent="0.25">
      <c r="B251" s="231" t="s">
        <v>460</v>
      </c>
      <c r="C251" s="212" t="s">
        <v>506</v>
      </c>
      <c r="D251" s="212" t="s">
        <v>489</v>
      </c>
      <c r="E251" s="212" t="s">
        <v>494</v>
      </c>
      <c r="F251" s="212" t="s">
        <v>495</v>
      </c>
      <c r="G251" s="212" t="s">
        <v>166</v>
      </c>
      <c r="H251" s="212" t="s">
        <v>496</v>
      </c>
      <c r="I251" s="212"/>
      <c r="J251" s="232"/>
      <c r="K251" s="212"/>
      <c r="L251" s="212"/>
      <c r="M251" s="212" t="s">
        <v>1144</v>
      </c>
      <c r="N251" s="213" t="s">
        <v>1126</v>
      </c>
      <c r="O251" s="219"/>
      <c r="P251" s="219"/>
      <c r="Q251" s="233"/>
      <c r="R251" s="329">
        <v>36</v>
      </c>
      <c r="S251" s="330">
        <v>188</v>
      </c>
      <c r="T251" s="222">
        <f>IF(CampList[[#This Row],[HH]]&gt;0,CampList[[#This Row],[Total]]/CampList[[#This Row],[HH]],"NA")</f>
        <v>5.2222222222222223</v>
      </c>
      <c r="U251" s="197" t="s">
        <v>464</v>
      </c>
      <c r="V251" s="214" t="s">
        <v>997</v>
      </c>
      <c r="W251" s="214" t="s">
        <v>1399</v>
      </c>
      <c r="X251" s="214" t="s">
        <v>742</v>
      </c>
      <c r="Y251" s="234">
        <v>42370</v>
      </c>
      <c r="Z251" s="224"/>
      <c r="AA251" s="213" t="s">
        <v>775</v>
      </c>
      <c r="AB251" s="225">
        <v>42562</v>
      </c>
      <c r="AC251" s="218" t="s">
        <v>1404</v>
      </c>
      <c r="AD251" s="214" t="str">
        <f ca="1">IFERROR(OFFSET(DistanceToCamp[Nearest Town],MATCH(CampList[[#This Row],[CP_Pcode]],DistanceToCamp[CP_Pcode],0)-1,0,1,1),"")</f>
        <v/>
      </c>
      <c r="AE251" s="227" t="str">
        <f ca="1">IFERROR(OFFSET(DistanceToCamp[distance],MATCH(CampList[[#This Row],[CP_Pcode]],DistanceToCamp[CP_Pcode],0)-1,0,1,1),"")</f>
        <v/>
      </c>
      <c r="AF251" s="237" t="str">
        <f ca="1">IFERROR(INT(CampList[[#This Row],[Distance]]/5)+1,"")</f>
        <v/>
      </c>
      <c r="AH251" s="649"/>
      <c r="AI251" s="649"/>
    </row>
    <row r="252" spans="2:35" s="199" customFormat="1" ht="13.9" customHeight="1" x14ac:dyDescent="0.25">
      <c r="B252" s="231" t="s">
        <v>460</v>
      </c>
      <c r="C252" s="213" t="s">
        <v>378</v>
      </c>
      <c r="D252" s="213" t="s">
        <v>478</v>
      </c>
      <c r="E252" s="213" t="s">
        <v>180</v>
      </c>
      <c r="F252" s="213" t="s">
        <v>479</v>
      </c>
      <c r="G252" s="213" t="s">
        <v>180</v>
      </c>
      <c r="H252" s="213" t="s">
        <v>504</v>
      </c>
      <c r="I252" s="213" t="s">
        <v>962</v>
      </c>
      <c r="J252" s="232" t="s">
        <v>1040</v>
      </c>
      <c r="K252" s="245" t="s">
        <v>1120</v>
      </c>
      <c r="L252" s="245" t="s">
        <v>1121</v>
      </c>
      <c r="M252" s="213" t="s">
        <v>181</v>
      </c>
      <c r="N252" s="213" t="s">
        <v>179</v>
      </c>
      <c r="O252" s="221">
        <v>96.367059999999995</v>
      </c>
      <c r="P252" s="221">
        <v>24.764800000000001</v>
      </c>
      <c r="Q252" s="233"/>
      <c r="R252" s="292">
        <v>11</v>
      </c>
      <c r="S252" s="292">
        <v>50</v>
      </c>
      <c r="T252" s="222">
        <f>IF(CampList[[#This Row],[HH]]&gt;0,CampList[[#This Row],[Total]]/CampList[[#This Row],[HH]],"NA")</f>
        <v>4.5454545454545459</v>
      </c>
      <c r="U252" s="197" t="s">
        <v>464</v>
      </c>
      <c r="V252" s="214" t="s">
        <v>997</v>
      </c>
      <c r="W252" s="197" t="s">
        <v>507</v>
      </c>
      <c r="X252" s="197" t="s">
        <v>742</v>
      </c>
      <c r="Y252" s="332">
        <v>41061</v>
      </c>
      <c r="Z252" s="233" t="s">
        <v>938</v>
      </c>
      <c r="AA252" s="213" t="s">
        <v>775</v>
      </c>
      <c r="AB252" s="731">
        <v>43220</v>
      </c>
      <c r="AC252" s="235" t="s">
        <v>1798</v>
      </c>
      <c r="AD252" s="236" t="str">
        <f ca="1">IFERROR(OFFSET(DistanceToCamp[Nearest Town],MATCH(CampList[[#This Row],[CP_Pcode]],DistanceToCamp[CP_Pcode],0)-1,0,1,1),"")</f>
        <v>Mohnyin Town</v>
      </c>
      <c r="AE252" s="227">
        <f ca="1">IFERROR(OFFSET(DistanceToCamp[distance],MATCH(CampList[[#This Row],[CP_Pcode]],DistanceToCamp[CP_Pcode],0)-1,0,1,1),"")</f>
        <v>1.7021273757523427</v>
      </c>
      <c r="AF252" s="237">
        <f ca="1">IFERROR(INT(CampList[[#This Row],[Distance]]/5)+1,"")</f>
        <v>1</v>
      </c>
      <c r="AH252" s="649"/>
      <c r="AI252" s="649"/>
    </row>
    <row r="253" spans="2:35" s="199" customFormat="1" ht="13.9" customHeight="1" x14ac:dyDescent="0.25">
      <c r="B253" s="242" t="s">
        <v>460</v>
      </c>
      <c r="C253" s="213" t="s">
        <v>378</v>
      </c>
      <c r="D253" s="213" t="s">
        <v>478</v>
      </c>
      <c r="E253" s="213" t="s">
        <v>237</v>
      </c>
      <c r="F253" s="213" t="s">
        <v>484</v>
      </c>
      <c r="G253" s="213" t="s">
        <v>309</v>
      </c>
      <c r="H253" s="213" t="s">
        <v>485</v>
      </c>
      <c r="I253" s="213" t="s">
        <v>667</v>
      </c>
      <c r="J253" s="232" t="s">
        <v>668</v>
      </c>
      <c r="K253" s="213" t="s">
        <v>667</v>
      </c>
      <c r="L253" s="213">
        <v>165772</v>
      </c>
      <c r="M253" s="213" t="s">
        <v>351</v>
      </c>
      <c r="N253" s="213" t="s">
        <v>350</v>
      </c>
      <c r="O253" s="221">
        <v>97.546893999999995</v>
      </c>
      <c r="P253" s="221">
        <v>24.755253</v>
      </c>
      <c r="Q253" s="233">
        <v>316</v>
      </c>
      <c r="R253" s="292">
        <v>1425</v>
      </c>
      <c r="S253" s="292">
        <v>7038</v>
      </c>
      <c r="T253" s="222">
        <f>IF(CampList[[#This Row],[HH]]&gt;0,CampList[[#This Row],[Total]]/CampList[[#This Row],[HH]],"NA")</f>
        <v>4.9389473684210525</v>
      </c>
      <c r="U253" s="197" t="s">
        <v>466</v>
      </c>
      <c r="V253" s="214" t="s">
        <v>997</v>
      </c>
      <c r="W253" s="197" t="s">
        <v>507</v>
      </c>
      <c r="X253" s="197" t="s">
        <v>742</v>
      </c>
      <c r="Y253" s="332">
        <v>40695</v>
      </c>
      <c r="Z253" s="233" t="s">
        <v>938</v>
      </c>
      <c r="AA253" s="213" t="s">
        <v>775</v>
      </c>
      <c r="AB253" s="731">
        <v>43220</v>
      </c>
      <c r="AC253" s="235" t="s">
        <v>1799</v>
      </c>
      <c r="AD253" s="236" t="str">
        <f ca="1">IFERROR(OFFSET(DistanceToCamp[Nearest Town],MATCH(CampList[[#This Row],[CP_Pcode]],DistanceToCamp[CP_Pcode],0)-1,0,1,1),"")</f>
        <v>Laiza town</v>
      </c>
      <c r="AE253" s="227">
        <f ca="1">IFERROR(OFFSET(DistanceToCamp[distance],MATCH(CampList[[#This Row],[CP_Pcode]],DistanceToCamp[CP_Pcode],0)-1,0,1,1),"")</f>
        <v>1.7420415164460403</v>
      </c>
      <c r="AF253" s="237">
        <f ca="1">IFERROR(INT(CampList[[#This Row],[Distance]]/5)+1,"")</f>
        <v>1</v>
      </c>
      <c r="AH253" s="649"/>
      <c r="AI253" s="649"/>
    </row>
    <row r="254" spans="2:35" ht="13.9" hidden="1" customHeight="1" x14ac:dyDescent="0.25">
      <c r="B254" s="231" t="s">
        <v>776</v>
      </c>
      <c r="C254" s="212" t="s">
        <v>506</v>
      </c>
      <c r="D254" s="212" t="s">
        <v>489</v>
      </c>
      <c r="E254" s="212" t="s">
        <v>230</v>
      </c>
      <c r="F254" s="212" t="s">
        <v>490</v>
      </c>
      <c r="G254" s="212" t="s">
        <v>288</v>
      </c>
      <c r="H254" s="212" t="s">
        <v>502</v>
      </c>
      <c r="I254" s="212" t="s">
        <v>1145</v>
      </c>
      <c r="J254" s="232" t="s">
        <v>1146</v>
      </c>
      <c r="K254" s="212" t="s">
        <v>1145</v>
      </c>
      <c r="L254" s="232">
        <v>208469</v>
      </c>
      <c r="M254" s="212" t="s">
        <v>1133</v>
      </c>
      <c r="N254" s="213" t="s">
        <v>1127</v>
      </c>
      <c r="O254" s="219">
        <v>97.504999999999995</v>
      </c>
      <c r="P254" s="219">
        <v>23.611999999999998</v>
      </c>
      <c r="Q254" s="233"/>
      <c r="R254" s="302"/>
      <c r="S254" s="303"/>
      <c r="T254" s="222" t="str">
        <f>IF(CampList[[#This Row],[HH]]&gt;0,CampList[[#This Row],[Total]]/CampList[[#This Row],[HH]],"NA")</f>
        <v>NA</v>
      </c>
      <c r="U254" s="197" t="s">
        <v>464</v>
      </c>
      <c r="V254" s="214" t="s">
        <v>997</v>
      </c>
      <c r="W254" s="197" t="s">
        <v>507</v>
      </c>
      <c r="X254" s="214" t="s">
        <v>785</v>
      </c>
      <c r="Y254" s="234">
        <v>42401</v>
      </c>
      <c r="Z254" s="224"/>
      <c r="AA254" s="213" t="s">
        <v>775</v>
      </c>
      <c r="AB254" s="225">
        <v>42888</v>
      </c>
      <c r="AC254" s="218" t="s">
        <v>1254</v>
      </c>
      <c r="AD254" s="214" t="str">
        <f ca="1">IFERROR(OFFSET(DistanceToCamp[Nearest Town],MATCH(CampList[[#This Row],[CP_Pcode]],DistanceToCamp[CP_Pcode],0)-1,0,1,1),"")</f>
        <v/>
      </c>
      <c r="AE254" s="227" t="str">
        <f ca="1">IFERROR(OFFSET(DistanceToCamp[distance],MATCH(CampList[[#This Row],[CP_Pcode]],DistanceToCamp[CP_Pcode],0)-1,0,1,1),"")</f>
        <v/>
      </c>
      <c r="AF254" s="237" t="str">
        <f ca="1">IFERROR(INT(CampList[[#This Row],[Distance]]/5)+1,"")</f>
        <v/>
      </c>
    </row>
    <row r="255" spans="2:35" ht="13.9" customHeight="1" x14ac:dyDescent="0.25">
      <c r="B255" s="231" t="s">
        <v>460</v>
      </c>
      <c r="C255" s="212" t="s">
        <v>506</v>
      </c>
      <c r="D255" s="212" t="s">
        <v>489</v>
      </c>
      <c r="E255" s="212" t="s">
        <v>230</v>
      </c>
      <c r="F255" s="212" t="s">
        <v>490</v>
      </c>
      <c r="G255" s="212" t="s">
        <v>288</v>
      </c>
      <c r="H255" s="212" t="s">
        <v>502</v>
      </c>
      <c r="I255" s="212" t="s">
        <v>1145</v>
      </c>
      <c r="J255" s="232" t="s">
        <v>1146</v>
      </c>
      <c r="K255" s="212" t="s">
        <v>1145</v>
      </c>
      <c r="L255" s="232">
        <v>208469</v>
      </c>
      <c r="M255" s="212" t="s">
        <v>1134</v>
      </c>
      <c r="N255" s="213" t="s">
        <v>1128</v>
      </c>
      <c r="O255" s="219">
        <v>97.506</v>
      </c>
      <c r="P255" s="219">
        <v>23.611999999999998</v>
      </c>
      <c r="Q255" s="233"/>
      <c r="R255" s="329">
        <v>61</v>
      </c>
      <c r="S255" s="330">
        <v>276</v>
      </c>
      <c r="T255" s="222">
        <f>IF(CampList[[#This Row],[HH]]&gt;0,CampList[[#This Row],[Total]]/CampList[[#This Row],[HH]],"NA")</f>
        <v>4.5245901639344259</v>
      </c>
      <c r="U255" s="197" t="s">
        <v>464</v>
      </c>
      <c r="V255" s="214" t="s">
        <v>997</v>
      </c>
      <c r="W255" s="214" t="s">
        <v>1399</v>
      </c>
      <c r="X255" s="214" t="s">
        <v>785</v>
      </c>
      <c r="Y255" s="234">
        <v>42430</v>
      </c>
      <c r="Z255" s="224"/>
      <c r="AA255" s="213" t="s">
        <v>775</v>
      </c>
      <c r="AB255" s="225">
        <v>42888</v>
      </c>
      <c r="AC255" s="218" t="s">
        <v>1253</v>
      </c>
      <c r="AD255" s="214" t="str">
        <f ca="1">IFERROR(OFFSET(DistanceToCamp[Nearest Town],MATCH(CampList[[#This Row],[CP_Pcode]],DistanceToCamp[CP_Pcode],0)-1,0,1,1),"")</f>
        <v/>
      </c>
      <c r="AE255" s="227" t="str">
        <f ca="1">IFERROR(OFFSET(DistanceToCamp[distance],MATCH(CampList[[#This Row],[CP_Pcode]],DistanceToCamp[CP_Pcode],0)-1,0,1,1),"")</f>
        <v/>
      </c>
      <c r="AF255" s="237" t="str">
        <f ca="1">IFERROR(INT(CampList[[#This Row],[Distance]]/5)+1,"")</f>
        <v/>
      </c>
    </row>
    <row r="256" spans="2:35" ht="13.9" customHeight="1" x14ac:dyDescent="0.25">
      <c r="B256" s="231" t="s">
        <v>460</v>
      </c>
      <c r="C256" s="212" t="s">
        <v>506</v>
      </c>
      <c r="D256" s="212" t="s">
        <v>489</v>
      </c>
      <c r="E256" s="212" t="s">
        <v>230</v>
      </c>
      <c r="F256" s="212" t="s">
        <v>490</v>
      </c>
      <c r="G256" s="212" t="s">
        <v>146</v>
      </c>
      <c r="H256" s="212" t="s">
        <v>497</v>
      </c>
      <c r="I256" s="240" t="s">
        <v>663</v>
      </c>
      <c r="J256" s="212" t="s">
        <v>1043</v>
      </c>
      <c r="K256" s="240" t="s">
        <v>1120</v>
      </c>
      <c r="L256" s="253"/>
      <c r="M256" s="212" t="s">
        <v>1605</v>
      </c>
      <c r="N256" s="213" t="s">
        <v>1129</v>
      </c>
      <c r="O256" s="219">
        <v>97.810101000000003</v>
      </c>
      <c r="P256" s="219">
        <v>23.682887999999998</v>
      </c>
      <c r="Q256" s="233"/>
      <c r="R256" s="329">
        <v>39</v>
      </c>
      <c r="S256" s="330">
        <v>159</v>
      </c>
      <c r="T256" s="222">
        <f>IF(CampList[[#This Row],[HH]]&gt;0,CampList[[#This Row],[Total]]/CampList[[#This Row],[HH]],"NA")</f>
        <v>4.0769230769230766</v>
      </c>
      <c r="U256" s="197" t="s">
        <v>464</v>
      </c>
      <c r="V256" s="214" t="s">
        <v>997</v>
      </c>
      <c r="W256" s="214" t="s">
        <v>507</v>
      </c>
      <c r="X256" s="214" t="s">
        <v>742</v>
      </c>
      <c r="Y256" s="234">
        <v>42401</v>
      </c>
      <c r="Z256" s="224" t="s">
        <v>1050</v>
      </c>
      <c r="AA256" s="213" t="s">
        <v>775</v>
      </c>
      <c r="AB256" s="566">
        <v>43220</v>
      </c>
      <c r="AC256" s="218" t="s">
        <v>1769</v>
      </c>
      <c r="AD256" s="214" t="str">
        <f ca="1">IFERROR(OFFSET(DistanceToCamp[Nearest Town],MATCH(CampList[[#This Row],[CP_Pcode]],DistanceToCamp[CP_Pcode],0)-1,0,1,1),"")</f>
        <v/>
      </c>
      <c r="AE256" s="227" t="str">
        <f ca="1">IFERROR(OFFSET(DistanceToCamp[distance],MATCH(CampList[[#This Row],[CP_Pcode]],DistanceToCamp[CP_Pcode],0)-1,0,1,1),"")</f>
        <v/>
      </c>
      <c r="AF256" s="237" t="str">
        <f ca="1">IFERROR(INT(CampList[[#This Row],[Distance]]/5)+1,"")</f>
        <v/>
      </c>
    </row>
    <row r="257" spans="2:32" ht="15.75" hidden="1" customHeight="1" x14ac:dyDescent="0.25">
      <c r="B257" s="231" t="s">
        <v>776</v>
      </c>
      <c r="C257" s="212" t="s">
        <v>506</v>
      </c>
      <c r="D257" s="212" t="s">
        <v>489</v>
      </c>
      <c r="E257" s="212" t="s">
        <v>717</v>
      </c>
      <c r="F257" s="212" t="s">
        <v>718</v>
      </c>
      <c r="G257" s="212" t="s">
        <v>719</v>
      </c>
      <c r="H257" s="212" t="s">
        <v>720</v>
      </c>
      <c r="I257" s="212" t="s">
        <v>1148</v>
      </c>
      <c r="J257" s="232" t="s">
        <v>1149</v>
      </c>
      <c r="K257" s="212" t="s">
        <v>1148</v>
      </c>
      <c r="L257" s="232">
        <v>206395</v>
      </c>
      <c r="M257" s="212" t="s">
        <v>1147</v>
      </c>
      <c r="N257" s="213" t="s">
        <v>1130</v>
      </c>
      <c r="O257" s="219">
        <v>98.221000000000004</v>
      </c>
      <c r="P257" s="219">
        <v>23.353999999999999</v>
      </c>
      <c r="Q257" s="233"/>
      <c r="R257" s="329"/>
      <c r="S257" s="330"/>
      <c r="T257" s="222" t="str">
        <f>IF(CampList[[#This Row],[HH]]&gt;0,CampList[[#This Row],[Total]]/CampList[[#This Row],[HH]],"NA")</f>
        <v>NA</v>
      </c>
      <c r="U257" s="197" t="s">
        <v>464</v>
      </c>
      <c r="V257" s="214" t="s">
        <v>997</v>
      </c>
      <c r="W257" s="197" t="s">
        <v>507</v>
      </c>
      <c r="X257" s="214" t="s">
        <v>742</v>
      </c>
      <c r="Y257" s="234">
        <v>42430</v>
      </c>
      <c r="Z257" s="224"/>
      <c r="AA257" s="213" t="s">
        <v>775</v>
      </c>
      <c r="AB257" s="225">
        <v>42927</v>
      </c>
      <c r="AC257" s="218" t="s">
        <v>1294</v>
      </c>
      <c r="AD257" s="214" t="str">
        <f ca="1">IFERROR(OFFSET(DistanceToCamp[Nearest Town],MATCH(CampList[[#This Row],[CP_Pcode]],DistanceToCamp[CP_Pcode],0)-1,0,1,1),"")</f>
        <v/>
      </c>
      <c r="AE257" s="227" t="str">
        <f ca="1">IFERROR(OFFSET(DistanceToCamp[distance],MATCH(CampList[[#This Row],[CP_Pcode]],DistanceToCamp[CP_Pcode],0)-1,0,1,1),"")</f>
        <v/>
      </c>
      <c r="AF257" s="237" t="str">
        <f ca="1">IFERROR(INT(CampList[[#This Row],[Distance]]/5)+1,"")</f>
        <v/>
      </c>
    </row>
    <row r="258" spans="2:32" ht="15.75" customHeight="1" x14ac:dyDescent="0.25">
      <c r="B258" s="231" t="s">
        <v>460</v>
      </c>
      <c r="C258" s="212" t="s">
        <v>506</v>
      </c>
      <c r="D258" s="212" t="s">
        <v>489</v>
      </c>
      <c r="E258" s="212" t="s">
        <v>230</v>
      </c>
      <c r="F258" s="212" t="s">
        <v>490</v>
      </c>
      <c r="G258" s="212" t="s">
        <v>146</v>
      </c>
      <c r="H258" s="212" t="s">
        <v>497</v>
      </c>
      <c r="I258" s="212" t="s">
        <v>1151</v>
      </c>
      <c r="J258" s="232"/>
      <c r="K258" s="212" t="s">
        <v>1152</v>
      </c>
      <c r="L258" s="212"/>
      <c r="M258" s="212" t="s">
        <v>1150</v>
      </c>
      <c r="N258" s="213" t="s">
        <v>1131</v>
      </c>
      <c r="O258" s="219">
        <v>98.337999999999994</v>
      </c>
      <c r="P258" s="219">
        <v>23.850999999999999</v>
      </c>
      <c r="Q258" s="233"/>
      <c r="R258" s="329">
        <v>30</v>
      </c>
      <c r="S258" s="330">
        <v>170</v>
      </c>
      <c r="T258" s="222">
        <f>IF(CampList[[#This Row],[HH]]&gt;0,CampList[[#This Row],[Total]]/CampList[[#This Row],[HH]],"NA")</f>
        <v>5.666666666666667</v>
      </c>
      <c r="U258" s="197" t="s">
        <v>464</v>
      </c>
      <c r="V258" s="214" t="s">
        <v>997</v>
      </c>
      <c r="W258" s="214" t="s">
        <v>1399</v>
      </c>
      <c r="X258" s="214" t="s">
        <v>785</v>
      </c>
      <c r="Y258" s="234">
        <v>42401</v>
      </c>
      <c r="Z258" s="224"/>
      <c r="AA258" s="213" t="s">
        <v>775</v>
      </c>
      <c r="AB258" s="225">
        <v>42562</v>
      </c>
      <c r="AC258" s="218" t="s">
        <v>1405</v>
      </c>
      <c r="AD258" s="214" t="str">
        <f ca="1">IFERROR(OFFSET(DistanceToCamp[Nearest Town],MATCH(CampList[[#This Row],[CP_Pcode]],DistanceToCamp[CP_Pcode],0)-1,0,1,1),"")</f>
        <v/>
      </c>
      <c r="AE258" s="227" t="str">
        <f ca="1">IFERROR(OFFSET(DistanceToCamp[distance],MATCH(CampList[[#This Row],[CP_Pcode]],DistanceToCamp[CP_Pcode],0)-1,0,1,1),"")</f>
        <v/>
      </c>
      <c r="AF258" s="237" t="str">
        <f ca="1">IFERROR(INT(CampList[[#This Row],[Distance]]/5)+1,"")</f>
        <v/>
      </c>
    </row>
    <row r="259" spans="2:32" ht="15.75" hidden="1" customHeight="1" x14ac:dyDescent="0.25">
      <c r="B259" s="289" t="s">
        <v>776</v>
      </c>
      <c r="C259" s="212" t="s">
        <v>506</v>
      </c>
      <c r="D259" s="212" t="s">
        <v>489</v>
      </c>
      <c r="E259" s="212" t="s">
        <v>494</v>
      </c>
      <c r="F259" s="212" t="s">
        <v>495</v>
      </c>
      <c r="G259" s="212" t="s">
        <v>297</v>
      </c>
      <c r="H259" s="212" t="s">
        <v>503</v>
      </c>
      <c r="I259" s="290" t="s">
        <v>756</v>
      </c>
      <c r="J259" s="291" t="s">
        <v>757</v>
      </c>
      <c r="K259" s="290" t="s">
        <v>758</v>
      </c>
      <c r="L259" s="290" t="s">
        <v>759</v>
      </c>
      <c r="M259" s="654" t="s">
        <v>1190</v>
      </c>
      <c r="N259" s="213" t="s">
        <v>1173</v>
      </c>
      <c r="O259" s="292">
        <v>97.400671000000003</v>
      </c>
      <c r="P259" s="292">
        <v>23.099304</v>
      </c>
      <c r="Q259" s="293"/>
      <c r="R259" s="649"/>
      <c r="S259" s="649"/>
      <c r="T259" s="294" t="str">
        <f>IF(CampList[[#This Row],[HH]]&gt;0,CampList[[#This Row],[Total]]/CampList[[#This Row],[HH]],"NA")</f>
        <v>NA</v>
      </c>
      <c r="U259" s="197" t="s">
        <v>464</v>
      </c>
      <c r="V259" s="295" t="s">
        <v>997</v>
      </c>
      <c r="W259" s="196" t="s">
        <v>507</v>
      </c>
      <c r="X259" s="196" t="s">
        <v>742</v>
      </c>
      <c r="Y259" s="296"/>
      <c r="Z259" s="293"/>
      <c r="AA259" s="290" t="s">
        <v>775</v>
      </c>
      <c r="AB259" s="297">
        <v>42888</v>
      </c>
      <c r="AC259" s="298" t="s">
        <v>1252</v>
      </c>
      <c r="AD259" s="299" t="str">
        <f ca="1">IFERROR(OFFSET(DistanceToCamp[Nearest Town],MATCH(CampList[[#This Row],[CP_Pcode]],DistanceToCamp[CP_Pcode],0)-1,0,1,1),"")</f>
        <v/>
      </c>
      <c r="AE259" s="300" t="str">
        <f ca="1">IFERROR(OFFSET(DistanceToCamp[distance],MATCH(CampList[[#This Row],[CP_Pcode]],DistanceToCamp[CP_Pcode],0)-1,0,1,1),"")</f>
        <v/>
      </c>
      <c r="AF259" s="301" t="str">
        <f ca="1">IFERROR(INT(CampList[[#This Row],[Distance]]/5)+1,"")</f>
        <v/>
      </c>
    </row>
    <row r="260" spans="2:32" ht="15.75" hidden="1" customHeight="1" x14ac:dyDescent="0.25">
      <c r="B260" s="289" t="s">
        <v>776</v>
      </c>
      <c r="C260" s="212" t="s">
        <v>506</v>
      </c>
      <c r="D260" s="212" t="s">
        <v>489</v>
      </c>
      <c r="E260" s="212" t="s">
        <v>494</v>
      </c>
      <c r="F260" s="212" t="s">
        <v>495</v>
      </c>
      <c r="G260" s="212" t="s">
        <v>297</v>
      </c>
      <c r="H260" s="212" t="s">
        <v>503</v>
      </c>
      <c r="I260" s="290" t="s">
        <v>756</v>
      </c>
      <c r="J260" s="291" t="s">
        <v>757</v>
      </c>
      <c r="K260" s="290" t="s">
        <v>758</v>
      </c>
      <c r="L260" s="290" t="s">
        <v>759</v>
      </c>
      <c r="M260" s="212" t="s">
        <v>1192</v>
      </c>
      <c r="N260" s="213" t="s">
        <v>1174</v>
      </c>
      <c r="O260" s="292"/>
      <c r="P260" s="292"/>
      <c r="Q260" s="293"/>
      <c r="R260" s="251">
        <v>13</v>
      </c>
      <c r="S260" s="251">
        <v>45</v>
      </c>
      <c r="T260" s="294">
        <f>IF(CampList[[#This Row],[HH]]&gt;0,CampList[[#This Row],[Total]]/CampList[[#This Row],[HH]],"NA")</f>
        <v>3.4615384615384617</v>
      </c>
      <c r="U260" s="197" t="s">
        <v>464</v>
      </c>
      <c r="V260" s="295" t="s">
        <v>997</v>
      </c>
      <c r="W260" s="214" t="s">
        <v>1399</v>
      </c>
      <c r="X260" s="196" t="s">
        <v>742</v>
      </c>
      <c r="Y260" s="296"/>
      <c r="Z260" s="293"/>
      <c r="AA260" s="290" t="s">
        <v>775</v>
      </c>
      <c r="AB260" s="297">
        <v>42752</v>
      </c>
      <c r="AC260" s="298" t="s">
        <v>1554</v>
      </c>
      <c r="AD260" s="299" t="str">
        <f ca="1">IFERROR(OFFSET(DistanceToCamp[Nearest Town],MATCH(CampList[[#This Row],[CP_Pcode]],DistanceToCamp[CP_Pcode],0)-1,0,1,1),"")</f>
        <v/>
      </c>
      <c r="AE260" s="300" t="str">
        <f ca="1">IFERROR(OFFSET(DistanceToCamp[distance],MATCH(CampList[[#This Row],[CP_Pcode]],DistanceToCamp[CP_Pcode],0)-1,0,1,1),"")</f>
        <v/>
      </c>
      <c r="AF260" s="301" t="str">
        <f ca="1">IFERROR(INT(CampList[[#This Row],[Distance]]/5)+1,"")</f>
        <v/>
      </c>
    </row>
    <row r="261" spans="2:32" ht="15.75" hidden="1" customHeight="1" x14ac:dyDescent="0.25">
      <c r="B261" s="289" t="s">
        <v>776</v>
      </c>
      <c r="C261" s="212" t="s">
        <v>506</v>
      </c>
      <c r="D261" s="212" t="s">
        <v>489</v>
      </c>
      <c r="E261" s="212" t="s">
        <v>494</v>
      </c>
      <c r="F261" s="212" t="s">
        <v>495</v>
      </c>
      <c r="G261" s="212" t="s">
        <v>297</v>
      </c>
      <c r="H261" s="212" t="s">
        <v>503</v>
      </c>
      <c r="I261" s="290" t="s">
        <v>756</v>
      </c>
      <c r="J261" s="291" t="s">
        <v>757</v>
      </c>
      <c r="K261" s="290" t="s">
        <v>758</v>
      </c>
      <c r="L261" s="290" t="s">
        <v>759</v>
      </c>
      <c r="M261" s="654" t="s">
        <v>1193</v>
      </c>
      <c r="N261" s="213" t="s">
        <v>1175</v>
      </c>
      <c r="O261" s="292"/>
      <c r="P261" s="292"/>
      <c r="Q261" s="293"/>
      <c r="R261" s="251"/>
      <c r="S261" s="251"/>
      <c r="T261" s="294" t="str">
        <f>IF(CampList[[#This Row],[HH]]&gt;0,CampList[[#This Row],[Total]]/CampList[[#This Row],[HH]],"NA")</f>
        <v>NA</v>
      </c>
      <c r="U261" s="197" t="s">
        <v>464</v>
      </c>
      <c r="V261" s="295" t="s">
        <v>997</v>
      </c>
      <c r="W261" s="196" t="s">
        <v>507</v>
      </c>
      <c r="X261" s="196" t="s">
        <v>742</v>
      </c>
      <c r="Y261" s="296"/>
      <c r="Z261" s="293"/>
      <c r="AA261" s="290" t="s">
        <v>775</v>
      </c>
      <c r="AB261" s="225">
        <v>42919</v>
      </c>
      <c r="AC261" s="298" t="s">
        <v>1278</v>
      </c>
      <c r="AD261" s="299" t="str">
        <f ca="1">IFERROR(OFFSET(DistanceToCamp[Nearest Town],MATCH(CampList[[#This Row],[CP_Pcode]],DistanceToCamp[CP_Pcode],0)-1,0,1,1),"")</f>
        <v/>
      </c>
      <c r="AE261" s="300" t="str">
        <f ca="1">IFERROR(OFFSET(DistanceToCamp[distance],MATCH(CampList[[#This Row],[CP_Pcode]],DistanceToCamp[CP_Pcode],0)-1,0,1,1),"")</f>
        <v/>
      </c>
      <c r="AF261" s="301" t="str">
        <f ca="1">IFERROR(INT(CampList[[#This Row],[Distance]]/5)+1,"")</f>
        <v/>
      </c>
    </row>
    <row r="262" spans="2:32" ht="15.75" hidden="1" customHeight="1" x14ac:dyDescent="0.25">
      <c r="B262" s="289" t="s">
        <v>776</v>
      </c>
      <c r="C262" s="212" t="s">
        <v>506</v>
      </c>
      <c r="D262" s="212" t="s">
        <v>489</v>
      </c>
      <c r="E262" s="212" t="s">
        <v>494</v>
      </c>
      <c r="F262" s="212" t="s">
        <v>495</v>
      </c>
      <c r="G262" s="212" t="s">
        <v>297</v>
      </c>
      <c r="H262" s="212" t="s">
        <v>503</v>
      </c>
      <c r="I262" s="290" t="s">
        <v>756</v>
      </c>
      <c r="J262" s="291" t="s">
        <v>757</v>
      </c>
      <c r="K262" s="290" t="s">
        <v>758</v>
      </c>
      <c r="L262" s="290" t="s">
        <v>759</v>
      </c>
      <c r="M262" s="654" t="s">
        <v>1194</v>
      </c>
      <c r="N262" s="213" t="s">
        <v>1176</v>
      </c>
      <c r="O262" s="292"/>
      <c r="P262" s="292"/>
      <c r="Q262" s="293"/>
      <c r="R262" s="251"/>
      <c r="S262" s="251"/>
      <c r="T262" s="294" t="str">
        <f>IF(CampList[[#This Row],[HH]]&gt;0,CampList[[#This Row],[Total]]/CampList[[#This Row],[HH]],"NA")</f>
        <v>NA</v>
      </c>
      <c r="U262" s="197" t="s">
        <v>464</v>
      </c>
      <c r="V262" s="295" t="s">
        <v>997</v>
      </c>
      <c r="W262" s="196" t="s">
        <v>507</v>
      </c>
      <c r="X262" s="196" t="s">
        <v>742</v>
      </c>
      <c r="Y262" s="296"/>
      <c r="Z262" s="293"/>
      <c r="AA262" s="290" t="s">
        <v>775</v>
      </c>
      <c r="AB262" s="225">
        <v>42919</v>
      </c>
      <c r="AC262" s="298" t="s">
        <v>1278</v>
      </c>
      <c r="AD262" s="299" t="str">
        <f ca="1">IFERROR(OFFSET(DistanceToCamp[Nearest Town],MATCH(CampList[[#This Row],[CP_Pcode]],DistanceToCamp[CP_Pcode],0)-1,0,1,1),"")</f>
        <v/>
      </c>
      <c r="AE262" s="300" t="str">
        <f ca="1">IFERROR(OFFSET(DistanceToCamp[distance],MATCH(CampList[[#This Row],[CP_Pcode]],DistanceToCamp[CP_Pcode],0)-1,0,1,1),"")</f>
        <v/>
      </c>
      <c r="AF262" s="301" t="str">
        <f ca="1">IFERROR(INT(CampList[[#This Row],[Distance]]/5)+1,"")</f>
        <v/>
      </c>
    </row>
    <row r="263" spans="2:32" ht="15.75" customHeight="1" x14ac:dyDescent="0.25">
      <c r="B263" s="289" t="s">
        <v>460</v>
      </c>
      <c r="C263" s="212" t="s">
        <v>506</v>
      </c>
      <c r="D263" s="212" t="s">
        <v>489</v>
      </c>
      <c r="E263" s="212" t="s">
        <v>494</v>
      </c>
      <c r="F263" s="212" t="s">
        <v>495</v>
      </c>
      <c r="G263" s="212" t="s">
        <v>297</v>
      </c>
      <c r="H263" s="212" t="s">
        <v>503</v>
      </c>
      <c r="I263" s="290" t="s">
        <v>756</v>
      </c>
      <c r="J263" s="291" t="s">
        <v>757</v>
      </c>
      <c r="K263" s="290" t="s">
        <v>758</v>
      </c>
      <c r="L263" s="290" t="s">
        <v>759</v>
      </c>
      <c r="M263" s="212" t="s">
        <v>1195</v>
      </c>
      <c r="N263" s="213" t="s">
        <v>1177</v>
      </c>
      <c r="O263" s="292"/>
      <c r="P263" s="292"/>
      <c r="Q263" s="293"/>
      <c r="R263" s="251">
        <v>43</v>
      </c>
      <c r="S263" s="251">
        <v>223</v>
      </c>
      <c r="T263" s="294">
        <f>IF(CampList[[#This Row],[HH]]&gt;0,CampList[[#This Row],[Total]]/CampList[[#This Row],[HH]],"NA")</f>
        <v>5.1860465116279073</v>
      </c>
      <c r="U263" s="197" t="s">
        <v>464</v>
      </c>
      <c r="V263" s="295" t="s">
        <v>997</v>
      </c>
      <c r="W263" s="197" t="s">
        <v>507</v>
      </c>
      <c r="X263" s="196" t="s">
        <v>742</v>
      </c>
      <c r="Y263" s="296"/>
      <c r="Z263" s="233" t="s">
        <v>1050</v>
      </c>
      <c r="AA263" s="290" t="s">
        <v>775</v>
      </c>
      <c r="AB263" s="566">
        <v>43220</v>
      </c>
      <c r="AC263" s="298" t="s">
        <v>1770</v>
      </c>
      <c r="AD263" s="299" t="str">
        <f ca="1">IFERROR(OFFSET(DistanceToCamp[Nearest Town],MATCH(CampList[[#This Row],[CP_Pcode]],DistanceToCamp[CP_Pcode],0)-1,0,1,1),"")</f>
        <v/>
      </c>
      <c r="AE263" s="300" t="str">
        <f ca="1">IFERROR(OFFSET(DistanceToCamp[distance],MATCH(CampList[[#This Row],[CP_Pcode]],DistanceToCamp[CP_Pcode],0)-1,0,1,1),"")</f>
        <v/>
      </c>
      <c r="AF263" s="301" t="str">
        <f ca="1">IFERROR(INT(CampList[[#This Row],[Distance]]/5)+1,"")</f>
        <v/>
      </c>
    </row>
    <row r="264" spans="2:32" ht="15.75" hidden="1" customHeight="1" x14ac:dyDescent="0.25">
      <c r="B264" s="289" t="s">
        <v>776</v>
      </c>
      <c r="C264" s="212" t="s">
        <v>506</v>
      </c>
      <c r="D264" s="212" t="s">
        <v>489</v>
      </c>
      <c r="E264" s="212" t="s">
        <v>230</v>
      </c>
      <c r="F264" s="212" t="s">
        <v>490</v>
      </c>
      <c r="G264" s="212" t="s">
        <v>230</v>
      </c>
      <c r="H264" s="212" t="s">
        <v>491</v>
      </c>
      <c r="I264" s="290" t="s">
        <v>901</v>
      </c>
      <c r="J264" s="291" t="s">
        <v>902</v>
      </c>
      <c r="K264" s="290" t="s">
        <v>903</v>
      </c>
      <c r="L264" s="290" t="s">
        <v>904</v>
      </c>
      <c r="M264" s="186" t="s">
        <v>1202</v>
      </c>
      <c r="N264" s="213" t="s">
        <v>1178</v>
      </c>
      <c r="O264" s="292"/>
      <c r="P264" s="292"/>
      <c r="Q264" s="293"/>
      <c r="R264" s="196"/>
      <c r="S264" s="199"/>
      <c r="T264" s="294" t="str">
        <f>IF(CampList[[#This Row],[HH]]&gt;0,CampList[[#This Row],[Total]]/CampList[[#This Row],[HH]],"NA")</f>
        <v>NA</v>
      </c>
      <c r="U264" s="197" t="s">
        <v>464</v>
      </c>
      <c r="V264" s="295" t="s">
        <v>997</v>
      </c>
      <c r="W264" s="196" t="s">
        <v>507</v>
      </c>
      <c r="X264" s="196" t="s">
        <v>742</v>
      </c>
      <c r="Y264" s="296"/>
      <c r="Z264" s="293"/>
      <c r="AA264" s="290" t="s">
        <v>775</v>
      </c>
      <c r="AB264" s="297">
        <v>42831</v>
      </c>
      <c r="AC264" s="298" t="s">
        <v>1230</v>
      </c>
      <c r="AD264" s="299" t="str">
        <f ca="1">IFERROR(OFFSET(DistanceToCamp[Nearest Town],MATCH(CampList[[#This Row],[CP_Pcode]],DistanceToCamp[CP_Pcode],0)-1,0,1,1),"")</f>
        <v/>
      </c>
      <c r="AE264" s="300" t="str">
        <f ca="1">IFERROR(OFFSET(DistanceToCamp[distance],MATCH(CampList[[#This Row],[CP_Pcode]],DistanceToCamp[CP_Pcode],0)-1,0,1,1),"")</f>
        <v/>
      </c>
      <c r="AF264" s="301" t="str">
        <f ca="1">IFERROR(INT(CampList[[#This Row],[Distance]]/5)+1,"")</f>
        <v/>
      </c>
    </row>
    <row r="265" spans="2:32" ht="15.75" hidden="1" customHeight="1" x14ac:dyDescent="0.25">
      <c r="B265" s="289" t="s">
        <v>776</v>
      </c>
      <c r="C265" s="212" t="s">
        <v>506</v>
      </c>
      <c r="D265" s="212" t="s">
        <v>489</v>
      </c>
      <c r="E265" s="212" t="s">
        <v>230</v>
      </c>
      <c r="F265" s="212" t="s">
        <v>490</v>
      </c>
      <c r="G265" s="212" t="s">
        <v>230</v>
      </c>
      <c r="H265" s="212" t="s">
        <v>491</v>
      </c>
      <c r="I265" s="290" t="s">
        <v>901</v>
      </c>
      <c r="J265" s="291" t="s">
        <v>902</v>
      </c>
      <c r="K265" s="290" t="s">
        <v>1206</v>
      </c>
      <c r="L265" s="290" t="s">
        <v>1207</v>
      </c>
      <c r="M265" s="186" t="s">
        <v>1212</v>
      </c>
      <c r="N265" s="213" t="s">
        <v>1179</v>
      </c>
      <c r="O265" s="292"/>
      <c r="P265" s="292"/>
      <c r="Q265" s="293"/>
      <c r="R265" s="196"/>
      <c r="S265" s="199"/>
      <c r="T265" s="294" t="str">
        <f>IF(CampList[[#This Row],[HH]]&gt;0,CampList[[#This Row],[Total]]/CampList[[#This Row],[HH]],"NA")</f>
        <v>NA</v>
      </c>
      <c r="U265" s="197" t="s">
        <v>464</v>
      </c>
      <c r="V265" s="295" t="s">
        <v>997</v>
      </c>
      <c r="W265" s="196" t="s">
        <v>507</v>
      </c>
      <c r="X265" s="196" t="s">
        <v>742</v>
      </c>
      <c r="Y265" s="296"/>
      <c r="Z265" s="293"/>
      <c r="AA265" s="290"/>
      <c r="AB265" s="297">
        <v>42752</v>
      </c>
      <c r="AC265" s="298" t="s">
        <v>1191</v>
      </c>
      <c r="AD265" s="299" t="str">
        <f ca="1">IFERROR(OFFSET(DistanceToCamp[Nearest Town],MATCH(CampList[[#This Row],[CP_Pcode]],DistanceToCamp[CP_Pcode],0)-1,0,1,1),"")</f>
        <v/>
      </c>
      <c r="AE265" s="300" t="str">
        <f ca="1">IFERROR(OFFSET(DistanceToCamp[distance],MATCH(CampList[[#This Row],[CP_Pcode]],DistanceToCamp[CP_Pcode],0)-1,0,1,1),"")</f>
        <v/>
      </c>
      <c r="AF265" s="301" t="str">
        <f ca="1">IFERROR(INT(CampList[[#This Row],[Distance]]/5)+1,"")</f>
        <v/>
      </c>
    </row>
    <row r="266" spans="2:32" ht="15.75" hidden="1" customHeight="1" x14ac:dyDescent="0.25">
      <c r="B266" s="289" t="s">
        <v>776</v>
      </c>
      <c r="C266" s="212" t="s">
        <v>506</v>
      </c>
      <c r="D266" s="212" t="s">
        <v>489</v>
      </c>
      <c r="E266" s="212" t="s">
        <v>230</v>
      </c>
      <c r="F266" s="212" t="s">
        <v>490</v>
      </c>
      <c r="G266" s="212" t="s">
        <v>230</v>
      </c>
      <c r="H266" s="212" t="s">
        <v>491</v>
      </c>
      <c r="I266" s="290" t="s">
        <v>901</v>
      </c>
      <c r="J266" s="291" t="s">
        <v>902</v>
      </c>
      <c r="K266" s="290" t="s">
        <v>1208</v>
      </c>
      <c r="L266" s="290" t="s">
        <v>1209</v>
      </c>
      <c r="M266" s="186" t="s">
        <v>1213</v>
      </c>
      <c r="N266" s="213" t="s">
        <v>1180</v>
      </c>
      <c r="O266" s="292"/>
      <c r="P266" s="292"/>
      <c r="Q266" s="293"/>
      <c r="R266" s="196"/>
      <c r="S266" s="199"/>
      <c r="T266" s="294" t="str">
        <f>IF(CampList[[#This Row],[HH]]&gt;0,CampList[[#This Row],[Total]]/CampList[[#This Row],[HH]],"NA")</f>
        <v>NA</v>
      </c>
      <c r="U266" s="197" t="s">
        <v>464</v>
      </c>
      <c r="V266" s="295" t="s">
        <v>997</v>
      </c>
      <c r="W266" s="196" t="s">
        <v>507</v>
      </c>
      <c r="X266" s="196" t="s">
        <v>742</v>
      </c>
      <c r="Y266" s="296"/>
      <c r="Z266" s="293"/>
      <c r="AA266" s="290"/>
      <c r="AB266" s="297">
        <v>42752</v>
      </c>
      <c r="AC266" s="298" t="s">
        <v>1191</v>
      </c>
      <c r="AD266" s="299" t="str">
        <f ca="1">IFERROR(OFFSET(DistanceToCamp[Nearest Town],MATCH(CampList[[#This Row],[CP_Pcode]],DistanceToCamp[CP_Pcode],0)-1,0,1,1),"")</f>
        <v/>
      </c>
      <c r="AE266" s="300" t="str">
        <f ca="1">IFERROR(OFFSET(DistanceToCamp[distance],MATCH(CampList[[#This Row],[CP_Pcode]],DistanceToCamp[CP_Pcode],0)-1,0,1,1),"")</f>
        <v/>
      </c>
      <c r="AF266" s="301" t="str">
        <f ca="1">IFERROR(INT(CampList[[#This Row],[Distance]]/5)+1,"")</f>
        <v/>
      </c>
    </row>
    <row r="267" spans="2:32" ht="15.75" hidden="1" customHeight="1" x14ac:dyDescent="0.25">
      <c r="B267" s="289" t="s">
        <v>776</v>
      </c>
      <c r="C267" s="212" t="s">
        <v>506</v>
      </c>
      <c r="D267" s="212" t="s">
        <v>489</v>
      </c>
      <c r="E267" s="212" t="s">
        <v>230</v>
      </c>
      <c r="F267" s="212" t="s">
        <v>490</v>
      </c>
      <c r="G267" s="212" t="s">
        <v>230</v>
      </c>
      <c r="H267" s="212" t="s">
        <v>491</v>
      </c>
      <c r="I267" s="290"/>
      <c r="J267" s="291"/>
      <c r="K267" s="290"/>
      <c r="L267" s="290"/>
      <c r="M267" s="186" t="s">
        <v>1203</v>
      </c>
      <c r="N267" s="213" t="s">
        <v>1181</v>
      </c>
      <c r="O267" s="292"/>
      <c r="P267" s="292"/>
      <c r="Q267" s="293"/>
      <c r="R267" s="196"/>
      <c r="S267" s="199"/>
      <c r="T267" s="294" t="str">
        <f>IF(CampList[[#This Row],[HH]]&gt;0,CampList[[#This Row],[Total]]/CampList[[#This Row],[HH]],"NA")</f>
        <v>NA</v>
      </c>
      <c r="U267" s="197" t="s">
        <v>464</v>
      </c>
      <c r="V267" s="295" t="s">
        <v>997</v>
      </c>
      <c r="W267" s="196" t="s">
        <v>507</v>
      </c>
      <c r="X267" s="196"/>
      <c r="Y267" s="296"/>
      <c r="Z267" s="293"/>
      <c r="AA267" s="290" t="s">
        <v>775</v>
      </c>
      <c r="AB267" s="297">
        <v>42831</v>
      </c>
      <c r="AC267" s="298" t="s">
        <v>1230</v>
      </c>
      <c r="AD267" s="299" t="str">
        <f ca="1">IFERROR(OFFSET(DistanceToCamp[Nearest Town],MATCH(CampList[[#This Row],[CP_Pcode]],DistanceToCamp[CP_Pcode],0)-1,0,1,1),"")</f>
        <v/>
      </c>
      <c r="AE267" s="300" t="str">
        <f ca="1">IFERROR(OFFSET(DistanceToCamp[distance],MATCH(CampList[[#This Row],[CP_Pcode]],DistanceToCamp[CP_Pcode],0)-1,0,1,1),"")</f>
        <v/>
      </c>
      <c r="AF267" s="301" t="str">
        <f ca="1">IFERROR(INT(CampList[[#This Row],[Distance]]/5)+1,"")</f>
        <v/>
      </c>
    </row>
    <row r="268" spans="2:32" ht="15.75" hidden="1" customHeight="1" x14ac:dyDescent="0.25">
      <c r="B268" s="289" t="s">
        <v>776</v>
      </c>
      <c r="C268" s="212" t="s">
        <v>506</v>
      </c>
      <c r="D268" s="212" t="s">
        <v>489</v>
      </c>
      <c r="E268" s="212" t="s">
        <v>230</v>
      </c>
      <c r="F268" s="212" t="s">
        <v>490</v>
      </c>
      <c r="G268" s="212" t="s">
        <v>230</v>
      </c>
      <c r="H268" s="212" t="s">
        <v>491</v>
      </c>
      <c r="I268" s="290" t="s">
        <v>901</v>
      </c>
      <c r="J268" s="291" t="s">
        <v>902</v>
      </c>
      <c r="K268" s="290" t="s">
        <v>1210</v>
      </c>
      <c r="L268" s="290" t="s">
        <v>1211</v>
      </c>
      <c r="M268" s="186" t="s">
        <v>1214</v>
      </c>
      <c r="N268" s="213" t="s">
        <v>1182</v>
      </c>
      <c r="O268" s="292"/>
      <c r="P268" s="292"/>
      <c r="Q268" s="293"/>
      <c r="R268" s="196"/>
      <c r="S268" s="199"/>
      <c r="T268" s="294" t="str">
        <f>IF(CampList[[#This Row],[HH]]&gt;0,CampList[[#This Row],[Total]]/CampList[[#This Row],[HH]],"NA")</f>
        <v>NA</v>
      </c>
      <c r="U268" s="197" t="s">
        <v>464</v>
      </c>
      <c r="V268" s="295" t="s">
        <v>997</v>
      </c>
      <c r="W268" s="196" t="s">
        <v>507</v>
      </c>
      <c r="X268" s="196" t="s">
        <v>742</v>
      </c>
      <c r="Y268" s="296"/>
      <c r="Z268" s="293"/>
      <c r="AA268" s="290" t="s">
        <v>775</v>
      </c>
      <c r="AB268" s="297">
        <v>42831</v>
      </c>
      <c r="AC268" s="298" t="s">
        <v>1230</v>
      </c>
      <c r="AD268" s="299" t="str">
        <f ca="1">IFERROR(OFFSET(DistanceToCamp[Nearest Town],MATCH(CampList[[#This Row],[CP_Pcode]],DistanceToCamp[CP_Pcode],0)-1,0,1,1),"")</f>
        <v/>
      </c>
      <c r="AE268" s="300" t="str">
        <f ca="1">IFERROR(OFFSET(DistanceToCamp[distance],MATCH(CampList[[#This Row],[CP_Pcode]],DistanceToCamp[CP_Pcode],0)-1,0,1,1),"")</f>
        <v/>
      </c>
      <c r="AF268" s="301" t="str">
        <f ca="1">IFERROR(INT(CampList[[#This Row],[Distance]]/5)+1,"")</f>
        <v/>
      </c>
    </row>
    <row r="269" spans="2:32" ht="15.75" customHeight="1" x14ac:dyDescent="0.25">
      <c r="B269" s="289" t="s">
        <v>460</v>
      </c>
      <c r="C269" s="213" t="s">
        <v>378</v>
      </c>
      <c r="D269" s="213" t="s">
        <v>478</v>
      </c>
      <c r="E269" s="213" t="s">
        <v>237</v>
      </c>
      <c r="F269" s="213" t="s">
        <v>484</v>
      </c>
      <c r="G269" s="213" t="s">
        <v>309</v>
      </c>
      <c r="H269" s="213" t="s">
        <v>485</v>
      </c>
      <c r="I269" s="213" t="s">
        <v>1256</v>
      </c>
      <c r="J269" s="232" t="s">
        <v>1257</v>
      </c>
      <c r="K269" s="213" t="s">
        <v>1258</v>
      </c>
      <c r="L269" s="213">
        <v>216822</v>
      </c>
      <c r="M269" s="213" t="s">
        <v>1262</v>
      </c>
      <c r="N269" s="213" t="s">
        <v>1259</v>
      </c>
      <c r="O269" s="221">
        <v>97.430321000000006</v>
      </c>
      <c r="P269" s="221">
        <v>25.305008999999998</v>
      </c>
      <c r="Q269" s="233"/>
      <c r="R269" s="221">
        <v>62</v>
      </c>
      <c r="S269" s="233">
        <v>410</v>
      </c>
      <c r="T269" s="222">
        <f>IF(CampList[[#This Row],[HH]]&gt;0,CampList[[#This Row],[Total]]/CampList[[#This Row],[HH]],"NA")</f>
        <v>6.612903225806452</v>
      </c>
      <c r="U269" s="197" t="s">
        <v>464</v>
      </c>
      <c r="V269" s="214" t="s">
        <v>997</v>
      </c>
      <c r="W269" s="214" t="s">
        <v>1399</v>
      </c>
      <c r="X269" s="197" t="s">
        <v>785</v>
      </c>
      <c r="Y269" s="332"/>
      <c r="Z269" s="233"/>
      <c r="AA269" s="213" t="s">
        <v>1263</v>
      </c>
      <c r="AB269" s="225">
        <v>42888</v>
      </c>
      <c r="AC269" s="235" t="s">
        <v>1264</v>
      </c>
      <c r="AD269" s="236" t="str">
        <f ca="1">IFERROR(OFFSET(DistanceToCamp[Nearest Town],MATCH(CampList[[#This Row],[CP_Pcode]],DistanceToCamp[CP_Pcode],0)-1,0,1,1),"")</f>
        <v/>
      </c>
      <c r="AE269" s="227" t="str">
        <f ca="1">IFERROR(OFFSET(DistanceToCamp[distance],MATCH(CampList[[#This Row],[CP_Pcode]],DistanceToCamp[CP_Pcode],0)-1,0,1,1),"")</f>
        <v/>
      </c>
      <c r="AF269" s="237" t="str">
        <f ca="1">IFERROR(INT(CampList[[#This Row],[Distance]]/5)+1,"")</f>
        <v/>
      </c>
    </row>
    <row r="270" spans="2:32" ht="15.75" hidden="1" customHeight="1" x14ac:dyDescent="0.25">
      <c r="B270" s="289" t="s">
        <v>776</v>
      </c>
      <c r="C270" s="212" t="s">
        <v>506</v>
      </c>
      <c r="D270" s="212" t="s">
        <v>489</v>
      </c>
      <c r="E270" s="212" t="s">
        <v>230</v>
      </c>
      <c r="F270" s="212" t="s">
        <v>490</v>
      </c>
      <c r="G270" s="212" t="s">
        <v>230</v>
      </c>
      <c r="H270" s="212" t="s">
        <v>491</v>
      </c>
      <c r="I270" s="290" t="s">
        <v>1215</v>
      </c>
      <c r="J270" s="291" t="s">
        <v>1216</v>
      </c>
      <c r="K270" s="290" t="s">
        <v>1217</v>
      </c>
      <c r="L270" s="290">
        <v>208003</v>
      </c>
      <c r="M270" s="186" t="s">
        <v>1218</v>
      </c>
      <c r="N270" s="213" t="s">
        <v>1183</v>
      </c>
      <c r="O270" s="292"/>
      <c r="P270" s="292"/>
      <c r="Q270" s="293"/>
      <c r="R270" s="196"/>
      <c r="S270" s="199"/>
      <c r="T270" s="294" t="str">
        <f>IF(CampList[[#This Row],[HH]]&gt;0,CampList[[#This Row],[Total]]/CampList[[#This Row],[HH]],"NA")</f>
        <v>NA</v>
      </c>
      <c r="U270" s="197" t="s">
        <v>464</v>
      </c>
      <c r="V270" s="295" t="s">
        <v>997</v>
      </c>
      <c r="W270" s="196" t="s">
        <v>507</v>
      </c>
      <c r="X270" s="196" t="s">
        <v>785</v>
      </c>
      <c r="Y270" s="296"/>
      <c r="Z270" s="293"/>
      <c r="AA270" s="290" t="s">
        <v>775</v>
      </c>
      <c r="AB270" s="297">
        <v>42831</v>
      </c>
      <c r="AC270" s="298" t="s">
        <v>1230</v>
      </c>
      <c r="AD270" s="299" t="str">
        <f ca="1">IFERROR(OFFSET(DistanceToCamp[Nearest Town],MATCH(CampList[[#This Row],[CP_Pcode]],DistanceToCamp[CP_Pcode],0)-1,0,1,1),"")</f>
        <v/>
      </c>
      <c r="AE270" s="300" t="str">
        <f ca="1">IFERROR(OFFSET(DistanceToCamp[distance],MATCH(CampList[[#This Row],[CP_Pcode]],DistanceToCamp[CP_Pcode],0)-1,0,1,1),"")</f>
        <v/>
      </c>
      <c r="AF270" s="301" t="str">
        <f ca="1">IFERROR(INT(CampList[[#This Row],[Distance]]/5)+1,"")</f>
        <v/>
      </c>
    </row>
    <row r="271" spans="2:32" ht="15.75" hidden="1" customHeight="1" x14ac:dyDescent="0.25">
      <c r="B271" s="289" t="s">
        <v>776</v>
      </c>
      <c r="C271" s="212" t="s">
        <v>506</v>
      </c>
      <c r="D271" s="212" t="s">
        <v>489</v>
      </c>
      <c r="E271" s="212" t="s">
        <v>230</v>
      </c>
      <c r="F271" s="212" t="s">
        <v>490</v>
      </c>
      <c r="G271" s="212" t="s">
        <v>230</v>
      </c>
      <c r="H271" s="212" t="s">
        <v>491</v>
      </c>
      <c r="I271" s="290" t="s">
        <v>901</v>
      </c>
      <c r="J271" s="291" t="s">
        <v>902</v>
      </c>
      <c r="K271" s="290" t="s">
        <v>903</v>
      </c>
      <c r="L271" s="290" t="s">
        <v>904</v>
      </c>
      <c r="M271" s="186" t="s">
        <v>1196</v>
      </c>
      <c r="N271" s="213" t="s">
        <v>1184</v>
      </c>
      <c r="O271" s="292"/>
      <c r="P271" s="292"/>
      <c r="Q271" s="293"/>
      <c r="R271" s="196"/>
      <c r="S271" s="199"/>
      <c r="T271" s="294" t="str">
        <f>IF(CampList[[#This Row],[HH]]&gt;0,CampList[[#This Row],[Total]]/CampList[[#This Row],[HH]],"NA")</f>
        <v>NA</v>
      </c>
      <c r="U271" s="197" t="s">
        <v>464</v>
      </c>
      <c r="V271" s="295" t="s">
        <v>997</v>
      </c>
      <c r="W271" s="196" t="s">
        <v>507</v>
      </c>
      <c r="X271" s="196" t="s">
        <v>742</v>
      </c>
      <c r="Y271" s="296"/>
      <c r="Z271" s="293"/>
      <c r="AA271" s="290" t="s">
        <v>775</v>
      </c>
      <c r="AB271" s="297">
        <v>42831</v>
      </c>
      <c r="AC271" s="298" t="s">
        <v>1230</v>
      </c>
      <c r="AD271" s="299" t="str">
        <f ca="1">IFERROR(OFFSET(DistanceToCamp[Nearest Town],MATCH(CampList[[#This Row],[CP_Pcode]],DistanceToCamp[CP_Pcode],0)-1,0,1,1),"")</f>
        <v/>
      </c>
      <c r="AE271" s="300" t="str">
        <f ca="1">IFERROR(OFFSET(DistanceToCamp[distance],MATCH(CampList[[#This Row],[CP_Pcode]],DistanceToCamp[CP_Pcode],0)-1,0,1,1),"")</f>
        <v/>
      </c>
      <c r="AF271" s="301" t="str">
        <f ca="1">IFERROR(INT(CampList[[#This Row],[Distance]]/5)+1,"")</f>
        <v/>
      </c>
    </row>
    <row r="272" spans="2:32" ht="15.75" hidden="1" customHeight="1" x14ac:dyDescent="0.25">
      <c r="B272" s="289" t="s">
        <v>776</v>
      </c>
      <c r="C272" s="212" t="s">
        <v>506</v>
      </c>
      <c r="D272" s="212" t="s">
        <v>489</v>
      </c>
      <c r="E272" s="212" t="s">
        <v>230</v>
      </c>
      <c r="F272" s="212" t="s">
        <v>490</v>
      </c>
      <c r="G272" s="212" t="s">
        <v>230</v>
      </c>
      <c r="H272" s="212" t="s">
        <v>491</v>
      </c>
      <c r="I272" s="290" t="s">
        <v>901</v>
      </c>
      <c r="J272" s="291" t="s">
        <v>902</v>
      </c>
      <c r="K272" s="290"/>
      <c r="L272" s="290"/>
      <c r="M272" s="186" t="s">
        <v>1197</v>
      </c>
      <c r="N272" s="213" t="s">
        <v>1185</v>
      </c>
      <c r="O272" s="292"/>
      <c r="P272" s="292"/>
      <c r="Q272" s="293"/>
      <c r="R272" s="196"/>
      <c r="S272" s="199"/>
      <c r="T272" s="294" t="str">
        <f>IF(CampList[[#This Row],[HH]]&gt;0,CampList[[#This Row],[Total]]/CampList[[#This Row],[HH]],"NA")</f>
        <v>NA</v>
      </c>
      <c r="U272" s="197" t="s">
        <v>464</v>
      </c>
      <c r="V272" s="295" t="s">
        <v>997</v>
      </c>
      <c r="W272" s="196" t="s">
        <v>507</v>
      </c>
      <c r="X272" s="196"/>
      <c r="Y272" s="296"/>
      <c r="Z272" s="293"/>
      <c r="AA272" s="290"/>
      <c r="AB272" s="297">
        <v>42752</v>
      </c>
      <c r="AC272" s="298" t="s">
        <v>1191</v>
      </c>
      <c r="AD272" s="299" t="str">
        <f ca="1">IFERROR(OFFSET(DistanceToCamp[Nearest Town],MATCH(CampList[[#This Row],[CP_Pcode]],DistanceToCamp[CP_Pcode],0)-1,0,1,1),"")</f>
        <v/>
      </c>
      <c r="AE272" s="300" t="str">
        <f ca="1">IFERROR(OFFSET(DistanceToCamp[distance],MATCH(CampList[[#This Row],[CP_Pcode]],DistanceToCamp[CP_Pcode],0)-1,0,1,1),"")</f>
        <v/>
      </c>
      <c r="AF272" s="301" t="str">
        <f ca="1">IFERROR(INT(CampList[[#This Row],[Distance]]/5)+1,"")</f>
        <v/>
      </c>
    </row>
    <row r="273" spans="2:32" ht="15.75" hidden="1" customHeight="1" x14ac:dyDescent="0.25">
      <c r="B273" s="289" t="s">
        <v>776</v>
      </c>
      <c r="C273" s="212" t="s">
        <v>506</v>
      </c>
      <c r="D273" s="212" t="s">
        <v>489</v>
      </c>
      <c r="E273" s="212" t="s">
        <v>230</v>
      </c>
      <c r="F273" s="212" t="s">
        <v>490</v>
      </c>
      <c r="G273" s="212" t="s">
        <v>230</v>
      </c>
      <c r="H273" s="212" t="s">
        <v>491</v>
      </c>
      <c r="I273" s="290" t="s">
        <v>901</v>
      </c>
      <c r="J273" s="291" t="s">
        <v>902</v>
      </c>
      <c r="K273" s="290" t="s">
        <v>903</v>
      </c>
      <c r="L273" s="290" t="s">
        <v>904</v>
      </c>
      <c r="M273" s="186" t="s">
        <v>1198</v>
      </c>
      <c r="N273" s="213" t="s">
        <v>1186</v>
      </c>
      <c r="O273" s="292"/>
      <c r="P273" s="292"/>
      <c r="Q273" s="293"/>
      <c r="R273" s="196"/>
      <c r="S273" s="199"/>
      <c r="T273" s="294" t="str">
        <f>IF(CampList[[#This Row],[HH]]&gt;0,CampList[[#This Row],[Total]]/CampList[[#This Row],[HH]],"NA")</f>
        <v>NA</v>
      </c>
      <c r="U273" s="197" t="s">
        <v>464</v>
      </c>
      <c r="V273" s="295" t="s">
        <v>997</v>
      </c>
      <c r="W273" s="196" t="s">
        <v>507</v>
      </c>
      <c r="X273" s="196" t="s">
        <v>742</v>
      </c>
      <c r="Y273" s="296"/>
      <c r="Z273" s="293"/>
      <c r="AA273" s="290" t="s">
        <v>775</v>
      </c>
      <c r="AB273" s="297">
        <v>42831</v>
      </c>
      <c r="AC273" s="298" t="s">
        <v>1230</v>
      </c>
      <c r="AD273" s="299" t="str">
        <f ca="1">IFERROR(OFFSET(DistanceToCamp[Nearest Town],MATCH(CampList[[#This Row],[CP_Pcode]],DistanceToCamp[CP_Pcode],0)-1,0,1,1),"")</f>
        <v/>
      </c>
      <c r="AE273" s="300" t="str">
        <f ca="1">IFERROR(OFFSET(DistanceToCamp[distance],MATCH(CampList[[#This Row],[CP_Pcode]],DistanceToCamp[CP_Pcode],0)-1,0,1,1),"")</f>
        <v/>
      </c>
      <c r="AF273" s="301" t="str">
        <f ca="1">IFERROR(INT(CampList[[#This Row],[Distance]]/5)+1,"")</f>
        <v/>
      </c>
    </row>
    <row r="274" spans="2:32" ht="15.75" customHeight="1" x14ac:dyDescent="0.25">
      <c r="B274" s="218" t="s">
        <v>460</v>
      </c>
      <c r="C274" s="212" t="s">
        <v>506</v>
      </c>
      <c r="D274" s="212" t="s">
        <v>489</v>
      </c>
      <c r="E274" s="212" t="s">
        <v>717</v>
      </c>
      <c r="F274" s="212" t="s">
        <v>718</v>
      </c>
      <c r="G274" s="212" t="s">
        <v>719</v>
      </c>
      <c r="H274" s="212" t="s">
        <v>720</v>
      </c>
      <c r="I274" s="212" t="s">
        <v>1062</v>
      </c>
      <c r="J274" s="212" t="s">
        <v>1063</v>
      </c>
      <c r="K274" s="212" t="s">
        <v>1062</v>
      </c>
      <c r="L274" s="212">
        <v>206352</v>
      </c>
      <c r="M274" s="212" t="s">
        <v>1062</v>
      </c>
      <c r="N274" s="212" t="s">
        <v>1046</v>
      </c>
      <c r="O274" s="251">
        <v>98.218626999999998</v>
      </c>
      <c r="P274" s="251">
        <v>23.354268999999999</v>
      </c>
      <c r="Q274" s="233"/>
      <c r="R274" s="292">
        <v>32</v>
      </c>
      <c r="S274" s="292">
        <v>167</v>
      </c>
      <c r="T274" s="222">
        <f>IF(CampList[[#This Row],[HH]]&gt;0,CampList[[#This Row],[Total]]/CampList[[#This Row],[HH]],"NA")</f>
        <v>5.21875</v>
      </c>
      <c r="U274" s="214" t="s">
        <v>464</v>
      </c>
      <c r="V274" s="214" t="s">
        <v>997</v>
      </c>
      <c r="W274" s="214" t="s">
        <v>507</v>
      </c>
      <c r="X274" s="214" t="s">
        <v>785</v>
      </c>
      <c r="Y274" s="234">
        <v>42036</v>
      </c>
      <c r="Z274" s="224" t="s">
        <v>424</v>
      </c>
      <c r="AA274" s="212" t="s">
        <v>775</v>
      </c>
      <c r="AB274" s="225">
        <v>43220</v>
      </c>
      <c r="AC274" s="226" t="s">
        <v>1761</v>
      </c>
      <c r="AD274" s="214"/>
      <c r="AE274" s="227" t="str">
        <f ca="1">IFERROR(OFFSET(DistanceToCamp[distance],MATCH(CampList[[#This Row],[CP_Pcode]],DistanceToCamp[CP_Pcode],0)-1,0,1,1),"")</f>
        <v/>
      </c>
      <c r="AF274" s="228" t="str">
        <f ca="1">IFERROR(INT(CampList[[#This Row],[Distance]]/5)+1,"")</f>
        <v/>
      </c>
    </row>
    <row r="275" spans="2:32" ht="15.75" customHeight="1" x14ac:dyDescent="0.25">
      <c r="B275" s="218" t="s">
        <v>460</v>
      </c>
      <c r="C275" s="212" t="s">
        <v>506</v>
      </c>
      <c r="D275" s="212" t="s">
        <v>489</v>
      </c>
      <c r="E275" s="212" t="s">
        <v>230</v>
      </c>
      <c r="F275" s="212" t="s">
        <v>490</v>
      </c>
      <c r="G275" s="212" t="s">
        <v>146</v>
      </c>
      <c r="H275" s="212" t="s">
        <v>497</v>
      </c>
      <c r="I275" s="240" t="s">
        <v>662</v>
      </c>
      <c r="J275" s="212" t="s">
        <v>1042</v>
      </c>
      <c r="K275" s="240" t="s">
        <v>662</v>
      </c>
      <c r="L275" s="255">
        <v>208747</v>
      </c>
      <c r="M275" s="213" t="s">
        <v>1661</v>
      </c>
      <c r="N275" s="213" t="s">
        <v>1124</v>
      </c>
      <c r="O275" s="221">
        <v>97.796999999999997</v>
      </c>
      <c r="P275" s="221">
        <v>23.591999999999999</v>
      </c>
      <c r="Q275" s="220"/>
      <c r="R275" s="292">
        <v>108</v>
      </c>
      <c r="S275" s="233">
        <v>527</v>
      </c>
      <c r="T275" s="222">
        <f>IF(CampList[[#This Row],[HH]]&gt;0,CampList[[#This Row],[Total]]/CampList[[#This Row],[HH]],"NA")</f>
        <v>4.8796296296296298</v>
      </c>
      <c r="U275" s="197" t="s">
        <v>464</v>
      </c>
      <c r="V275" s="214" t="s">
        <v>997</v>
      </c>
      <c r="W275" s="197" t="s">
        <v>507</v>
      </c>
      <c r="X275" s="197" t="s">
        <v>785</v>
      </c>
      <c r="Y275" s="234">
        <v>42435</v>
      </c>
      <c r="Z275" s="233" t="s">
        <v>424</v>
      </c>
      <c r="AA275" s="213" t="s">
        <v>775</v>
      </c>
      <c r="AB275" s="225">
        <v>43220</v>
      </c>
      <c r="AC275" s="235" t="s">
        <v>1762</v>
      </c>
      <c r="AD275" s="214"/>
      <c r="AE275" s="227" t="str">
        <f ca="1">IFERROR(OFFSET(DistanceToCamp[distance],MATCH(CampList[[#This Row],[CP_Pcode]],DistanceToCamp[CP_Pcode],0)-1,0,1,1),"")</f>
        <v/>
      </c>
      <c r="AF275" s="237" t="str">
        <f ca="1">IFERROR(INT(CampList[[#This Row],[Distance]]/5)+1,"")</f>
        <v/>
      </c>
    </row>
    <row r="276" spans="2:32" ht="15.75" customHeight="1" x14ac:dyDescent="0.25">
      <c r="B276" s="289" t="s">
        <v>460</v>
      </c>
      <c r="C276" s="212" t="s">
        <v>378</v>
      </c>
      <c r="D276" s="212"/>
      <c r="E276" s="212" t="s">
        <v>237</v>
      </c>
      <c r="F276" s="212"/>
      <c r="G276" s="212" t="s">
        <v>1140</v>
      </c>
      <c r="H276" s="212"/>
      <c r="I276" s="212" t="s">
        <v>1140</v>
      </c>
      <c r="J276" s="232"/>
      <c r="K276" s="212"/>
      <c r="L276" s="212"/>
      <c r="M276" s="213" t="s">
        <v>1421</v>
      </c>
      <c r="N276" s="407" t="s">
        <v>1424</v>
      </c>
      <c r="O276" s="219"/>
      <c r="P276" s="219"/>
      <c r="Q276" s="233"/>
      <c r="R276" s="302">
        <v>30</v>
      </c>
      <c r="S276" s="303">
        <v>130</v>
      </c>
      <c r="T276" s="222">
        <f>IF(CampList[[#This Row],[HH]]&gt;0,CampList[[#This Row],[Total]]/CampList[[#This Row],[HH]],"NA")</f>
        <v>4.333333333333333</v>
      </c>
      <c r="U276" s="197" t="s">
        <v>464</v>
      </c>
      <c r="V276" s="214" t="s">
        <v>997</v>
      </c>
      <c r="W276" s="214" t="s">
        <v>1399</v>
      </c>
      <c r="X276" s="214" t="s">
        <v>742</v>
      </c>
      <c r="Y276" s="223">
        <v>42741</v>
      </c>
      <c r="Z276" s="223"/>
      <c r="AA276" s="239" t="s">
        <v>775</v>
      </c>
      <c r="AB276" s="225" t="s">
        <v>1568</v>
      </c>
      <c r="AC276" s="218"/>
      <c r="AD276" s="236" t="str">
        <f ca="1">IFERROR(OFFSET(DistanceToCamp[Nearest Town],MATCH(CampList[[#This Row],[CP_Pcode]],DistanceToCamp[CP_Pcode],0)-1,0,1,1),"")</f>
        <v/>
      </c>
      <c r="AE276" s="227" t="str">
        <f ca="1">IFERROR(OFFSET(DistanceToCamp[distance],MATCH(CampList[[#This Row],[CP_Pcode]],DistanceToCamp[CP_Pcode],0)-1,0,1,1),"")</f>
        <v/>
      </c>
      <c r="AF276" s="237" t="str">
        <f ca="1">IFERROR(INT(CampList[[#This Row],[Distance]]/5)+1,"")</f>
        <v/>
      </c>
    </row>
    <row r="277" spans="2:32" ht="15.75" customHeight="1" x14ac:dyDescent="0.25">
      <c r="B277" s="289" t="s">
        <v>460</v>
      </c>
      <c r="C277" s="212" t="s">
        <v>378</v>
      </c>
      <c r="D277" s="212"/>
      <c r="E277" s="212" t="s">
        <v>237</v>
      </c>
      <c r="F277" s="212"/>
      <c r="G277" s="212" t="s">
        <v>1140</v>
      </c>
      <c r="H277" s="212"/>
      <c r="I277" s="212" t="s">
        <v>1140</v>
      </c>
      <c r="J277" s="232"/>
      <c r="K277" s="212"/>
      <c r="L277" s="212"/>
      <c r="M277" s="213" t="s">
        <v>1412</v>
      </c>
      <c r="N277" s="212" t="s">
        <v>1425</v>
      </c>
      <c r="O277" s="219"/>
      <c r="P277" s="219"/>
      <c r="Q277" s="233"/>
      <c r="R277" s="302">
        <v>42</v>
      </c>
      <c r="S277" s="303">
        <v>190</v>
      </c>
      <c r="T277" s="222">
        <f>IF(CampList[[#This Row],[HH]]&gt;0,CampList[[#This Row],[Total]]/CampList[[#This Row],[HH]],"NA")</f>
        <v>4.5238095238095237</v>
      </c>
      <c r="U277" s="197" t="s">
        <v>464</v>
      </c>
      <c r="V277" s="214" t="s">
        <v>997</v>
      </c>
      <c r="W277" s="214" t="s">
        <v>1399</v>
      </c>
      <c r="X277" s="214" t="s">
        <v>742</v>
      </c>
      <c r="Y277" s="223">
        <v>42741</v>
      </c>
      <c r="Z277" s="223"/>
      <c r="AA277" s="239" t="s">
        <v>775</v>
      </c>
      <c r="AB277" s="225" t="s">
        <v>1568</v>
      </c>
      <c r="AC277" s="218"/>
      <c r="AD277" s="236" t="str">
        <f ca="1">IFERROR(OFFSET(DistanceToCamp[Nearest Town],MATCH(CampList[[#This Row],[CP_Pcode]],DistanceToCamp[CP_Pcode],0)-1,0,1,1),"")</f>
        <v/>
      </c>
      <c r="AE277" s="227" t="str">
        <f ca="1">IFERROR(OFFSET(DistanceToCamp[distance],MATCH(CampList[[#This Row],[CP_Pcode]],DistanceToCamp[CP_Pcode],0)-1,0,1,1),"")</f>
        <v/>
      </c>
      <c r="AF277" s="237" t="str">
        <f ca="1">IFERROR(INT(CampList[[#This Row],[Distance]]/5)+1,"")</f>
        <v/>
      </c>
    </row>
    <row r="278" spans="2:32" ht="15.75" customHeight="1" x14ac:dyDescent="0.25">
      <c r="B278" s="289" t="s">
        <v>460</v>
      </c>
      <c r="C278" s="212" t="s">
        <v>378</v>
      </c>
      <c r="D278" s="212"/>
      <c r="E278" s="212" t="s">
        <v>237</v>
      </c>
      <c r="F278" s="212"/>
      <c r="G278" s="212" t="s">
        <v>1140</v>
      </c>
      <c r="H278" s="212"/>
      <c r="I278" s="212" t="s">
        <v>1140</v>
      </c>
      <c r="J278" s="232"/>
      <c r="K278" s="212"/>
      <c r="L278" s="212"/>
      <c r="M278" s="213" t="s">
        <v>1413</v>
      </c>
      <c r="N278" s="212" t="s">
        <v>1426</v>
      </c>
      <c r="O278" s="219"/>
      <c r="P278" s="219"/>
      <c r="Q278" s="233"/>
      <c r="R278" s="302">
        <v>127</v>
      </c>
      <c r="S278" s="303">
        <v>450</v>
      </c>
      <c r="T278" s="222">
        <f>IF(CampList[[#This Row],[HH]]&gt;0,CampList[[#This Row],[Total]]/CampList[[#This Row],[HH]],"NA")</f>
        <v>3.5433070866141732</v>
      </c>
      <c r="U278" s="197" t="s">
        <v>464</v>
      </c>
      <c r="V278" s="214" t="s">
        <v>997</v>
      </c>
      <c r="W278" s="214" t="s">
        <v>1399</v>
      </c>
      <c r="X278" s="214" t="s">
        <v>742</v>
      </c>
      <c r="Y278" s="223">
        <v>42741</v>
      </c>
      <c r="Z278" s="223"/>
      <c r="AA278" s="239" t="s">
        <v>775</v>
      </c>
      <c r="AB278" s="225" t="s">
        <v>1568</v>
      </c>
      <c r="AC278" s="218"/>
      <c r="AD278" s="236" t="str">
        <f ca="1">IFERROR(OFFSET(DistanceToCamp[Nearest Town],MATCH(CampList[[#This Row],[CP_Pcode]],DistanceToCamp[CP_Pcode],0)-1,0,1,1),"")</f>
        <v/>
      </c>
      <c r="AE278" s="227" t="str">
        <f ca="1">IFERROR(OFFSET(DistanceToCamp[distance],MATCH(CampList[[#This Row],[CP_Pcode]],DistanceToCamp[CP_Pcode],0)-1,0,1,1),"")</f>
        <v/>
      </c>
      <c r="AF278" s="237" t="str">
        <f ca="1">IFERROR(INT(CampList[[#This Row],[Distance]]/5)+1,"")</f>
        <v/>
      </c>
    </row>
    <row r="279" spans="2:32" ht="15.75" customHeight="1" x14ac:dyDescent="0.25">
      <c r="B279" s="289" t="s">
        <v>460</v>
      </c>
      <c r="C279" s="212" t="s">
        <v>378</v>
      </c>
      <c r="D279" s="212"/>
      <c r="E279" s="212" t="s">
        <v>237</v>
      </c>
      <c r="F279" s="212"/>
      <c r="G279" s="212" t="s">
        <v>1140</v>
      </c>
      <c r="H279" s="212"/>
      <c r="I279" s="212" t="s">
        <v>1140</v>
      </c>
      <c r="J279" s="232"/>
      <c r="K279" s="212"/>
      <c r="L279" s="212"/>
      <c r="M279" s="213" t="s">
        <v>1414</v>
      </c>
      <c r="N279" s="212" t="s">
        <v>1427</v>
      </c>
      <c r="O279" s="219"/>
      <c r="P279" s="219"/>
      <c r="Q279" s="233"/>
      <c r="R279" s="302">
        <v>36</v>
      </c>
      <c r="S279" s="303">
        <v>145</v>
      </c>
      <c r="T279" s="222">
        <f>IF(CampList[[#This Row],[HH]]&gt;0,CampList[[#This Row],[Total]]/CampList[[#This Row],[HH]],"NA")</f>
        <v>4.0277777777777777</v>
      </c>
      <c r="U279" s="197" t="s">
        <v>464</v>
      </c>
      <c r="V279" s="214" t="s">
        <v>997</v>
      </c>
      <c r="W279" s="214" t="s">
        <v>1399</v>
      </c>
      <c r="X279" s="214" t="s">
        <v>742</v>
      </c>
      <c r="Y279" s="223">
        <v>42741</v>
      </c>
      <c r="Z279" s="223"/>
      <c r="AA279" s="239" t="s">
        <v>775</v>
      </c>
      <c r="AB279" s="225" t="s">
        <v>1568</v>
      </c>
      <c r="AC279" s="218"/>
      <c r="AD279" s="236" t="str">
        <f ca="1">IFERROR(OFFSET(DistanceToCamp[Nearest Town],MATCH(CampList[[#This Row],[CP_Pcode]],DistanceToCamp[CP_Pcode],0)-1,0,1,1),"")</f>
        <v/>
      </c>
      <c r="AE279" s="227" t="str">
        <f ca="1">IFERROR(OFFSET(DistanceToCamp[distance],MATCH(CampList[[#This Row],[CP_Pcode]],DistanceToCamp[CP_Pcode],0)-1,0,1,1),"")</f>
        <v/>
      </c>
      <c r="AF279" s="237" t="str">
        <f ca="1">IFERROR(INT(CampList[[#This Row],[Distance]]/5)+1,"")</f>
        <v/>
      </c>
    </row>
    <row r="280" spans="2:32" ht="15.75" hidden="1" customHeight="1" x14ac:dyDescent="0.25">
      <c r="B280" s="289" t="s">
        <v>776</v>
      </c>
      <c r="C280" s="212" t="s">
        <v>506</v>
      </c>
      <c r="D280" s="212" t="s">
        <v>489</v>
      </c>
      <c r="E280" s="212" t="s">
        <v>230</v>
      </c>
      <c r="F280" s="212" t="s">
        <v>490</v>
      </c>
      <c r="G280" s="212" t="s">
        <v>230</v>
      </c>
      <c r="H280" s="212" t="s">
        <v>491</v>
      </c>
      <c r="I280" s="290" t="s">
        <v>901</v>
      </c>
      <c r="J280" s="291" t="s">
        <v>902</v>
      </c>
      <c r="K280" s="290" t="s">
        <v>903</v>
      </c>
      <c r="L280" s="290" t="s">
        <v>904</v>
      </c>
      <c r="M280" s="186" t="s">
        <v>1199</v>
      </c>
      <c r="N280" s="213" t="s">
        <v>1187</v>
      </c>
      <c r="O280" s="292"/>
      <c r="P280" s="292"/>
      <c r="Q280" s="293"/>
      <c r="R280" s="196"/>
      <c r="S280" s="199"/>
      <c r="T280" s="294" t="str">
        <f>IF(CampList[[#This Row],[HH]]&gt;0,CampList[[#This Row],[Total]]/CampList[[#This Row],[HH]],"NA")</f>
        <v>NA</v>
      </c>
      <c r="U280" s="197" t="s">
        <v>464</v>
      </c>
      <c r="V280" s="295" t="s">
        <v>997</v>
      </c>
      <c r="W280" s="196" t="s">
        <v>507</v>
      </c>
      <c r="X280" s="196" t="s">
        <v>742</v>
      </c>
      <c r="Y280" s="296"/>
      <c r="Z280" s="293"/>
      <c r="AA280" s="290" t="s">
        <v>775</v>
      </c>
      <c r="AB280" s="297">
        <v>42831</v>
      </c>
      <c r="AC280" s="298" t="s">
        <v>1230</v>
      </c>
      <c r="AD280" s="299" t="str">
        <f ca="1">IFERROR(OFFSET(DistanceToCamp[Nearest Town],MATCH(CampList[[#This Row],[CP_Pcode]],DistanceToCamp[CP_Pcode],0)-1,0,1,1),"")</f>
        <v/>
      </c>
      <c r="AE280" s="300" t="str">
        <f ca="1">IFERROR(OFFSET(DistanceToCamp[distance],MATCH(CampList[[#This Row],[CP_Pcode]],DistanceToCamp[CP_Pcode],0)-1,0,1,1),"")</f>
        <v/>
      </c>
      <c r="AF280" s="301" t="str">
        <f ca="1">IFERROR(INT(CampList[[#This Row],[Distance]]/5)+1,"")</f>
        <v/>
      </c>
    </row>
    <row r="281" spans="2:32" ht="15.75" hidden="1" customHeight="1" x14ac:dyDescent="0.25">
      <c r="B281" s="289" t="s">
        <v>776</v>
      </c>
      <c r="C281" s="212" t="s">
        <v>378</v>
      </c>
      <c r="D281" s="212"/>
      <c r="E281" s="212" t="s">
        <v>180</v>
      </c>
      <c r="F281" s="212"/>
      <c r="G281" s="212" t="s">
        <v>173</v>
      </c>
      <c r="H281" s="212"/>
      <c r="I281" s="212" t="s">
        <v>570</v>
      </c>
      <c r="J281" s="232"/>
      <c r="K281" s="212" t="s">
        <v>1542</v>
      </c>
      <c r="L281" s="212"/>
      <c r="M281" s="212" t="s">
        <v>1542</v>
      </c>
      <c r="N281" s="212" t="s">
        <v>1573</v>
      </c>
      <c r="O281" s="219"/>
      <c r="P281" s="219"/>
      <c r="Q281" s="233"/>
      <c r="R281" s="196">
        <v>245</v>
      </c>
      <c r="S281" s="310">
        <v>1084</v>
      </c>
      <c r="T281" s="222">
        <f>IF(CampList[[#This Row],[HH]]&gt;0,CampList[[#This Row],[Total]]/CampList[[#This Row],[HH]],"NA")</f>
        <v>4.4244897959183671</v>
      </c>
      <c r="U281" s="214" t="s">
        <v>464</v>
      </c>
      <c r="V281" s="214" t="s">
        <v>997</v>
      </c>
      <c r="W281" s="214" t="s">
        <v>1399</v>
      </c>
      <c r="X281" s="214" t="s">
        <v>742</v>
      </c>
      <c r="Y281" s="331">
        <v>42962</v>
      </c>
      <c r="Z281" s="223"/>
      <c r="AA281" s="212" t="s">
        <v>775</v>
      </c>
      <c r="AB281" s="225" t="s">
        <v>1543</v>
      </c>
      <c r="AC281" s="226" t="s">
        <v>1556</v>
      </c>
      <c r="AD281" s="236" t="s">
        <v>570</v>
      </c>
      <c r="AE281" s="227" t="str">
        <f ca="1">IFERROR(OFFSET(DistanceToCamp[distance],MATCH(CampList[[#This Row],[CP_Pcode]],DistanceToCamp[CP_Pcode],0)-1,0,1,1),"")</f>
        <v/>
      </c>
      <c r="AF281" s="237" t="str">
        <f ca="1">IFERROR(INT(CampList[[#This Row],[Distance]]/5)+1,"")</f>
        <v/>
      </c>
    </row>
    <row r="282" spans="2:32" ht="15.75" customHeight="1" x14ac:dyDescent="0.25">
      <c r="B282" s="218" t="s">
        <v>460</v>
      </c>
      <c r="C282" s="212" t="s">
        <v>378</v>
      </c>
      <c r="D282" s="212" t="s">
        <v>478</v>
      </c>
      <c r="E282" s="212" t="s">
        <v>5</v>
      </c>
      <c r="F282" s="212" t="s">
        <v>482</v>
      </c>
      <c r="G282" s="212" t="s">
        <v>5</v>
      </c>
      <c r="H282" s="212" t="s">
        <v>483</v>
      </c>
      <c r="I282" s="226" t="s">
        <v>585</v>
      </c>
      <c r="J282" s="226" t="s">
        <v>586</v>
      </c>
      <c r="K282" s="212" t="s">
        <v>585</v>
      </c>
      <c r="L282" s="232">
        <v>166851</v>
      </c>
      <c r="M282" s="212" t="s">
        <v>26</v>
      </c>
      <c r="N282" s="212" t="s">
        <v>25</v>
      </c>
      <c r="O282" s="219">
        <v>97.240639999999999</v>
      </c>
      <c r="P282" s="219">
        <v>24.24953</v>
      </c>
      <c r="Q282" s="220">
        <v>0</v>
      </c>
      <c r="R282" s="292">
        <v>14</v>
      </c>
      <c r="S282" s="292">
        <v>77</v>
      </c>
      <c r="T282" s="222">
        <f>IF(CampList[[#This Row],[HH]]&gt;0,CampList[[#This Row],[Total]]/CampList[[#This Row],[HH]],"NA")</f>
        <v>5.5</v>
      </c>
      <c r="U282" s="214" t="s">
        <v>464</v>
      </c>
      <c r="V282" s="214" t="s">
        <v>997</v>
      </c>
      <c r="W282" s="214" t="s">
        <v>507</v>
      </c>
      <c r="X282" s="214" t="s">
        <v>742</v>
      </c>
      <c r="Y282" s="331">
        <v>41122</v>
      </c>
      <c r="Z282" s="223" t="s">
        <v>462</v>
      </c>
      <c r="AA282" s="212" t="s">
        <v>775</v>
      </c>
      <c r="AB282" s="225">
        <v>43220</v>
      </c>
      <c r="AC282" s="226" t="s">
        <v>1695</v>
      </c>
      <c r="AD282" s="214" t="str">
        <f ca="1">IFERROR(OFFSET(DistanceToCamp[Nearest Town],MATCH(CampList[[#This Row],[CP_Pcode]],DistanceToCamp[CP_Pcode],0)-1,0,1,1),"")</f>
        <v>Bhamo Town</v>
      </c>
      <c r="AE282" s="227">
        <f ca="1">IFERROR(OFFSET(DistanceToCamp[distance],MATCH(CampList[[#This Row],[CP_Pcode]],DistanceToCamp[CP_Pcode],0)-1,0,1,1),"")</f>
        <v>0.87147615879849294</v>
      </c>
      <c r="AF282" s="228">
        <f ca="1">IFERROR(INT(CampList[[#This Row],[Distance]]/5)+1,"")</f>
        <v>1</v>
      </c>
    </row>
    <row r="283" spans="2:32" ht="15.75" hidden="1" customHeight="1" x14ac:dyDescent="0.25">
      <c r="B283" s="218" t="s">
        <v>1563</v>
      </c>
      <c r="C283" s="212" t="s">
        <v>378</v>
      </c>
      <c r="D283" s="212"/>
      <c r="E283" s="212" t="s">
        <v>237</v>
      </c>
      <c r="F283" s="212"/>
      <c r="G283" s="212" t="s">
        <v>237</v>
      </c>
      <c r="H283" s="212"/>
      <c r="I283" s="212" t="s">
        <v>611</v>
      </c>
      <c r="J283" s="232"/>
      <c r="K283" s="212" t="s">
        <v>1551</v>
      </c>
      <c r="L283" s="212"/>
      <c r="M283" s="212" t="s">
        <v>1552</v>
      </c>
      <c r="N283" s="212" t="s">
        <v>1575</v>
      </c>
      <c r="O283" s="219"/>
      <c r="P283" s="219"/>
      <c r="Q283" s="233"/>
      <c r="R283" s="196">
        <v>25</v>
      </c>
      <c r="S283" s="310">
        <v>69</v>
      </c>
      <c r="T283" s="222">
        <f>IF(CampList[[#This Row],[HH]]&gt;0,CampList[[#This Row],[Total]]/CampList[[#This Row],[HH]],"NA")</f>
        <v>2.76</v>
      </c>
      <c r="U283" s="214" t="s">
        <v>464</v>
      </c>
      <c r="V283" s="214" t="s">
        <v>997</v>
      </c>
      <c r="W283" s="214" t="s">
        <v>1399</v>
      </c>
      <c r="X283" s="214" t="s">
        <v>742</v>
      </c>
      <c r="Y283" s="331">
        <v>42963</v>
      </c>
      <c r="Z283" s="223" t="s">
        <v>1327</v>
      </c>
      <c r="AA283" s="212" t="s">
        <v>775</v>
      </c>
      <c r="AB283" s="225" t="s">
        <v>1543</v>
      </c>
      <c r="AC283" s="226" t="s">
        <v>1553</v>
      </c>
      <c r="AD283" s="236" t="s">
        <v>611</v>
      </c>
      <c r="AE283" s="227" t="str">
        <f ca="1">IFERROR(OFFSET(DistanceToCamp[distance],MATCH(CampList[[#This Row],[CP_Pcode]],DistanceToCamp[CP_Pcode],0)-1,0,1,1),"")</f>
        <v/>
      </c>
      <c r="AF283" s="237" t="str">
        <f ca="1">IFERROR(INT(CampList[[#This Row],[Distance]]/5)+1,"")</f>
        <v/>
      </c>
    </row>
    <row r="284" spans="2:32" ht="15.75" customHeight="1" x14ac:dyDescent="0.25">
      <c r="B284" s="289" t="s">
        <v>460</v>
      </c>
      <c r="C284" s="212" t="s">
        <v>378</v>
      </c>
      <c r="D284" s="212"/>
      <c r="E284" s="212" t="s">
        <v>1559</v>
      </c>
      <c r="F284" s="212"/>
      <c r="G284" s="212" t="s">
        <v>309</v>
      </c>
      <c r="H284" s="212"/>
      <c r="I284" s="212" t="s">
        <v>1267</v>
      </c>
      <c r="J284" s="232"/>
      <c r="K284" s="212" t="s">
        <v>1267</v>
      </c>
      <c r="L284" s="232"/>
      <c r="M284" s="212" t="s">
        <v>1267</v>
      </c>
      <c r="N284" s="212" t="s">
        <v>1576</v>
      </c>
      <c r="O284" s="219"/>
      <c r="P284" s="219"/>
      <c r="Q284" s="233"/>
      <c r="R284" s="302">
        <v>80</v>
      </c>
      <c r="S284" s="303">
        <v>449</v>
      </c>
      <c r="T284" s="222">
        <f>IF(CampList[[#This Row],[HH]]&gt;0,CampList[[#This Row],[Total]]/CampList[[#This Row],[HH]],"NA")</f>
        <v>5.6124999999999998</v>
      </c>
      <c r="U284" s="214" t="s">
        <v>464</v>
      </c>
      <c r="V284" s="214" t="s">
        <v>997</v>
      </c>
      <c r="W284" s="214" t="s">
        <v>1399</v>
      </c>
      <c r="X284" s="214" t="s">
        <v>785</v>
      </c>
      <c r="Y284" s="223">
        <v>42751</v>
      </c>
      <c r="Z284" s="223"/>
      <c r="AA284" s="239" t="s">
        <v>775</v>
      </c>
      <c r="AB284" s="225">
        <v>43039</v>
      </c>
      <c r="AC284" s="218" t="s">
        <v>1566</v>
      </c>
      <c r="AD284" s="236" t="s">
        <v>635</v>
      </c>
      <c r="AE284" s="227">
        <v>45</v>
      </c>
      <c r="AF284" s="237">
        <f>IFERROR(INT(CampList[[#This Row],[Distance]]/5)+1,"")</f>
        <v>10</v>
      </c>
    </row>
    <row r="285" spans="2:32" ht="15.6" hidden="1" customHeight="1" x14ac:dyDescent="0.25">
      <c r="B285" s="289" t="s">
        <v>776</v>
      </c>
      <c r="C285" s="212" t="s">
        <v>506</v>
      </c>
      <c r="D285" s="212" t="s">
        <v>489</v>
      </c>
      <c r="E285" s="212" t="s">
        <v>230</v>
      </c>
      <c r="F285" s="212" t="s">
        <v>490</v>
      </c>
      <c r="G285" s="212" t="s">
        <v>230</v>
      </c>
      <c r="H285" s="212" t="s">
        <v>491</v>
      </c>
      <c r="I285" s="290"/>
      <c r="J285" s="291"/>
      <c r="K285" s="290"/>
      <c r="L285" s="290"/>
      <c r="M285" s="186" t="s">
        <v>1200</v>
      </c>
      <c r="N285" s="213" t="s">
        <v>1188</v>
      </c>
      <c r="O285" s="292"/>
      <c r="P285" s="292"/>
      <c r="Q285" s="293"/>
      <c r="R285" s="196"/>
      <c r="S285" s="650"/>
      <c r="T285" s="294" t="str">
        <f>IF(CampList[[#This Row],[HH]]&gt;0,CampList[[#This Row],[Total]]/CampList[[#This Row],[HH]],"NA")</f>
        <v>NA</v>
      </c>
      <c r="U285" s="197" t="s">
        <v>464</v>
      </c>
      <c r="V285" s="295" t="s">
        <v>997</v>
      </c>
      <c r="W285" s="196" t="s">
        <v>507</v>
      </c>
      <c r="X285" s="196"/>
      <c r="Y285" s="296"/>
      <c r="Z285" s="293"/>
      <c r="AA285" s="290" t="s">
        <v>775</v>
      </c>
      <c r="AB285" s="297">
        <v>42831</v>
      </c>
      <c r="AC285" s="298" t="s">
        <v>1230</v>
      </c>
      <c r="AD285" s="299" t="str">
        <f ca="1">IFERROR(OFFSET(DistanceToCamp[Nearest Town],MATCH(CampList[[#This Row],[CP_Pcode]],DistanceToCamp[CP_Pcode],0)-1,0,1,1),"")</f>
        <v/>
      </c>
      <c r="AE285" s="300" t="str">
        <f ca="1">IFERROR(OFFSET(DistanceToCamp[distance],MATCH(CampList[[#This Row],[CP_Pcode]],DistanceToCamp[CP_Pcode],0)-1,0,1,1),"")</f>
        <v/>
      </c>
      <c r="AF285" s="301" t="str">
        <f ca="1">IFERROR(INT(CampList[[#This Row],[Distance]]/5)+1,"")</f>
        <v/>
      </c>
    </row>
    <row r="286" spans="2:32" ht="15.6" customHeight="1" x14ac:dyDescent="0.25">
      <c r="B286" s="289" t="s">
        <v>460</v>
      </c>
      <c r="C286" s="212" t="s">
        <v>506</v>
      </c>
      <c r="D286" s="212" t="s">
        <v>489</v>
      </c>
      <c r="E286" s="212" t="s">
        <v>494</v>
      </c>
      <c r="F286" s="212" t="s">
        <v>495</v>
      </c>
      <c r="G286" s="212" t="s">
        <v>1204</v>
      </c>
      <c r="H286" s="212" t="s">
        <v>1205</v>
      </c>
      <c r="I286" s="290" t="s">
        <v>1220</v>
      </c>
      <c r="J286" s="291" t="s">
        <v>1221</v>
      </c>
      <c r="K286" s="290" t="s">
        <v>1219</v>
      </c>
      <c r="L286" s="290">
        <v>209986</v>
      </c>
      <c r="M286" s="186" t="s">
        <v>1201</v>
      </c>
      <c r="N286" s="213" t="s">
        <v>1189</v>
      </c>
      <c r="O286" s="292">
        <v>97.314762999999999</v>
      </c>
      <c r="P286" s="292">
        <v>22.677008000000001</v>
      </c>
      <c r="Q286" s="293"/>
      <c r="R286" s="292">
        <v>37</v>
      </c>
      <c r="S286" s="651">
        <v>120</v>
      </c>
      <c r="T286" s="294">
        <f>IF(CampList[[#This Row],[HH]]&gt;0,CampList[[#This Row],[Total]]/CampList[[#This Row],[HH]],"NA")</f>
        <v>3.2432432432432434</v>
      </c>
      <c r="U286" s="197" t="s">
        <v>464</v>
      </c>
      <c r="V286" s="295" t="s">
        <v>997</v>
      </c>
      <c r="W286" s="214" t="s">
        <v>1399</v>
      </c>
      <c r="X286" s="196" t="s">
        <v>785</v>
      </c>
      <c r="Y286" s="296"/>
      <c r="Z286" s="293"/>
      <c r="AA286" s="290" t="s">
        <v>775</v>
      </c>
      <c r="AB286" s="297">
        <v>42752</v>
      </c>
      <c r="AC286" s="298" t="s">
        <v>1191</v>
      </c>
      <c r="AD286" s="299" t="str">
        <f ca="1">IFERROR(OFFSET(DistanceToCamp[Nearest Town],MATCH(CampList[[#This Row],[CP_Pcode]],DistanceToCamp[CP_Pcode],0)-1,0,1,1),"")</f>
        <v/>
      </c>
      <c r="AE286" s="300" t="str">
        <f ca="1">IFERROR(OFFSET(DistanceToCamp[distance],MATCH(CampList[[#This Row],[CP_Pcode]],DistanceToCamp[CP_Pcode],0)-1,0,1,1),"")</f>
        <v/>
      </c>
      <c r="AF286" s="301" t="str">
        <f ca="1">IFERROR(INT(CampList[[#This Row],[Distance]]/5)+1,"")</f>
        <v/>
      </c>
    </row>
    <row r="287" spans="2:32" ht="15.6" customHeight="1" x14ac:dyDescent="0.25">
      <c r="B287" s="231" t="s">
        <v>460</v>
      </c>
      <c r="C287" s="212" t="s">
        <v>506</v>
      </c>
      <c r="D287" s="212" t="s">
        <v>489</v>
      </c>
      <c r="E287" s="212" t="s">
        <v>230</v>
      </c>
      <c r="F287" s="212" t="s">
        <v>490</v>
      </c>
      <c r="G287" s="212" t="s">
        <v>146</v>
      </c>
      <c r="H287" s="212" t="s">
        <v>497</v>
      </c>
      <c r="I287" s="213" t="s">
        <v>669</v>
      </c>
      <c r="J287" s="232" t="s">
        <v>670</v>
      </c>
      <c r="K287" s="213" t="s">
        <v>1234</v>
      </c>
      <c r="L287" s="213" t="s">
        <v>1233</v>
      </c>
      <c r="M287" s="186" t="s">
        <v>1236</v>
      </c>
      <c r="N287" s="213" t="s">
        <v>1235</v>
      </c>
      <c r="O287" s="221">
        <v>97.947360000000003</v>
      </c>
      <c r="P287" s="221">
        <v>23.460349999999998</v>
      </c>
      <c r="Q287" s="233"/>
      <c r="R287" s="221">
        <v>39</v>
      </c>
      <c r="S287" s="221">
        <v>145</v>
      </c>
      <c r="T287" s="222">
        <f>IF(CampList[[#This Row],[HH]]&gt;0,CampList[[#This Row],[Total]]/CampList[[#This Row],[HH]],"NA")</f>
        <v>3.7179487179487181</v>
      </c>
      <c r="U287" s="214" t="s">
        <v>464</v>
      </c>
      <c r="V287" s="214" t="s">
        <v>997</v>
      </c>
      <c r="W287" s="214" t="s">
        <v>507</v>
      </c>
      <c r="X287" s="214" t="s">
        <v>742</v>
      </c>
      <c r="Y287" s="234">
        <v>42724</v>
      </c>
      <c r="Z287" s="233" t="s">
        <v>424</v>
      </c>
      <c r="AA287" s="213" t="s">
        <v>775</v>
      </c>
      <c r="AB287" s="225">
        <v>43220</v>
      </c>
      <c r="AC287" s="235" t="s">
        <v>1763</v>
      </c>
      <c r="AD287" s="236" t="str">
        <f ca="1">IFERROR(OFFSET(DistanceToCamp[Nearest Town],MATCH(CampList[[#This Row],[CP_Pcode]],DistanceToCamp[CP_Pcode],0)-1,0,1,1),"")</f>
        <v/>
      </c>
      <c r="AE287" s="227" t="str">
        <f ca="1">IFERROR(OFFSET(DistanceToCamp[distance],MATCH(CampList[[#This Row],[CP_Pcode]],DistanceToCamp[CP_Pcode],0)-1,0,1,1),"")</f>
        <v/>
      </c>
      <c r="AF287" s="237" t="str">
        <f ca="1">IFERROR(INT(CampList[[#This Row],[Distance]]/5)+1,"")</f>
        <v/>
      </c>
    </row>
    <row r="288" spans="2:32" ht="15.6" customHeight="1" x14ac:dyDescent="0.25">
      <c r="B288" s="231" t="s">
        <v>460</v>
      </c>
      <c r="C288" s="212" t="s">
        <v>506</v>
      </c>
      <c r="D288" s="212" t="s">
        <v>489</v>
      </c>
      <c r="E288" s="212" t="s">
        <v>230</v>
      </c>
      <c r="F288" s="212" t="s">
        <v>490</v>
      </c>
      <c r="G288" s="212" t="s">
        <v>146</v>
      </c>
      <c r="H288" s="212" t="s">
        <v>497</v>
      </c>
      <c r="I288" s="290" t="s">
        <v>1247</v>
      </c>
      <c r="J288" s="291" t="s">
        <v>1248</v>
      </c>
      <c r="K288" s="290" t="s">
        <v>1245</v>
      </c>
      <c r="L288" s="290">
        <v>208530</v>
      </c>
      <c r="M288" s="290" t="s">
        <v>1245</v>
      </c>
      <c r="N288" s="326" t="s">
        <v>1246</v>
      </c>
      <c r="O288" s="292"/>
      <c r="P288" s="292"/>
      <c r="Q288" s="293"/>
      <c r="R288" s="292">
        <v>24</v>
      </c>
      <c r="S288" s="293">
        <v>84</v>
      </c>
      <c r="T288" s="327">
        <f>IF(CampList[[#This Row],[HH]]&gt;0,CampList[[#This Row],[Total]]/CampList[[#This Row],[HH]],"NA")</f>
        <v>3.5</v>
      </c>
      <c r="U288" s="328" t="s">
        <v>464</v>
      </c>
      <c r="V288" s="328" t="s">
        <v>997</v>
      </c>
      <c r="W288" s="214" t="s">
        <v>1399</v>
      </c>
      <c r="X288" s="196" t="s">
        <v>785</v>
      </c>
      <c r="Y288" s="296"/>
      <c r="Z288" s="293"/>
      <c r="AA288" s="290" t="s">
        <v>775</v>
      </c>
      <c r="AB288" s="297">
        <v>42861</v>
      </c>
      <c r="AC288" s="312" t="s">
        <v>1249</v>
      </c>
      <c r="AD288" s="299" t="str">
        <f ca="1">IFERROR(OFFSET(DistanceToCamp[Nearest Town],MATCH(CampList[[#This Row],[CP_Pcode]],DistanceToCamp[CP_Pcode],0)-1,0,1,1),"")</f>
        <v/>
      </c>
      <c r="AE288" s="300" t="str">
        <f ca="1">IFERROR(OFFSET(DistanceToCamp[distance],MATCH(CampList[[#This Row],[CP_Pcode]],DistanceToCamp[CP_Pcode],0)-1,0,1,1),"")</f>
        <v/>
      </c>
      <c r="AF288" s="301" t="str">
        <f ca="1">IFERROR(INT(CampList[[#This Row],[Distance]]/5)+1,"")</f>
        <v/>
      </c>
    </row>
    <row r="289" spans="2:32" ht="15.6" customHeight="1" x14ac:dyDescent="0.25">
      <c r="B289" s="289" t="s">
        <v>460</v>
      </c>
      <c r="C289" s="212" t="s">
        <v>506</v>
      </c>
      <c r="D289" s="212" t="s">
        <v>489</v>
      </c>
      <c r="E289" s="212" t="s">
        <v>230</v>
      </c>
      <c r="F289" s="212" t="s">
        <v>490</v>
      </c>
      <c r="G289" s="212" t="s">
        <v>230</v>
      </c>
      <c r="H289" s="212" t="s">
        <v>491</v>
      </c>
      <c r="I289" s="212" t="s">
        <v>714</v>
      </c>
      <c r="J289" s="291" t="s">
        <v>715</v>
      </c>
      <c r="K289" s="290" t="s">
        <v>716</v>
      </c>
      <c r="L289" s="290">
        <v>208156</v>
      </c>
      <c r="M289" s="290" t="s">
        <v>716</v>
      </c>
      <c r="N289" s="213" t="s">
        <v>1250</v>
      </c>
      <c r="O289" s="219">
        <v>98.115809999999996</v>
      </c>
      <c r="P289" s="219">
        <v>24.08738</v>
      </c>
      <c r="Q289" s="293"/>
      <c r="R289" s="292">
        <v>152</v>
      </c>
      <c r="S289" s="293">
        <v>779</v>
      </c>
      <c r="T289" s="222">
        <f>IF(CampList[[#This Row],[HH]]&gt;0,CampList[[#This Row],[Total]]/CampList[[#This Row],[HH]],"NA")</f>
        <v>5.125</v>
      </c>
      <c r="U289" s="214" t="s">
        <v>464</v>
      </c>
      <c r="V289" s="214" t="s">
        <v>997</v>
      </c>
      <c r="W289" s="214" t="s">
        <v>507</v>
      </c>
      <c r="X289" s="196" t="s">
        <v>785</v>
      </c>
      <c r="Y289" s="296"/>
      <c r="Z289" s="293" t="s">
        <v>424</v>
      </c>
      <c r="AA289" s="290" t="s">
        <v>775</v>
      </c>
      <c r="AB289" s="225">
        <v>43220</v>
      </c>
      <c r="AC289" s="312" t="s">
        <v>1763</v>
      </c>
      <c r="AD289" s="299" t="str">
        <f ca="1">IFERROR(OFFSET(DistanceToCamp[Nearest Town],MATCH(CampList[[#This Row],[CP_Pcode]],DistanceToCamp[CP_Pcode],0)-1,0,1,1),"")</f>
        <v/>
      </c>
      <c r="AE289" s="300" t="str">
        <f ca="1">IFERROR(OFFSET(DistanceToCamp[distance],MATCH(CampList[[#This Row],[CP_Pcode]],DistanceToCamp[CP_Pcode],0)-1,0,1,1),"")</f>
        <v/>
      </c>
      <c r="AF289" s="301" t="str">
        <f ca="1">IFERROR(INT(CampList[[#This Row],[Distance]]/5)+1,"")</f>
        <v/>
      </c>
    </row>
    <row r="290" spans="2:32" ht="15.6" customHeight="1" x14ac:dyDescent="0.25">
      <c r="B290" s="289" t="s">
        <v>460</v>
      </c>
      <c r="C290" s="212" t="s">
        <v>506</v>
      </c>
      <c r="D290" s="212"/>
      <c r="E290" s="212" t="s">
        <v>230</v>
      </c>
      <c r="F290" s="212"/>
      <c r="G290" s="212" t="s">
        <v>146</v>
      </c>
      <c r="H290" s="212"/>
      <c r="I290" s="212" t="s">
        <v>1555</v>
      </c>
      <c r="J290" s="291"/>
      <c r="K290" s="290" t="s">
        <v>1555</v>
      </c>
      <c r="L290" s="290"/>
      <c r="M290" s="290" t="s">
        <v>1555</v>
      </c>
      <c r="N290" s="213" t="s">
        <v>1577</v>
      </c>
      <c r="O290" s="219"/>
      <c r="P290" s="219"/>
      <c r="Q290" s="293"/>
      <c r="R290" s="196">
        <v>39</v>
      </c>
      <c r="S290" s="310">
        <v>202</v>
      </c>
      <c r="T290" s="222">
        <f>IF(CampList[[#This Row],[HH]]&gt;0,CampList[[#This Row],[Total]]/CampList[[#This Row],[HH]],"NA")</f>
        <v>5.1794871794871797</v>
      </c>
      <c r="U290" s="214" t="s">
        <v>464</v>
      </c>
      <c r="V290" s="214" t="s">
        <v>997</v>
      </c>
      <c r="W290" s="214" t="s">
        <v>1399</v>
      </c>
      <c r="X290" s="196" t="s">
        <v>785</v>
      </c>
      <c r="Y290" s="296">
        <v>42370</v>
      </c>
      <c r="Z290" s="293"/>
      <c r="AA290" s="290" t="s">
        <v>775</v>
      </c>
      <c r="AB290" s="225">
        <v>43008</v>
      </c>
      <c r="AC290" s="312"/>
      <c r="AD290" s="299" t="str">
        <f ca="1">IFERROR(OFFSET(DistanceToCamp[Nearest Town],MATCH(CampList[[#This Row],[CP_Pcode]],DistanceToCamp[CP_Pcode],0)-1,0,1,1),"")</f>
        <v/>
      </c>
      <c r="AE290" s="300" t="str">
        <f ca="1">IFERROR(OFFSET(DistanceToCamp[distance],MATCH(CampList[[#This Row],[CP_Pcode]],DistanceToCamp[CP_Pcode],0)-1,0,1,1),"")</f>
        <v/>
      </c>
      <c r="AF290" s="301" t="str">
        <f ca="1">IFERROR(INT(CampList[[#This Row],[Distance]]/5)+1,"")</f>
        <v/>
      </c>
    </row>
    <row r="291" spans="2:32" ht="17.45" customHeight="1" x14ac:dyDescent="0.25">
      <c r="B291" s="289" t="s">
        <v>460</v>
      </c>
      <c r="C291" s="212" t="s">
        <v>506</v>
      </c>
      <c r="D291" s="212" t="s">
        <v>489</v>
      </c>
      <c r="E291" s="212" t="s">
        <v>494</v>
      </c>
      <c r="F291" s="212" t="s">
        <v>495</v>
      </c>
      <c r="G291" s="212" t="s">
        <v>297</v>
      </c>
      <c r="H291" s="212" t="s">
        <v>503</v>
      </c>
      <c r="I291" s="290" t="s">
        <v>756</v>
      </c>
      <c r="J291" s="291" t="s">
        <v>757</v>
      </c>
      <c r="K291" s="290" t="s">
        <v>758</v>
      </c>
      <c r="L291" s="290" t="s">
        <v>759</v>
      </c>
      <c r="M291" s="290" t="s">
        <v>1285</v>
      </c>
      <c r="N291" s="213" t="s">
        <v>1284</v>
      </c>
      <c r="O291" s="292">
        <v>97.400671000000003</v>
      </c>
      <c r="P291" s="292">
        <v>23.099304</v>
      </c>
      <c r="Q291" s="293"/>
      <c r="R291" s="649">
        <v>59</v>
      </c>
      <c r="S291" s="649">
        <v>275</v>
      </c>
      <c r="T291" s="294">
        <f>IF(CampList[[#This Row],[HH]]&gt;0,CampList[[#This Row],[Total]]/CampList[[#This Row],[HH]],"NA")</f>
        <v>4.6610169491525424</v>
      </c>
      <c r="U291" s="197" t="s">
        <v>464</v>
      </c>
      <c r="V291" s="295" t="s">
        <v>997</v>
      </c>
      <c r="W291" s="197" t="s">
        <v>507</v>
      </c>
      <c r="X291" s="196" t="s">
        <v>742</v>
      </c>
      <c r="Y291" s="296">
        <v>42781</v>
      </c>
      <c r="Z291" s="233" t="s">
        <v>1050</v>
      </c>
      <c r="AA291" s="290" t="s">
        <v>775</v>
      </c>
      <c r="AB291" s="566">
        <v>43220</v>
      </c>
      <c r="AC291" s="298" t="s">
        <v>1770</v>
      </c>
      <c r="AD291" s="299" t="str">
        <f ca="1">IFERROR(OFFSET(DistanceToCamp[Nearest Town],MATCH(CampList[[#This Row],[CP_Pcode]],DistanceToCamp[CP_Pcode],0)-1,0,1,1),"")</f>
        <v/>
      </c>
      <c r="AE291" s="300" t="str">
        <f ca="1">IFERROR(OFFSET(DistanceToCamp[distance],MATCH(CampList[[#This Row],[CP_Pcode]],DistanceToCamp[CP_Pcode],0)-1,0,1,1),"")</f>
        <v/>
      </c>
      <c r="AF291" s="301" t="str">
        <f ca="1">IFERROR(INT(CampList[[#This Row],[Distance]]/5)+1,"")</f>
        <v/>
      </c>
    </row>
  </sheetData>
  <sortState ref="B73:AL238">
    <sortCondition ref="H1:H1048576"/>
    <sortCondition ref="M1:M1048576"/>
  </sortState>
  <mergeCells count="2">
    <mergeCell ref="B3:D3"/>
    <mergeCell ref="M2:M3"/>
  </mergeCells>
  <conditionalFormatting sqref="B118:B155 B5:B111">
    <cfRule type="cellIs" dxfId="1266" priority="96" operator="equal">
      <formula>"closed"</formula>
    </cfRule>
  </conditionalFormatting>
  <conditionalFormatting sqref="B112">
    <cfRule type="cellIs" dxfId="1265" priority="92" operator="equal">
      <formula>"closed"</formula>
    </cfRule>
  </conditionalFormatting>
  <conditionalFormatting sqref="B113">
    <cfRule type="cellIs" dxfId="1264" priority="91" operator="equal">
      <formula>"closed"</formula>
    </cfRule>
  </conditionalFormatting>
  <conditionalFormatting sqref="B114:B116">
    <cfRule type="cellIs" dxfId="1263" priority="90" operator="equal">
      <formula>"closed"</formula>
    </cfRule>
  </conditionalFormatting>
  <conditionalFormatting sqref="B117">
    <cfRule type="cellIs" dxfId="1262" priority="89" operator="equal">
      <formula>"closed"</formula>
    </cfRule>
  </conditionalFormatting>
  <conditionalFormatting sqref="AA4:AA155">
    <cfRule type="cellIs" dxfId="1261" priority="85" operator="equal">
      <formula>"RRD"</formula>
    </cfRule>
    <cfRule type="cellIs" dxfId="1260" priority="86" operator="equal">
      <formula>"IP"</formula>
    </cfRule>
    <cfRule type="cellIs" dxfId="1259" priority="87" operator="equal">
      <formula>"IRRC"</formula>
    </cfRule>
  </conditionalFormatting>
  <conditionalFormatting sqref="AA156:AA205 AA238 AA244 AA260 AA263 AA250">
    <cfRule type="cellIs" dxfId="1258" priority="62" operator="equal">
      <formula>"RRD"</formula>
    </cfRule>
    <cfRule type="cellIs" dxfId="1257" priority="63" operator="equal">
      <formula>"IP"</formula>
    </cfRule>
    <cfRule type="cellIs" dxfId="1256" priority="64" operator="equal">
      <formula>"IRRC"</formula>
    </cfRule>
  </conditionalFormatting>
  <conditionalFormatting sqref="AA206">
    <cfRule type="cellIs" dxfId="1255" priority="58" operator="equal">
      <formula>"RRD"</formula>
    </cfRule>
    <cfRule type="cellIs" dxfId="1254" priority="59" operator="equal">
      <formula>"IP"</formula>
    </cfRule>
    <cfRule type="cellIs" dxfId="1253" priority="60" operator="equal">
      <formula>"IRRC"</formula>
    </cfRule>
  </conditionalFormatting>
  <conditionalFormatting sqref="AA208 AA210 AA212">
    <cfRule type="cellIs" dxfId="1252" priority="21" operator="equal">
      <formula>"RRD"</formula>
    </cfRule>
    <cfRule type="cellIs" dxfId="1251" priority="22" operator="equal">
      <formula>"IP"</formula>
    </cfRule>
    <cfRule type="cellIs" dxfId="1250" priority="23" operator="equal">
      <formula>"IRRC"</formula>
    </cfRule>
  </conditionalFormatting>
  <conditionalFormatting sqref="AA207 AA209 AA211 AA213">
    <cfRule type="cellIs" dxfId="1249" priority="25" operator="equal">
      <formula>"RRD"</formula>
    </cfRule>
    <cfRule type="cellIs" dxfId="1248" priority="26" operator="equal">
      <formula>"IP"</formula>
    </cfRule>
    <cfRule type="cellIs" dxfId="1247" priority="27" operator="equal">
      <formula>"IRRC"</formula>
    </cfRule>
  </conditionalFormatting>
  <pageMargins left="0.7" right="0.7" top="0.75" bottom="0.75" header="0.3" footer="0.3"/>
  <pageSetup scale="8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XFD167"/>
  <sheetViews>
    <sheetView showGridLines="0" showZeros="0" zoomScaleNormal="100" zoomScaleSheetLayoutView="85" workbookViewId="0">
      <pane xSplit="6" ySplit="4" topLeftCell="G47" activePane="bottomRight" state="frozen"/>
      <selection pane="topRight" activeCell="G1" sqref="G1"/>
      <selection pane="bottomLeft" activeCell="A5" sqref="A5"/>
      <selection pane="bottomRight" activeCell="T161" sqref="T161"/>
    </sheetView>
  </sheetViews>
  <sheetFormatPr defaultColWidth="9.140625" defaultRowHeight="11.25" customHeight="1" x14ac:dyDescent="0.2"/>
  <cols>
    <col min="1" max="1" width="9.140625" style="372"/>
    <col min="2" max="2" width="6.140625" style="372" customWidth="1"/>
    <col min="3" max="3" width="9.42578125" style="372" customWidth="1"/>
    <col min="4" max="4" width="29.28515625" style="372" customWidth="1"/>
    <col min="5" max="5" width="15.85546875" style="372" customWidth="1"/>
    <col min="6" max="6" width="7.85546875" style="373" customWidth="1"/>
    <col min="7" max="7" width="8.5703125" style="372" customWidth="1"/>
    <col min="8" max="8" width="10.28515625" style="374" customWidth="1"/>
    <col min="9" max="9" width="11.28515625" style="374" customWidth="1"/>
    <col min="10" max="11" width="10.28515625" style="374" customWidth="1"/>
    <col min="12" max="12" width="15.140625" style="374" customWidth="1"/>
    <col min="13" max="13" width="10.28515625" style="374" customWidth="1"/>
    <col min="14" max="14" width="11.140625" style="374" customWidth="1"/>
    <col min="15" max="16" width="10.28515625" style="374" customWidth="1"/>
    <col min="17" max="17" width="13.85546875" style="374" customWidth="1"/>
    <col min="18" max="18" width="12.28515625" style="374" customWidth="1"/>
    <col min="19" max="19" width="11.28515625" style="374" customWidth="1"/>
    <col min="20" max="20" width="12.42578125" style="374" customWidth="1"/>
    <col min="21" max="21" width="13" style="374" customWidth="1"/>
    <col min="22" max="22" width="9.5703125" style="374" customWidth="1"/>
    <col min="23" max="23" width="13.7109375" style="374" customWidth="1"/>
    <col min="24" max="24" width="12.28515625" style="372" customWidth="1"/>
    <col min="25" max="253" width="9.140625" style="372"/>
    <col min="254" max="254" width="9.42578125" style="372" customWidth="1"/>
    <col min="255" max="255" width="31.42578125" style="372" customWidth="1"/>
    <col min="256" max="261" width="0" style="372" hidden="1" customWidth="1"/>
    <col min="262" max="262" width="8.7109375" style="372" customWidth="1"/>
    <col min="263" max="263" width="8.140625" style="372" customWidth="1"/>
    <col min="264" max="264" width="14.42578125" style="372" customWidth="1"/>
    <col min="265" max="265" width="13.28515625" style="372" customWidth="1"/>
    <col min="266" max="266" width="9.7109375" style="372" customWidth="1"/>
    <col min="267" max="267" width="13.5703125" style="372" customWidth="1"/>
    <col min="268" max="268" width="10.5703125" style="372" customWidth="1"/>
    <col min="269" max="269" width="11.28515625" style="372" customWidth="1"/>
    <col min="270" max="270" width="8.7109375" style="372" customWidth="1"/>
    <col min="271" max="271" width="9" style="372" customWidth="1"/>
    <col min="272" max="272" width="6.7109375" style="372" customWidth="1"/>
    <col min="273" max="273" width="11.42578125" style="372" customWidth="1"/>
    <col min="274" max="274" width="12.28515625" style="372" customWidth="1"/>
    <col min="275" max="275" width="11.28515625" style="372" customWidth="1"/>
    <col min="276" max="276" width="12.42578125" style="372" customWidth="1"/>
    <col min="277" max="277" width="13" style="372" customWidth="1"/>
    <col min="278" max="278" width="9.5703125" style="372" customWidth="1"/>
    <col min="279" max="279" width="11.42578125" style="372" customWidth="1"/>
    <col min="280" max="509" width="9.140625" style="372"/>
    <col min="510" max="510" width="9.42578125" style="372" customWidth="1"/>
    <col min="511" max="511" width="31.42578125" style="372" customWidth="1"/>
    <col min="512" max="517" width="0" style="372" hidden="1" customWidth="1"/>
    <col min="518" max="518" width="8.7109375" style="372" customWidth="1"/>
    <col min="519" max="519" width="8.140625" style="372" customWidth="1"/>
    <col min="520" max="520" width="14.42578125" style="372" customWidth="1"/>
    <col min="521" max="521" width="13.28515625" style="372" customWidth="1"/>
    <col min="522" max="522" width="9.7109375" style="372" customWidth="1"/>
    <col min="523" max="523" width="13.5703125" style="372" customWidth="1"/>
    <col min="524" max="524" width="10.5703125" style="372" customWidth="1"/>
    <col min="525" max="525" width="11.28515625" style="372" customWidth="1"/>
    <col min="526" max="526" width="8.7109375" style="372" customWidth="1"/>
    <col min="527" max="527" width="9" style="372" customWidth="1"/>
    <col min="528" max="528" width="6.7109375" style="372" customWidth="1"/>
    <col min="529" max="529" width="11.42578125" style="372" customWidth="1"/>
    <col min="530" max="530" width="12.28515625" style="372" customWidth="1"/>
    <col min="531" max="531" width="11.28515625" style="372" customWidth="1"/>
    <col min="532" max="532" width="12.42578125" style="372" customWidth="1"/>
    <col min="533" max="533" width="13" style="372" customWidth="1"/>
    <col min="534" max="534" width="9.5703125" style="372" customWidth="1"/>
    <col min="535" max="535" width="11.42578125" style="372" customWidth="1"/>
    <col min="536" max="765" width="9.140625" style="372"/>
    <col min="766" max="766" width="9.42578125" style="372" customWidth="1"/>
    <col min="767" max="767" width="31.42578125" style="372" customWidth="1"/>
    <col min="768" max="773" width="0" style="372" hidden="1" customWidth="1"/>
    <col min="774" max="774" width="8.7109375" style="372" customWidth="1"/>
    <col min="775" max="775" width="8.140625" style="372" customWidth="1"/>
    <col min="776" max="776" width="14.42578125" style="372" customWidth="1"/>
    <col min="777" max="777" width="13.28515625" style="372" customWidth="1"/>
    <col min="778" max="778" width="9.7109375" style="372" customWidth="1"/>
    <col min="779" max="779" width="13.5703125" style="372" customWidth="1"/>
    <col min="780" max="780" width="10.5703125" style="372" customWidth="1"/>
    <col min="781" max="781" width="11.28515625" style="372" customWidth="1"/>
    <col min="782" max="782" width="8.7109375" style="372" customWidth="1"/>
    <col min="783" max="783" width="9" style="372" customWidth="1"/>
    <col min="784" max="784" width="6.7109375" style="372" customWidth="1"/>
    <col min="785" max="785" width="11.42578125" style="372" customWidth="1"/>
    <col min="786" max="786" width="12.28515625" style="372" customWidth="1"/>
    <col min="787" max="787" width="11.28515625" style="372" customWidth="1"/>
    <col min="788" max="788" width="12.42578125" style="372" customWidth="1"/>
    <col min="789" max="789" width="13" style="372" customWidth="1"/>
    <col min="790" max="790" width="9.5703125" style="372" customWidth="1"/>
    <col min="791" max="791" width="11.42578125" style="372" customWidth="1"/>
    <col min="792" max="1021" width="9.140625" style="372"/>
    <col min="1022" max="1022" width="9.42578125" style="372" customWidth="1"/>
    <col min="1023" max="1023" width="31.42578125" style="372" customWidth="1"/>
    <col min="1024" max="1029" width="0" style="372" hidden="1" customWidth="1"/>
    <col min="1030" max="1030" width="8.7109375" style="372" customWidth="1"/>
    <col min="1031" max="1031" width="8.140625" style="372" customWidth="1"/>
    <col min="1032" max="1032" width="14.42578125" style="372" customWidth="1"/>
    <col min="1033" max="1033" width="13.28515625" style="372" customWidth="1"/>
    <col min="1034" max="1034" width="9.7109375" style="372" customWidth="1"/>
    <col min="1035" max="1035" width="13.5703125" style="372" customWidth="1"/>
    <col min="1036" max="1036" width="10.5703125" style="372" customWidth="1"/>
    <col min="1037" max="1037" width="11.28515625" style="372" customWidth="1"/>
    <col min="1038" max="1038" width="8.7109375" style="372" customWidth="1"/>
    <col min="1039" max="1039" width="9" style="372" customWidth="1"/>
    <col min="1040" max="1040" width="6.7109375" style="372" customWidth="1"/>
    <col min="1041" max="1041" width="11.42578125" style="372" customWidth="1"/>
    <col min="1042" max="1042" width="12.28515625" style="372" customWidth="1"/>
    <col min="1043" max="1043" width="11.28515625" style="372" customWidth="1"/>
    <col min="1044" max="1044" width="12.42578125" style="372" customWidth="1"/>
    <col min="1045" max="1045" width="13" style="372" customWidth="1"/>
    <col min="1046" max="1046" width="9.5703125" style="372" customWidth="1"/>
    <col min="1047" max="1047" width="11.42578125" style="372" customWidth="1"/>
    <col min="1048" max="1277" width="9.140625" style="372"/>
    <col min="1278" max="1278" width="9.42578125" style="372" customWidth="1"/>
    <col min="1279" max="1279" width="31.42578125" style="372" customWidth="1"/>
    <col min="1280" max="1285" width="0" style="372" hidden="1" customWidth="1"/>
    <col min="1286" max="1286" width="8.7109375" style="372" customWidth="1"/>
    <col min="1287" max="1287" width="8.140625" style="372" customWidth="1"/>
    <col min="1288" max="1288" width="14.42578125" style="372" customWidth="1"/>
    <col min="1289" max="1289" width="13.28515625" style="372" customWidth="1"/>
    <col min="1290" max="1290" width="9.7109375" style="372" customWidth="1"/>
    <col min="1291" max="1291" width="13.5703125" style="372" customWidth="1"/>
    <col min="1292" max="1292" width="10.5703125" style="372" customWidth="1"/>
    <col min="1293" max="1293" width="11.28515625" style="372" customWidth="1"/>
    <col min="1294" max="1294" width="8.7109375" style="372" customWidth="1"/>
    <col min="1295" max="1295" width="9" style="372" customWidth="1"/>
    <col min="1296" max="1296" width="6.7109375" style="372" customWidth="1"/>
    <col min="1297" max="1297" width="11.42578125" style="372" customWidth="1"/>
    <col min="1298" max="1298" width="12.28515625" style="372" customWidth="1"/>
    <col min="1299" max="1299" width="11.28515625" style="372" customWidth="1"/>
    <col min="1300" max="1300" width="12.42578125" style="372" customWidth="1"/>
    <col min="1301" max="1301" width="13" style="372" customWidth="1"/>
    <col min="1302" max="1302" width="9.5703125" style="372" customWidth="1"/>
    <col min="1303" max="1303" width="11.42578125" style="372" customWidth="1"/>
    <col min="1304" max="1533" width="9.140625" style="372"/>
    <col min="1534" max="1534" width="9.42578125" style="372" customWidth="1"/>
    <col min="1535" max="1535" width="31.42578125" style="372" customWidth="1"/>
    <col min="1536" max="1541" width="0" style="372" hidden="1" customWidth="1"/>
    <col min="1542" max="1542" width="8.7109375" style="372" customWidth="1"/>
    <col min="1543" max="1543" width="8.140625" style="372" customWidth="1"/>
    <col min="1544" max="1544" width="14.42578125" style="372" customWidth="1"/>
    <col min="1545" max="1545" width="13.28515625" style="372" customWidth="1"/>
    <col min="1546" max="1546" width="9.7109375" style="372" customWidth="1"/>
    <col min="1547" max="1547" width="13.5703125" style="372" customWidth="1"/>
    <col min="1548" max="1548" width="10.5703125" style="372" customWidth="1"/>
    <col min="1549" max="1549" width="11.28515625" style="372" customWidth="1"/>
    <col min="1550" max="1550" width="8.7109375" style="372" customWidth="1"/>
    <col min="1551" max="1551" width="9" style="372" customWidth="1"/>
    <col min="1552" max="1552" width="6.7109375" style="372" customWidth="1"/>
    <col min="1553" max="1553" width="11.42578125" style="372" customWidth="1"/>
    <col min="1554" max="1554" width="12.28515625" style="372" customWidth="1"/>
    <col min="1555" max="1555" width="11.28515625" style="372" customWidth="1"/>
    <col min="1556" max="1556" width="12.42578125" style="372" customWidth="1"/>
    <col min="1557" max="1557" width="13" style="372" customWidth="1"/>
    <col min="1558" max="1558" width="9.5703125" style="372" customWidth="1"/>
    <col min="1559" max="1559" width="11.42578125" style="372" customWidth="1"/>
    <col min="1560" max="1789" width="9.140625" style="372"/>
    <col min="1790" max="1790" width="9.42578125" style="372" customWidth="1"/>
    <col min="1791" max="1791" width="31.42578125" style="372" customWidth="1"/>
    <col min="1792" max="1797" width="0" style="372" hidden="1" customWidth="1"/>
    <col min="1798" max="1798" width="8.7109375" style="372" customWidth="1"/>
    <col min="1799" max="1799" width="8.140625" style="372" customWidth="1"/>
    <col min="1800" max="1800" width="14.42578125" style="372" customWidth="1"/>
    <col min="1801" max="1801" width="13.28515625" style="372" customWidth="1"/>
    <col min="1802" max="1802" width="9.7109375" style="372" customWidth="1"/>
    <col min="1803" max="1803" width="13.5703125" style="372" customWidth="1"/>
    <col min="1804" max="1804" width="10.5703125" style="372" customWidth="1"/>
    <col min="1805" max="1805" width="11.28515625" style="372" customWidth="1"/>
    <col min="1806" max="1806" width="8.7109375" style="372" customWidth="1"/>
    <col min="1807" max="1807" width="9" style="372" customWidth="1"/>
    <col min="1808" max="1808" width="6.7109375" style="372" customWidth="1"/>
    <col min="1809" max="1809" width="11.42578125" style="372" customWidth="1"/>
    <col min="1810" max="1810" width="12.28515625" style="372" customWidth="1"/>
    <col min="1811" max="1811" width="11.28515625" style="372" customWidth="1"/>
    <col min="1812" max="1812" width="12.42578125" style="372" customWidth="1"/>
    <col min="1813" max="1813" width="13" style="372" customWidth="1"/>
    <col min="1814" max="1814" width="9.5703125" style="372" customWidth="1"/>
    <col min="1815" max="1815" width="11.42578125" style="372" customWidth="1"/>
    <col min="1816" max="2045" width="9.140625" style="372"/>
    <col min="2046" max="2046" width="9.42578125" style="372" customWidth="1"/>
    <col min="2047" max="2047" width="31.42578125" style="372" customWidth="1"/>
    <col min="2048" max="2053" width="0" style="372" hidden="1" customWidth="1"/>
    <col min="2054" max="2054" width="8.7109375" style="372" customWidth="1"/>
    <col min="2055" max="2055" width="8.140625" style="372" customWidth="1"/>
    <col min="2056" max="2056" width="14.42578125" style="372" customWidth="1"/>
    <col min="2057" max="2057" width="13.28515625" style="372" customWidth="1"/>
    <col min="2058" max="2058" width="9.7109375" style="372" customWidth="1"/>
    <col min="2059" max="2059" width="13.5703125" style="372" customWidth="1"/>
    <col min="2060" max="2060" width="10.5703125" style="372" customWidth="1"/>
    <col min="2061" max="2061" width="11.28515625" style="372" customWidth="1"/>
    <col min="2062" max="2062" width="8.7109375" style="372" customWidth="1"/>
    <col min="2063" max="2063" width="9" style="372" customWidth="1"/>
    <col min="2064" max="2064" width="6.7109375" style="372" customWidth="1"/>
    <col min="2065" max="2065" width="11.42578125" style="372" customWidth="1"/>
    <col min="2066" max="2066" width="12.28515625" style="372" customWidth="1"/>
    <col min="2067" max="2067" width="11.28515625" style="372" customWidth="1"/>
    <col min="2068" max="2068" width="12.42578125" style="372" customWidth="1"/>
    <col min="2069" max="2069" width="13" style="372" customWidth="1"/>
    <col min="2070" max="2070" width="9.5703125" style="372" customWidth="1"/>
    <col min="2071" max="2071" width="11.42578125" style="372" customWidth="1"/>
    <col min="2072" max="2301" width="9.140625" style="372"/>
    <col min="2302" max="2302" width="9.42578125" style="372" customWidth="1"/>
    <col min="2303" max="2303" width="31.42578125" style="372" customWidth="1"/>
    <col min="2304" max="2309" width="0" style="372" hidden="1" customWidth="1"/>
    <col min="2310" max="2310" width="8.7109375" style="372" customWidth="1"/>
    <col min="2311" max="2311" width="8.140625" style="372" customWidth="1"/>
    <col min="2312" max="2312" width="14.42578125" style="372" customWidth="1"/>
    <col min="2313" max="2313" width="13.28515625" style="372" customWidth="1"/>
    <col min="2314" max="2314" width="9.7109375" style="372" customWidth="1"/>
    <col min="2315" max="2315" width="13.5703125" style="372" customWidth="1"/>
    <col min="2316" max="2316" width="10.5703125" style="372" customWidth="1"/>
    <col min="2317" max="2317" width="11.28515625" style="372" customWidth="1"/>
    <col min="2318" max="2318" width="8.7109375" style="372" customWidth="1"/>
    <col min="2319" max="2319" width="9" style="372" customWidth="1"/>
    <col min="2320" max="2320" width="6.7109375" style="372" customWidth="1"/>
    <col min="2321" max="2321" width="11.42578125" style="372" customWidth="1"/>
    <col min="2322" max="2322" width="12.28515625" style="372" customWidth="1"/>
    <col min="2323" max="2323" width="11.28515625" style="372" customWidth="1"/>
    <col min="2324" max="2324" width="12.42578125" style="372" customWidth="1"/>
    <col min="2325" max="2325" width="13" style="372" customWidth="1"/>
    <col min="2326" max="2326" width="9.5703125" style="372" customWidth="1"/>
    <col min="2327" max="2327" width="11.42578125" style="372" customWidth="1"/>
    <col min="2328" max="2557" width="9.140625" style="372"/>
    <col min="2558" max="2558" width="9.42578125" style="372" customWidth="1"/>
    <col min="2559" max="2559" width="31.42578125" style="372" customWidth="1"/>
    <col min="2560" max="2565" width="0" style="372" hidden="1" customWidth="1"/>
    <col min="2566" max="2566" width="8.7109375" style="372" customWidth="1"/>
    <col min="2567" max="2567" width="8.140625" style="372" customWidth="1"/>
    <col min="2568" max="2568" width="14.42578125" style="372" customWidth="1"/>
    <col min="2569" max="2569" width="13.28515625" style="372" customWidth="1"/>
    <col min="2570" max="2570" width="9.7109375" style="372" customWidth="1"/>
    <col min="2571" max="2571" width="13.5703125" style="372" customWidth="1"/>
    <col min="2572" max="2572" width="10.5703125" style="372" customWidth="1"/>
    <col min="2573" max="2573" width="11.28515625" style="372" customWidth="1"/>
    <col min="2574" max="2574" width="8.7109375" style="372" customWidth="1"/>
    <col min="2575" max="2575" width="9" style="372" customWidth="1"/>
    <col min="2576" max="2576" width="6.7109375" style="372" customWidth="1"/>
    <col min="2577" max="2577" width="11.42578125" style="372" customWidth="1"/>
    <col min="2578" max="2578" width="12.28515625" style="372" customWidth="1"/>
    <col min="2579" max="2579" width="11.28515625" style="372" customWidth="1"/>
    <col min="2580" max="2580" width="12.42578125" style="372" customWidth="1"/>
    <col min="2581" max="2581" width="13" style="372" customWidth="1"/>
    <col min="2582" max="2582" width="9.5703125" style="372" customWidth="1"/>
    <col min="2583" max="2583" width="11.42578125" style="372" customWidth="1"/>
    <col min="2584" max="2813" width="9.140625" style="372"/>
    <col min="2814" max="2814" width="9.42578125" style="372" customWidth="1"/>
    <col min="2815" max="2815" width="31.42578125" style="372" customWidth="1"/>
    <col min="2816" max="2821" width="0" style="372" hidden="1" customWidth="1"/>
    <col min="2822" max="2822" width="8.7109375" style="372" customWidth="1"/>
    <col min="2823" max="2823" width="8.140625" style="372" customWidth="1"/>
    <col min="2824" max="2824" width="14.42578125" style="372" customWidth="1"/>
    <col min="2825" max="2825" width="13.28515625" style="372" customWidth="1"/>
    <col min="2826" max="2826" width="9.7109375" style="372" customWidth="1"/>
    <col min="2827" max="2827" width="13.5703125" style="372" customWidth="1"/>
    <col min="2828" max="2828" width="10.5703125" style="372" customWidth="1"/>
    <col min="2829" max="2829" width="11.28515625" style="372" customWidth="1"/>
    <col min="2830" max="2830" width="8.7109375" style="372" customWidth="1"/>
    <col min="2831" max="2831" width="9" style="372" customWidth="1"/>
    <col min="2832" max="2832" width="6.7109375" style="372" customWidth="1"/>
    <col min="2833" max="2833" width="11.42578125" style="372" customWidth="1"/>
    <col min="2834" max="2834" width="12.28515625" style="372" customWidth="1"/>
    <col min="2835" max="2835" width="11.28515625" style="372" customWidth="1"/>
    <col min="2836" max="2836" width="12.42578125" style="372" customWidth="1"/>
    <col min="2837" max="2837" width="13" style="372" customWidth="1"/>
    <col min="2838" max="2838" width="9.5703125" style="372" customWidth="1"/>
    <col min="2839" max="2839" width="11.42578125" style="372" customWidth="1"/>
    <col min="2840" max="3069" width="9.140625" style="372"/>
    <col min="3070" max="3070" width="9.42578125" style="372" customWidth="1"/>
    <col min="3071" max="3071" width="31.42578125" style="372" customWidth="1"/>
    <col min="3072" max="3077" width="0" style="372" hidden="1" customWidth="1"/>
    <col min="3078" max="3078" width="8.7109375" style="372" customWidth="1"/>
    <col min="3079" max="3079" width="8.140625" style="372" customWidth="1"/>
    <col min="3080" max="3080" width="14.42578125" style="372" customWidth="1"/>
    <col min="3081" max="3081" width="13.28515625" style="372" customWidth="1"/>
    <col min="3082" max="3082" width="9.7109375" style="372" customWidth="1"/>
    <col min="3083" max="3083" width="13.5703125" style="372" customWidth="1"/>
    <col min="3084" max="3084" width="10.5703125" style="372" customWidth="1"/>
    <col min="3085" max="3085" width="11.28515625" style="372" customWidth="1"/>
    <col min="3086" max="3086" width="8.7109375" style="372" customWidth="1"/>
    <col min="3087" max="3087" width="9" style="372" customWidth="1"/>
    <col min="3088" max="3088" width="6.7109375" style="372" customWidth="1"/>
    <col min="3089" max="3089" width="11.42578125" style="372" customWidth="1"/>
    <col min="3090" max="3090" width="12.28515625" style="372" customWidth="1"/>
    <col min="3091" max="3091" width="11.28515625" style="372" customWidth="1"/>
    <col min="3092" max="3092" width="12.42578125" style="372" customWidth="1"/>
    <col min="3093" max="3093" width="13" style="372" customWidth="1"/>
    <col min="3094" max="3094" width="9.5703125" style="372" customWidth="1"/>
    <col min="3095" max="3095" width="11.42578125" style="372" customWidth="1"/>
    <col min="3096" max="3325" width="9.140625" style="372"/>
    <col min="3326" max="3326" width="9.42578125" style="372" customWidth="1"/>
    <col min="3327" max="3327" width="31.42578125" style="372" customWidth="1"/>
    <col min="3328" max="3333" width="0" style="372" hidden="1" customWidth="1"/>
    <col min="3334" max="3334" width="8.7109375" style="372" customWidth="1"/>
    <col min="3335" max="3335" width="8.140625" style="372" customWidth="1"/>
    <col min="3336" max="3336" width="14.42578125" style="372" customWidth="1"/>
    <col min="3337" max="3337" width="13.28515625" style="372" customWidth="1"/>
    <col min="3338" max="3338" width="9.7109375" style="372" customWidth="1"/>
    <col min="3339" max="3339" width="13.5703125" style="372" customWidth="1"/>
    <col min="3340" max="3340" width="10.5703125" style="372" customWidth="1"/>
    <col min="3341" max="3341" width="11.28515625" style="372" customWidth="1"/>
    <col min="3342" max="3342" width="8.7109375" style="372" customWidth="1"/>
    <col min="3343" max="3343" width="9" style="372" customWidth="1"/>
    <col min="3344" max="3344" width="6.7109375" style="372" customWidth="1"/>
    <col min="3345" max="3345" width="11.42578125" style="372" customWidth="1"/>
    <col min="3346" max="3346" width="12.28515625" style="372" customWidth="1"/>
    <col min="3347" max="3347" width="11.28515625" style="372" customWidth="1"/>
    <col min="3348" max="3348" width="12.42578125" style="372" customWidth="1"/>
    <col min="3349" max="3349" width="13" style="372" customWidth="1"/>
    <col min="3350" max="3350" width="9.5703125" style="372" customWidth="1"/>
    <col min="3351" max="3351" width="11.42578125" style="372" customWidth="1"/>
    <col min="3352" max="3581" width="9.140625" style="372"/>
    <col min="3582" max="3582" width="9.42578125" style="372" customWidth="1"/>
    <col min="3583" max="3583" width="31.42578125" style="372" customWidth="1"/>
    <col min="3584" max="3589" width="0" style="372" hidden="1" customWidth="1"/>
    <col min="3590" max="3590" width="8.7109375" style="372" customWidth="1"/>
    <col min="3591" max="3591" width="8.140625" style="372" customWidth="1"/>
    <col min="3592" max="3592" width="14.42578125" style="372" customWidth="1"/>
    <col min="3593" max="3593" width="13.28515625" style="372" customWidth="1"/>
    <col min="3594" max="3594" width="9.7109375" style="372" customWidth="1"/>
    <col min="3595" max="3595" width="13.5703125" style="372" customWidth="1"/>
    <col min="3596" max="3596" width="10.5703125" style="372" customWidth="1"/>
    <col min="3597" max="3597" width="11.28515625" style="372" customWidth="1"/>
    <col min="3598" max="3598" width="8.7109375" style="372" customWidth="1"/>
    <col min="3599" max="3599" width="9" style="372" customWidth="1"/>
    <col min="3600" max="3600" width="6.7109375" style="372" customWidth="1"/>
    <col min="3601" max="3601" width="11.42578125" style="372" customWidth="1"/>
    <col min="3602" max="3602" width="12.28515625" style="372" customWidth="1"/>
    <col min="3603" max="3603" width="11.28515625" style="372" customWidth="1"/>
    <col min="3604" max="3604" width="12.42578125" style="372" customWidth="1"/>
    <col min="3605" max="3605" width="13" style="372" customWidth="1"/>
    <col min="3606" max="3606" width="9.5703125" style="372" customWidth="1"/>
    <col min="3607" max="3607" width="11.42578125" style="372" customWidth="1"/>
    <col min="3608" max="3837" width="9.140625" style="372"/>
    <col min="3838" max="3838" width="9.42578125" style="372" customWidth="1"/>
    <col min="3839" max="3839" width="31.42578125" style="372" customWidth="1"/>
    <col min="3840" max="3845" width="0" style="372" hidden="1" customWidth="1"/>
    <col min="3846" max="3846" width="8.7109375" style="372" customWidth="1"/>
    <col min="3847" max="3847" width="8.140625" style="372" customWidth="1"/>
    <col min="3848" max="3848" width="14.42578125" style="372" customWidth="1"/>
    <col min="3849" max="3849" width="13.28515625" style="372" customWidth="1"/>
    <col min="3850" max="3850" width="9.7109375" style="372" customWidth="1"/>
    <col min="3851" max="3851" width="13.5703125" style="372" customWidth="1"/>
    <col min="3852" max="3852" width="10.5703125" style="372" customWidth="1"/>
    <col min="3853" max="3853" width="11.28515625" style="372" customWidth="1"/>
    <col min="3854" max="3854" width="8.7109375" style="372" customWidth="1"/>
    <col min="3855" max="3855" width="9" style="372" customWidth="1"/>
    <col min="3856" max="3856" width="6.7109375" style="372" customWidth="1"/>
    <col min="3857" max="3857" width="11.42578125" style="372" customWidth="1"/>
    <col min="3858" max="3858" width="12.28515625" style="372" customWidth="1"/>
    <col min="3859" max="3859" width="11.28515625" style="372" customWidth="1"/>
    <col min="3860" max="3860" width="12.42578125" style="372" customWidth="1"/>
    <col min="3861" max="3861" width="13" style="372" customWidth="1"/>
    <col min="3862" max="3862" width="9.5703125" style="372" customWidth="1"/>
    <col min="3863" max="3863" width="11.42578125" style="372" customWidth="1"/>
    <col min="3864" max="4093" width="9.140625" style="372"/>
    <col min="4094" max="4094" width="9.42578125" style="372" customWidth="1"/>
    <col min="4095" max="4095" width="31.42578125" style="372" customWidth="1"/>
    <col min="4096" max="4101" width="0" style="372" hidden="1" customWidth="1"/>
    <col min="4102" max="4102" width="8.7109375" style="372" customWidth="1"/>
    <col min="4103" max="4103" width="8.140625" style="372" customWidth="1"/>
    <col min="4104" max="4104" width="14.42578125" style="372" customWidth="1"/>
    <col min="4105" max="4105" width="13.28515625" style="372" customWidth="1"/>
    <col min="4106" max="4106" width="9.7109375" style="372" customWidth="1"/>
    <col min="4107" max="4107" width="13.5703125" style="372" customWidth="1"/>
    <col min="4108" max="4108" width="10.5703125" style="372" customWidth="1"/>
    <col min="4109" max="4109" width="11.28515625" style="372" customWidth="1"/>
    <col min="4110" max="4110" width="8.7109375" style="372" customWidth="1"/>
    <col min="4111" max="4111" width="9" style="372" customWidth="1"/>
    <col min="4112" max="4112" width="6.7109375" style="372" customWidth="1"/>
    <col min="4113" max="4113" width="11.42578125" style="372" customWidth="1"/>
    <col min="4114" max="4114" width="12.28515625" style="372" customWidth="1"/>
    <col min="4115" max="4115" width="11.28515625" style="372" customWidth="1"/>
    <col min="4116" max="4116" width="12.42578125" style="372" customWidth="1"/>
    <col min="4117" max="4117" width="13" style="372" customWidth="1"/>
    <col min="4118" max="4118" width="9.5703125" style="372" customWidth="1"/>
    <col min="4119" max="4119" width="11.42578125" style="372" customWidth="1"/>
    <col min="4120" max="4349" width="9.140625" style="372"/>
    <col min="4350" max="4350" width="9.42578125" style="372" customWidth="1"/>
    <col min="4351" max="4351" width="31.42578125" style="372" customWidth="1"/>
    <col min="4352" max="4357" width="0" style="372" hidden="1" customWidth="1"/>
    <col min="4358" max="4358" width="8.7109375" style="372" customWidth="1"/>
    <col min="4359" max="4359" width="8.140625" style="372" customWidth="1"/>
    <col min="4360" max="4360" width="14.42578125" style="372" customWidth="1"/>
    <col min="4361" max="4361" width="13.28515625" style="372" customWidth="1"/>
    <col min="4362" max="4362" width="9.7109375" style="372" customWidth="1"/>
    <col min="4363" max="4363" width="13.5703125" style="372" customWidth="1"/>
    <col min="4364" max="4364" width="10.5703125" style="372" customWidth="1"/>
    <col min="4365" max="4365" width="11.28515625" style="372" customWidth="1"/>
    <col min="4366" max="4366" width="8.7109375" style="372" customWidth="1"/>
    <col min="4367" max="4367" width="9" style="372" customWidth="1"/>
    <col min="4368" max="4368" width="6.7109375" style="372" customWidth="1"/>
    <col min="4369" max="4369" width="11.42578125" style="372" customWidth="1"/>
    <col min="4370" max="4370" width="12.28515625" style="372" customWidth="1"/>
    <col min="4371" max="4371" width="11.28515625" style="372" customWidth="1"/>
    <col min="4372" max="4372" width="12.42578125" style="372" customWidth="1"/>
    <col min="4373" max="4373" width="13" style="372" customWidth="1"/>
    <col min="4374" max="4374" width="9.5703125" style="372" customWidth="1"/>
    <col min="4375" max="4375" width="11.42578125" style="372" customWidth="1"/>
    <col min="4376" max="4605" width="9.140625" style="372"/>
    <col min="4606" max="4606" width="9.42578125" style="372" customWidth="1"/>
    <col min="4607" max="4607" width="31.42578125" style="372" customWidth="1"/>
    <col min="4608" max="4613" width="0" style="372" hidden="1" customWidth="1"/>
    <col min="4614" max="4614" width="8.7109375" style="372" customWidth="1"/>
    <col min="4615" max="4615" width="8.140625" style="372" customWidth="1"/>
    <col min="4616" max="4616" width="14.42578125" style="372" customWidth="1"/>
    <col min="4617" max="4617" width="13.28515625" style="372" customWidth="1"/>
    <col min="4618" max="4618" width="9.7109375" style="372" customWidth="1"/>
    <col min="4619" max="4619" width="13.5703125" style="372" customWidth="1"/>
    <col min="4620" max="4620" width="10.5703125" style="372" customWidth="1"/>
    <col min="4621" max="4621" width="11.28515625" style="372" customWidth="1"/>
    <col min="4622" max="4622" width="8.7109375" style="372" customWidth="1"/>
    <col min="4623" max="4623" width="9" style="372" customWidth="1"/>
    <col min="4624" max="4624" width="6.7109375" style="372" customWidth="1"/>
    <col min="4625" max="4625" width="11.42578125" style="372" customWidth="1"/>
    <col min="4626" max="4626" width="12.28515625" style="372" customWidth="1"/>
    <col min="4627" max="4627" width="11.28515625" style="372" customWidth="1"/>
    <col min="4628" max="4628" width="12.42578125" style="372" customWidth="1"/>
    <col min="4629" max="4629" width="13" style="372" customWidth="1"/>
    <col min="4630" max="4630" width="9.5703125" style="372" customWidth="1"/>
    <col min="4631" max="4631" width="11.42578125" style="372" customWidth="1"/>
    <col min="4632" max="4861" width="9.140625" style="372"/>
    <col min="4862" max="4862" width="9.42578125" style="372" customWidth="1"/>
    <col min="4863" max="4863" width="31.42578125" style="372" customWidth="1"/>
    <col min="4864" max="4869" width="0" style="372" hidden="1" customWidth="1"/>
    <col min="4870" max="4870" width="8.7109375" style="372" customWidth="1"/>
    <col min="4871" max="4871" width="8.140625" style="372" customWidth="1"/>
    <col min="4872" max="4872" width="14.42578125" style="372" customWidth="1"/>
    <col min="4873" max="4873" width="13.28515625" style="372" customWidth="1"/>
    <col min="4874" max="4874" width="9.7109375" style="372" customWidth="1"/>
    <col min="4875" max="4875" width="13.5703125" style="372" customWidth="1"/>
    <col min="4876" max="4876" width="10.5703125" style="372" customWidth="1"/>
    <col min="4877" max="4877" width="11.28515625" style="372" customWidth="1"/>
    <col min="4878" max="4878" width="8.7109375" style="372" customWidth="1"/>
    <col min="4879" max="4879" width="9" style="372" customWidth="1"/>
    <col min="4880" max="4880" width="6.7109375" style="372" customWidth="1"/>
    <col min="4881" max="4881" width="11.42578125" style="372" customWidth="1"/>
    <col min="4882" max="4882" width="12.28515625" style="372" customWidth="1"/>
    <col min="4883" max="4883" width="11.28515625" style="372" customWidth="1"/>
    <col min="4884" max="4884" width="12.42578125" style="372" customWidth="1"/>
    <col min="4885" max="4885" width="13" style="372" customWidth="1"/>
    <col min="4886" max="4886" width="9.5703125" style="372" customWidth="1"/>
    <col min="4887" max="4887" width="11.42578125" style="372" customWidth="1"/>
    <col min="4888" max="5117" width="9.140625" style="372"/>
    <col min="5118" max="5118" width="9.42578125" style="372" customWidth="1"/>
    <col min="5119" max="5119" width="31.42578125" style="372" customWidth="1"/>
    <col min="5120" max="5125" width="0" style="372" hidden="1" customWidth="1"/>
    <col min="5126" max="5126" width="8.7109375" style="372" customWidth="1"/>
    <col min="5127" max="5127" width="8.140625" style="372" customWidth="1"/>
    <col min="5128" max="5128" width="14.42578125" style="372" customWidth="1"/>
    <col min="5129" max="5129" width="13.28515625" style="372" customWidth="1"/>
    <col min="5130" max="5130" width="9.7109375" style="372" customWidth="1"/>
    <col min="5131" max="5131" width="13.5703125" style="372" customWidth="1"/>
    <col min="5132" max="5132" width="10.5703125" style="372" customWidth="1"/>
    <col min="5133" max="5133" width="11.28515625" style="372" customWidth="1"/>
    <col min="5134" max="5134" width="8.7109375" style="372" customWidth="1"/>
    <col min="5135" max="5135" width="9" style="372" customWidth="1"/>
    <col min="5136" max="5136" width="6.7109375" style="372" customWidth="1"/>
    <col min="5137" max="5137" width="11.42578125" style="372" customWidth="1"/>
    <col min="5138" max="5138" width="12.28515625" style="372" customWidth="1"/>
    <col min="5139" max="5139" width="11.28515625" style="372" customWidth="1"/>
    <col min="5140" max="5140" width="12.42578125" style="372" customWidth="1"/>
    <col min="5141" max="5141" width="13" style="372" customWidth="1"/>
    <col min="5142" max="5142" width="9.5703125" style="372" customWidth="1"/>
    <col min="5143" max="5143" width="11.42578125" style="372" customWidth="1"/>
    <col min="5144" max="5373" width="9.140625" style="372"/>
    <col min="5374" max="5374" width="9.42578125" style="372" customWidth="1"/>
    <col min="5375" max="5375" width="31.42578125" style="372" customWidth="1"/>
    <col min="5376" max="5381" width="0" style="372" hidden="1" customWidth="1"/>
    <col min="5382" max="5382" width="8.7109375" style="372" customWidth="1"/>
    <col min="5383" max="5383" width="8.140625" style="372" customWidth="1"/>
    <col min="5384" max="5384" width="14.42578125" style="372" customWidth="1"/>
    <col min="5385" max="5385" width="13.28515625" style="372" customWidth="1"/>
    <col min="5386" max="5386" width="9.7109375" style="372" customWidth="1"/>
    <col min="5387" max="5387" width="13.5703125" style="372" customWidth="1"/>
    <col min="5388" max="5388" width="10.5703125" style="372" customWidth="1"/>
    <col min="5389" max="5389" width="11.28515625" style="372" customWidth="1"/>
    <col min="5390" max="5390" width="8.7109375" style="372" customWidth="1"/>
    <col min="5391" max="5391" width="9" style="372" customWidth="1"/>
    <col min="5392" max="5392" width="6.7109375" style="372" customWidth="1"/>
    <col min="5393" max="5393" width="11.42578125" style="372" customWidth="1"/>
    <col min="5394" max="5394" width="12.28515625" style="372" customWidth="1"/>
    <col min="5395" max="5395" width="11.28515625" style="372" customWidth="1"/>
    <col min="5396" max="5396" width="12.42578125" style="372" customWidth="1"/>
    <col min="5397" max="5397" width="13" style="372" customWidth="1"/>
    <col min="5398" max="5398" width="9.5703125" style="372" customWidth="1"/>
    <col min="5399" max="5399" width="11.42578125" style="372" customWidth="1"/>
    <col min="5400" max="5629" width="9.140625" style="372"/>
    <col min="5630" max="5630" width="9.42578125" style="372" customWidth="1"/>
    <col min="5631" max="5631" width="31.42578125" style="372" customWidth="1"/>
    <col min="5632" max="5637" width="0" style="372" hidden="1" customWidth="1"/>
    <col min="5638" max="5638" width="8.7109375" style="372" customWidth="1"/>
    <col min="5639" max="5639" width="8.140625" style="372" customWidth="1"/>
    <col min="5640" max="5640" width="14.42578125" style="372" customWidth="1"/>
    <col min="5641" max="5641" width="13.28515625" style="372" customWidth="1"/>
    <col min="5642" max="5642" width="9.7109375" style="372" customWidth="1"/>
    <col min="5643" max="5643" width="13.5703125" style="372" customWidth="1"/>
    <col min="5644" max="5644" width="10.5703125" style="372" customWidth="1"/>
    <col min="5645" max="5645" width="11.28515625" style="372" customWidth="1"/>
    <col min="5646" max="5646" width="8.7109375" style="372" customWidth="1"/>
    <col min="5647" max="5647" width="9" style="372" customWidth="1"/>
    <col min="5648" max="5648" width="6.7109375" style="372" customWidth="1"/>
    <col min="5649" max="5649" width="11.42578125" style="372" customWidth="1"/>
    <col min="5650" max="5650" width="12.28515625" style="372" customWidth="1"/>
    <col min="5651" max="5651" width="11.28515625" style="372" customWidth="1"/>
    <col min="5652" max="5652" width="12.42578125" style="372" customWidth="1"/>
    <col min="5653" max="5653" width="13" style="372" customWidth="1"/>
    <col min="5654" max="5654" width="9.5703125" style="372" customWidth="1"/>
    <col min="5655" max="5655" width="11.42578125" style="372" customWidth="1"/>
    <col min="5656" max="5885" width="9.140625" style="372"/>
    <col min="5886" max="5886" width="9.42578125" style="372" customWidth="1"/>
    <col min="5887" max="5887" width="31.42578125" style="372" customWidth="1"/>
    <col min="5888" max="5893" width="0" style="372" hidden="1" customWidth="1"/>
    <col min="5894" max="5894" width="8.7109375" style="372" customWidth="1"/>
    <col min="5895" max="5895" width="8.140625" style="372" customWidth="1"/>
    <col min="5896" max="5896" width="14.42578125" style="372" customWidth="1"/>
    <col min="5897" max="5897" width="13.28515625" style="372" customWidth="1"/>
    <col min="5898" max="5898" width="9.7109375" style="372" customWidth="1"/>
    <col min="5899" max="5899" width="13.5703125" style="372" customWidth="1"/>
    <col min="5900" max="5900" width="10.5703125" style="372" customWidth="1"/>
    <col min="5901" max="5901" width="11.28515625" style="372" customWidth="1"/>
    <col min="5902" max="5902" width="8.7109375" style="372" customWidth="1"/>
    <col min="5903" max="5903" width="9" style="372" customWidth="1"/>
    <col min="5904" max="5904" width="6.7109375" style="372" customWidth="1"/>
    <col min="5905" max="5905" width="11.42578125" style="372" customWidth="1"/>
    <col min="5906" max="5906" width="12.28515625" style="372" customWidth="1"/>
    <col min="5907" max="5907" width="11.28515625" style="372" customWidth="1"/>
    <col min="5908" max="5908" width="12.42578125" style="372" customWidth="1"/>
    <col min="5909" max="5909" width="13" style="372" customWidth="1"/>
    <col min="5910" max="5910" width="9.5703125" style="372" customWidth="1"/>
    <col min="5911" max="5911" width="11.42578125" style="372" customWidth="1"/>
    <col min="5912" max="6141" width="9.140625" style="372"/>
    <col min="6142" max="6142" width="9.42578125" style="372" customWidth="1"/>
    <col min="6143" max="6143" width="31.42578125" style="372" customWidth="1"/>
    <col min="6144" max="6149" width="0" style="372" hidden="1" customWidth="1"/>
    <col min="6150" max="6150" width="8.7109375" style="372" customWidth="1"/>
    <col min="6151" max="6151" width="8.140625" style="372" customWidth="1"/>
    <col min="6152" max="6152" width="14.42578125" style="372" customWidth="1"/>
    <col min="6153" max="6153" width="13.28515625" style="372" customWidth="1"/>
    <col min="6154" max="6154" width="9.7109375" style="372" customWidth="1"/>
    <col min="6155" max="6155" width="13.5703125" style="372" customWidth="1"/>
    <col min="6156" max="6156" width="10.5703125" style="372" customWidth="1"/>
    <col min="6157" max="6157" width="11.28515625" style="372" customWidth="1"/>
    <col min="6158" max="6158" width="8.7109375" style="372" customWidth="1"/>
    <col min="6159" max="6159" width="9" style="372" customWidth="1"/>
    <col min="6160" max="6160" width="6.7109375" style="372" customWidth="1"/>
    <col min="6161" max="6161" width="11.42578125" style="372" customWidth="1"/>
    <col min="6162" max="6162" width="12.28515625" style="372" customWidth="1"/>
    <col min="6163" max="6163" width="11.28515625" style="372" customWidth="1"/>
    <col min="6164" max="6164" width="12.42578125" style="372" customWidth="1"/>
    <col min="6165" max="6165" width="13" style="372" customWidth="1"/>
    <col min="6166" max="6166" width="9.5703125" style="372" customWidth="1"/>
    <col min="6167" max="6167" width="11.42578125" style="372" customWidth="1"/>
    <col min="6168" max="6397" width="9.140625" style="372"/>
    <col min="6398" max="6398" width="9.42578125" style="372" customWidth="1"/>
    <col min="6399" max="6399" width="31.42578125" style="372" customWidth="1"/>
    <col min="6400" max="6405" width="0" style="372" hidden="1" customWidth="1"/>
    <col min="6406" max="6406" width="8.7109375" style="372" customWidth="1"/>
    <col min="6407" max="6407" width="8.140625" style="372" customWidth="1"/>
    <col min="6408" max="6408" width="14.42578125" style="372" customWidth="1"/>
    <col min="6409" max="6409" width="13.28515625" style="372" customWidth="1"/>
    <col min="6410" max="6410" width="9.7109375" style="372" customWidth="1"/>
    <col min="6411" max="6411" width="13.5703125" style="372" customWidth="1"/>
    <col min="6412" max="6412" width="10.5703125" style="372" customWidth="1"/>
    <col min="6413" max="6413" width="11.28515625" style="372" customWidth="1"/>
    <col min="6414" max="6414" width="8.7109375" style="372" customWidth="1"/>
    <col min="6415" max="6415" width="9" style="372" customWidth="1"/>
    <col min="6416" max="6416" width="6.7109375" style="372" customWidth="1"/>
    <col min="6417" max="6417" width="11.42578125" style="372" customWidth="1"/>
    <col min="6418" max="6418" width="12.28515625" style="372" customWidth="1"/>
    <col min="6419" max="6419" width="11.28515625" style="372" customWidth="1"/>
    <col min="6420" max="6420" width="12.42578125" style="372" customWidth="1"/>
    <col min="6421" max="6421" width="13" style="372" customWidth="1"/>
    <col min="6422" max="6422" width="9.5703125" style="372" customWidth="1"/>
    <col min="6423" max="6423" width="11.42578125" style="372" customWidth="1"/>
    <col min="6424" max="6653" width="9.140625" style="372"/>
    <col min="6654" max="6654" width="9.42578125" style="372" customWidth="1"/>
    <col min="6655" max="6655" width="31.42578125" style="372" customWidth="1"/>
    <col min="6656" max="6661" width="0" style="372" hidden="1" customWidth="1"/>
    <col min="6662" max="6662" width="8.7109375" style="372" customWidth="1"/>
    <col min="6663" max="6663" width="8.140625" style="372" customWidth="1"/>
    <col min="6664" max="6664" width="14.42578125" style="372" customWidth="1"/>
    <col min="6665" max="6665" width="13.28515625" style="372" customWidth="1"/>
    <col min="6666" max="6666" width="9.7109375" style="372" customWidth="1"/>
    <col min="6667" max="6667" width="13.5703125" style="372" customWidth="1"/>
    <col min="6668" max="6668" width="10.5703125" style="372" customWidth="1"/>
    <col min="6669" max="6669" width="11.28515625" style="372" customWidth="1"/>
    <col min="6670" max="6670" width="8.7109375" style="372" customWidth="1"/>
    <col min="6671" max="6671" width="9" style="372" customWidth="1"/>
    <col min="6672" max="6672" width="6.7109375" style="372" customWidth="1"/>
    <col min="6673" max="6673" width="11.42578125" style="372" customWidth="1"/>
    <col min="6674" max="6674" width="12.28515625" style="372" customWidth="1"/>
    <col min="6675" max="6675" width="11.28515625" style="372" customWidth="1"/>
    <col min="6676" max="6676" width="12.42578125" style="372" customWidth="1"/>
    <col min="6677" max="6677" width="13" style="372" customWidth="1"/>
    <col min="6678" max="6678" width="9.5703125" style="372" customWidth="1"/>
    <col min="6679" max="6679" width="11.42578125" style="372" customWidth="1"/>
    <col min="6680" max="6909" width="9.140625" style="372"/>
    <col min="6910" max="6910" width="9.42578125" style="372" customWidth="1"/>
    <col min="6911" max="6911" width="31.42578125" style="372" customWidth="1"/>
    <col min="6912" max="6917" width="0" style="372" hidden="1" customWidth="1"/>
    <col min="6918" max="6918" width="8.7109375" style="372" customWidth="1"/>
    <col min="6919" max="6919" width="8.140625" style="372" customWidth="1"/>
    <col min="6920" max="6920" width="14.42578125" style="372" customWidth="1"/>
    <col min="6921" max="6921" width="13.28515625" style="372" customWidth="1"/>
    <col min="6922" max="6922" width="9.7109375" style="372" customWidth="1"/>
    <col min="6923" max="6923" width="13.5703125" style="372" customWidth="1"/>
    <col min="6924" max="6924" width="10.5703125" style="372" customWidth="1"/>
    <col min="6925" max="6925" width="11.28515625" style="372" customWidth="1"/>
    <col min="6926" max="6926" width="8.7109375" style="372" customWidth="1"/>
    <col min="6927" max="6927" width="9" style="372" customWidth="1"/>
    <col min="6928" max="6928" width="6.7109375" style="372" customWidth="1"/>
    <col min="6929" max="6929" width="11.42578125" style="372" customWidth="1"/>
    <col min="6930" max="6930" width="12.28515625" style="372" customWidth="1"/>
    <col min="6931" max="6931" width="11.28515625" style="372" customWidth="1"/>
    <col min="6932" max="6932" width="12.42578125" style="372" customWidth="1"/>
    <col min="6933" max="6933" width="13" style="372" customWidth="1"/>
    <col min="6934" max="6934" width="9.5703125" style="372" customWidth="1"/>
    <col min="6935" max="6935" width="11.42578125" style="372" customWidth="1"/>
    <col min="6936" max="7165" width="9.140625" style="372"/>
    <col min="7166" max="7166" width="9.42578125" style="372" customWidth="1"/>
    <col min="7167" max="7167" width="31.42578125" style="372" customWidth="1"/>
    <col min="7168" max="7173" width="0" style="372" hidden="1" customWidth="1"/>
    <col min="7174" max="7174" width="8.7109375" style="372" customWidth="1"/>
    <col min="7175" max="7175" width="8.140625" style="372" customWidth="1"/>
    <col min="7176" max="7176" width="14.42578125" style="372" customWidth="1"/>
    <col min="7177" max="7177" width="13.28515625" style="372" customWidth="1"/>
    <col min="7178" max="7178" width="9.7109375" style="372" customWidth="1"/>
    <col min="7179" max="7179" width="13.5703125" style="372" customWidth="1"/>
    <col min="7180" max="7180" width="10.5703125" style="372" customWidth="1"/>
    <col min="7181" max="7181" width="11.28515625" style="372" customWidth="1"/>
    <col min="7182" max="7182" width="8.7109375" style="372" customWidth="1"/>
    <col min="7183" max="7183" width="9" style="372" customWidth="1"/>
    <col min="7184" max="7184" width="6.7109375" style="372" customWidth="1"/>
    <col min="7185" max="7185" width="11.42578125" style="372" customWidth="1"/>
    <col min="7186" max="7186" width="12.28515625" style="372" customWidth="1"/>
    <col min="7187" max="7187" width="11.28515625" style="372" customWidth="1"/>
    <col min="7188" max="7188" width="12.42578125" style="372" customWidth="1"/>
    <col min="7189" max="7189" width="13" style="372" customWidth="1"/>
    <col min="7190" max="7190" width="9.5703125" style="372" customWidth="1"/>
    <col min="7191" max="7191" width="11.42578125" style="372" customWidth="1"/>
    <col min="7192" max="7421" width="9.140625" style="372"/>
    <col min="7422" max="7422" width="9.42578125" style="372" customWidth="1"/>
    <col min="7423" max="7423" width="31.42578125" style="372" customWidth="1"/>
    <col min="7424" max="7429" width="0" style="372" hidden="1" customWidth="1"/>
    <col min="7430" max="7430" width="8.7109375" style="372" customWidth="1"/>
    <col min="7431" max="7431" width="8.140625" style="372" customWidth="1"/>
    <col min="7432" max="7432" width="14.42578125" style="372" customWidth="1"/>
    <col min="7433" max="7433" width="13.28515625" style="372" customWidth="1"/>
    <col min="7434" max="7434" width="9.7109375" style="372" customWidth="1"/>
    <col min="7435" max="7435" width="13.5703125" style="372" customWidth="1"/>
    <col min="7436" max="7436" width="10.5703125" style="372" customWidth="1"/>
    <col min="7437" max="7437" width="11.28515625" style="372" customWidth="1"/>
    <col min="7438" max="7438" width="8.7109375" style="372" customWidth="1"/>
    <col min="7439" max="7439" width="9" style="372" customWidth="1"/>
    <col min="7440" max="7440" width="6.7109375" style="372" customWidth="1"/>
    <col min="7441" max="7441" width="11.42578125" style="372" customWidth="1"/>
    <col min="7442" max="7442" width="12.28515625" style="372" customWidth="1"/>
    <col min="7443" max="7443" width="11.28515625" style="372" customWidth="1"/>
    <col min="7444" max="7444" width="12.42578125" style="372" customWidth="1"/>
    <col min="7445" max="7445" width="13" style="372" customWidth="1"/>
    <col min="7446" max="7446" width="9.5703125" style="372" customWidth="1"/>
    <col min="7447" max="7447" width="11.42578125" style="372" customWidth="1"/>
    <col min="7448" max="7677" width="9.140625" style="372"/>
    <col min="7678" max="7678" width="9.42578125" style="372" customWidth="1"/>
    <col min="7679" max="7679" width="31.42578125" style="372" customWidth="1"/>
    <col min="7680" max="7685" width="0" style="372" hidden="1" customWidth="1"/>
    <col min="7686" max="7686" width="8.7109375" style="372" customWidth="1"/>
    <col min="7687" max="7687" width="8.140625" style="372" customWidth="1"/>
    <col min="7688" max="7688" width="14.42578125" style="372" customWidth="1"/>
    <col min="7689" max="7689" width="13.28515625" style="372" customWidth="1"/>
    <col min="7690" max="7690" width="9.7109375" style="372" customWidth="1"/>
    <col min="7691" max="7691" width="13.5703125" style="372" customWidth="1"/>
    <col min="7692" max="7692" width="10.5703125" style="372" customWidth="1"/>
    <col min="7693" max="7693" width="11.28515625" style="372" customWidth="1"/>
    <col min="7694" max="7694" width="8.7109375" style="372" customWidth="1"/>
    <col min="7695" max="7695" width="9" style="372" customWidth="1"/>
    <col min="7696" max="7696" width="6.7109375" style="372" customWidth="1"/>
    <col min="7697" max="7697" width="11.42578125" style="372" customWidth="1"/>
    <col min="7698" max="7698" width="12.28515625" style="372" customWidth="1"/>
    <col min="7699" max="7699" width="11.28515625" style="372" customWidth="1"/>
    <col min="7700" max="7700" width="12.42578125" style="372" customWidth="1"/>
    <col min="7701" max="7701" width="13" style="372" customWidth="1"/>
    <col min="7702" max="7702" width="9.5703125" style="372" customWidth="1"/>
    <col min="7703" max="7703" width="11.42578125" style="372" customWidth="1"/>
    <col min="7704" max="7933" width="9.140625" style="372"/>
    <col min="7934" max="7934" width="9.42578125" style="372" customWidth="1"/>
    <col min="7935" max="7935" width="31.42578125" style="372" customWidth="1"/>
    <col min="7936" max="7941" width="0" style="372" hidden="1" customWidth="1"/>
    <col min="7942" max="7942" width="8.7109375" style="372" customWidth="1"/>
    <col min="7943" max="7943" width="8.140625" style="372" customWidth="1"/>
    <col min="7944" max="7944" width="14.42578125" style="372" customWidth="1"/>
    <col min="7945" max="7945" width="13.28515625" style="372" customWidth="1"/>
    <col min="7946" max="7946" width="9.7109375" style="372" customWidth="1"/>
    <col min="7947" max="7947" width="13.5703125" style="372" customWidth="1"/>
    <col min="7948" max="7948" width="10.5703125" style="372" customWidth="1"/>
    <col min="7949" max="7949" width="11.28515625" style="372" customWidth="1"/>
    <col min="7950" max="7950" width="8.7109375" style="372" customWidth="1"/>
    <col min="7951" max="7951" width="9" style="372" customWidth="1"/>
    <col min="7952" max="7952" width="6.7109375" style="372" customWidth="1"/>
    <col min="7953" max="7953" width="11.42578125" style="372" customWidth="1"/>
    <col min="7954" max="7954" width="12.28515625" style="372" customWidth="1"/>
    <col min="7955" max="7955" width="11.28515625" style="372" customWidth="1"/>
    <col min="7956" max="7956" width="12.42578125" style="372" customWidth="1"/>
    <col min="7957" max="7957" width="13" style="372" customWidth="1"/>
    <col min="7958" max="7958" width="9.5703125" style="372" customWidth="1"/>
    <col min="7959" max="7959" width="11.42578125" style="372" customWidth="1"/>
    <col min="7960" max="8189" width="9.140625" style="372"/>
    <col min="8190" max="8190" width="9.42578125" style="372" customWidth="1"/>
    <col min="8191" max="8191" width="31.42578125" style="372" customWidth="1"/>
    <col min="8192" max="8197" width="0" style="372" hidden="1" customWidth="1"/>
    <col min="8198" max="8198" width="8.7109375" style="372" customWidth="1"/>
    <col min="8199" max="8199" width="8.140625" style="372" customWidth="1"/>
    <col min="8200" max="8200" width="14.42578125" style="372" customWidth="1"/>
    <col min="8201" max="8201" width="13.28515625" style="372" customWidth="1"/>
    <col min="8202" max="8202" width="9.7109375" style="372" customWidth="1"/>
    <col min="8203" max="8203" width="13.5703125" style="372" customWidth="1"/>
    <col min="8204" max="8204" width="10.5703125" style="372" customWidth="1"/>
    <col min="8205" max="8205" width="11.28515625" style="372" customWidth="1"/>
    <col min="8206" max="8206" width="8.7109375" style="372" customWidth="1"/>
    <col min="8207" max="8207" width="9" style="372" customWidth="1"/>
    <col min="8208" max="8208" width="6.7109375" style="372" customWidth="1"/>
    <col min="8209" max="8209" width="11.42578125" style="372" customWidth="1"/>
    <col min="8210" max="8210" width="12.28515625" style="372" customWidth="1"/>
    <col min="8211" max="8211" width="11.28515625" style="372" customWidth="1"/>
    <col min="8212" max="8212" width="12.42578125" style="372" customWidth="1"/>
    <col min="8213" max="8213" width="13" style="372" customWidth="1"/>
    <col min="8214" max="8214" width="9.5703125" style="372" customWidth="1"/>
    <col min="8215" max="8215" width="11.42578125" style="372" customWidth="1"/>
    <col min="8216" max="8445" width="9.140625" style="372"/>
    <col min="8446" max="8446" width="9.42578125" style="372" customWidth="1"/>
    <col min="8447" max="8447" width="31.42578125" style="372" customWidth="1"/>
    <col min="8448" max="8453" width="0" style="372" hidden="1" customWidth="1"/>
    <col min="8454" max="8454" width="8.7109375" style="372" customWidth="1"/>
    <col min="8455" max="8455" width="8.140625" style="372" customWidth="1"/>
    <col min="8456" max="8456" width="14.42578125" style="372" customWidth="1"/>
    <col min="8457" max="8457" width="13.28515625" style="372" customWidth="1"/>
    <col min="8458" max="8458" width="9.7109375" style="372" customWidth="1"/>
    <col min="8459" max="8459" width="13.5703125" style="372" customWidth="1"/>
    <col min="8460" max="8460" width="10.5703125" style="372" customWidth="1"/>
    <col min="8461" max="8461" width="11.28515625" style="372" customWidth="1"/>
    <col min="8462" max="8462" width="8.7109375" style="372" customWidth="1"/>
    <col min="8463" max="8463" width="9" style="372" customWidth="1"/>
    <col min="8464" max="8464" width="6.7109375" style="372" customWidth="1"/>
    <col min="8465" max="8465" width="11.42578125" style="372" customWidth="1"/>
    <col min="8466" max="8466" width="12.28515625" style="372" customWidth="1"/>
    <col min="8467" max="8467" width="11.28515625" style="372" customWidth="1"/>
    <col min="8468" max="8468" width="12.42578125" style="372" customWidth="1"/>
    <col min="8469" max="8469" width="13" style="372" customWidth="1"/>
    <col min="8470" max="8470" width="9.5703125" style="372" customWidth="1"/>
    <col min="8471" max="8471" width="11.42578125" style="372" customWidth="1"/>
    <col min="8472" max="8701" width="9.140625" style="372"/>
    <col min="8702" max="8702" width="9.42578125" style="372" customWidth="1"/>
    <col min="8703" max="8703" width="31.42578125" style="372" customWidth="1"/>
    <col min="8704" max="8709" width="0" style="372" hidden="1" customWidth="1"/>
    <col min="8710" max="8710" width="8.7109375" style="372" customWidth="1"/>
    <col min="8711" max="8711" width="8.140625" style="372" customWidth="1"/>
    <col min="8712" max="8712" width="14.42578125" style="372" customWidth="1"/>
    <col min="8713" max="8713" width="13.28515625" style="372" customWidth="1"/>
    <col min="8714" max="8714" width="9.7109375" style="372" customWidth="1"/>
    <col min="8715" max="8715" width="13.5703125" style="372" customWidth="1"/>
    <col min="8716" max="8716" width="10.5703125" style="372" customWidth="1"/>
    <col min="8717" max="8717" width="11.28515625" style="372" customWidth="1"/>
    <col min="8718" max="8718" width="8.7109375" style="372" customWidth="1"/>
    <col min="8719" max="8719" width="9" style="372" customWidth="1"/>
    <col min="8720" max="8720" width="6.7109375" style="372" customWidth="1"/>
    <col min="8721" max="8721" width="11.42578125" style="372" customWidth="1"/>
    <col min="8722" max="8722" width="12.28515625" style="372" customWidth="1"/>
    <col min="8723" max="8723" width="11.28515625" style="372" customWidth="1"/>
    <col min="8724" max="8724" width="12.42578125" style="372" customWidth="1"/>
    <col min="8725" max="8725" width="13" style="372" customWidth="1"/>
    <col min="8726" max="8726" width="9.5703125" style="372" customWidth="1"/>
    <col min="8727" max="8727" width="11.42578125" style="372" customWidth="1"/>
    <col min="8728" max="8957" width="9.140625" style="372"/>
    <col min="8958" max="8958" width="9.42578125" style="372" customWidth="1"/>
    <col min="8959" max="8959" width="31.42578125" style="372" customWidth="1"/>
    <col min="8960" max="8965" width="0" style="372" hidden="1" customWidth="1"/>
    <col min="8966" max="8966" width="8.7109375" style="372" customWidth="1"/>
    <col min="8967" max="8967" width="8.140625" style="372" customWidth="1"/>
    <col min="8968" max="8968" width="14.42578125" style="372" customWidth="1"/>
    <col min="8969" max="8969" width="13.28515625" style="372" customWidth="1"/>
    <col min="8970" max="8970" width="9.7109375" style="372" customWidth="1"/>
    <col min="8971" max="8971" width="13.5703125" style="372" customWidth="1"/>
    <col min="8972" max="8972" width="10.5703125" style="372" customWidth="1"/>
    <col min="8973" max="8973" width="11.28515625" style="372" customWidth="1"/>
    <col min="8974" max="8974" width="8.7109375" style="372" customWidth="1"/>
    <col min="8975" max="8975" width="9" style="372" customWidth="1"/>
    <col min="8976" max="8976" width="6.7109375" style="372" customWidth="1"/>
    <col min="8977" max="8977" width="11.42578125" style="372" customWidth="1"/>
    <col min="8978" max="8978" width="12.28515625" style="372" customWidth="1"/>
    <col min="8979" max="8979" width="11.28515625" style="372" customWidth="1"/>
    <col min="8980" max="8980" width="12.42578125" style="372" customWidth="1"/>
    <col min="8981" max="8981" width="13" style="372" customWidth="1"/>
    <col min="8982" max="8982" width="9.5703125" style="372" customWidth="1"/>
    <col min="8983" max="8983" width="11.42578125" style="372" customWidth="1"/>
    <col min="8984" max="9213" width="9.140625" style="372"/>
    <col min="9214" max="9214" width="9.42578125" style="372" customWidth="1"/>
    <col min="9215" max="9215" width="31.42578125" style="372" customWidth="1"/>
    <col min="9216" max="9221" width="0" style="372" hidden="1" customWidth="1"/>
    <col min="9222" max="9222" width="8.7109375" style="372" customWidth="1"/>
    <col min="9223" max="9223" width="8.140625" style="372" customWidth="1"/>
    <col min="9224" max="9224" width="14.42578125" style="372" customWidth="1"/>
    <col min="9225" max="9225" width="13.28515625" style="372" customWidth="1"/>
    <col min="9226" max="9226" width="9.7109375" style="372" customWidth="1"/>
    <col min="9227" max="9227" width="13.5703125" style="372" customWidth="1"/>
    <col min="9228" max="9228" width="10.5703125" style="372" customWidth="1"/>
    <col min="9229" max="9229" width="11.28515625" style="372" customWidth="1"/>
    <col min="9230" max="9230" width="8.7109375" style="372" customWidth="1"/>
    <col min="9231" max="9231" width="9" style="372" customWidth="1"/>
    <col min="9232" max="9232" width="6.7109375" style="372" customWidth="1"/>
    <col min="9233" max="9233" width="11.42578125" style="372" customWidth="1"/>
    <col min="9234" max="9234" width="12.28515625" style="372" customWidth="1"/>
    <col min="9235" max="9235" width="11.28515625" style="372" customWidth="1"/>
    <col min="9236" max="9236" width="12.42578125" style="372" customWidth="1"/>
    <col min="9237" max="9237" width="13" style="372" customWidth="1"/>
    <col min="9238" max="9238" width="9.5703125" style="372" customWidth="1"/>
    <col min="9239" max="9239" width="11.42578125" style="372" customWidth="1"/>
    <col min="9240" max="9469" width="9.140625" style="372"/>
    <col min="9470" max="9470" width="9.42578125" style="372" customWidth="1"/>
    <col min="9471" max="9471" width="31.42578125" style="372" customWidth="1"/>
    <col min="9472" max="9477" width="0" style="372" hidden="1" customWidth="1"/>
    <col min="9478" max="9478" width="8.7109375" style="372" customWidth="1"/>
    <col min="9479" max="9479" width="8.140625" style="372" customWidth="1"/>
    <col min="9480" max="9480" width="14.42578125" style="372" customWidth="1"/>
    <col min="9481" max="9481" width="13.28515625" style="372" customWidth="1"/>
    <col min="9482" max="9482" width="9.7109375" style="372" customWidth="1"/>
    <col min="9483" max="9483" width="13.5703125" style="372" customWidth="1"/>
    <col min="9484" max="9484" width="10.5703125" style="372" customWidth="1"/>
    <col min="9485" max="9485" width="11.28515625" style="372" customWidth="1"/>
    <col min="9486" max="9486" width="8.7109375" style="372" customWidth="1"/>
    <col min="9487" max="9487" width="9" style="372" customWidth="1"/>
    <col min="9488" max="9488" width="6.7109375" style="372" customWidth="1"/>
    <col min="9489" max="9489" width="11.42578125" style="372" customWidth="1"/>
    <col min="9490" max="9490" width="12.28515625" style="372" customWidth="1"/>
    <col min="9491" max="9491" width="11.28515625" style="372" customWidth="1"/>
    <col min="9492" max="9492" width="12.42578125" style="372" customWidth="1"/>
    <col min="9493" max="9493" width="13" style="372" customWidth="1"/>
    <col min="9494" max="9494" width="9.5703125" style="372" customWidth="1"/>
    <col min="9495" max="9495" width="11.42578125" style="372" customWidth="1"/>
    <col min="9496" max="9725" width="9.140625" style="372"/>
    <col min="9726" max="9726" width="9.42578125" style="372" customWidth="1"/>
    <col min="9727" max="9727" width="31.42578125" style="372" customWidth="1"/>
    <col min="9728" max="9733" width="0" style="372" hidden="1" customWidth="1"/>
    <col min="9734" max="9734" width="8.7109375" style="372" customWidth="1"/>
    <col min="9735" max="9735" width="8.140625" style="372" customWidth="1"/>
    <col min="9736" max="9736" width="14.42578125" style="372" customWidth="1"/>
    <col min="9737" max="9737" width="13.28515625" style="372" customWidth="1"/>
    <col min="9738" max="9738" width="9.7109375" style="372" customWidth="1"/>
    <col min="9739" max="9739" width="13.5703125" style="372" customWidth="1"/>
    <col min="9740" max="9740" width="10.5703125" style="372" customWidth="1"/>
    <col min="9741" max="9741" width="11.28515625" style="372" customWidth="1"/>
    <col min="9742" max="9742" width="8.7109375" style="372" customWidth="1"/>
    <col min="9743" max="9743" width="9" style="372" customWidth="1"/>
    <col min="9744" max="9744" width="6.7109375" style="372" customWidth="1"/>
    <col min="9745" max="9745" width="11.42578125" style="372" customWidth="1"/>
    <col min="9746" max="9746" width="12.28515625" style="372" customWidth="1"/>
    <col min="9747" max="9747" width="11.28515625" style="372" customWidth="1"/>
    <col min="9748" max="9748" width="12.42578125" style="372" customWidth="1"/>
    <col min="9749" max="9749" width="13" style="372" customWidth="1"/>
    <col min="9750" max="9750" width="9.5703125" style="372" customWidth="1"/>
    <col min="9751" max="9751" width="11.42578125" style="372" customWidth="1"/>
    <col min="9752" max="9981" width="9.140625" style="372"/>
    <col min="9982" max="9982" width="9.42578125" style="372" customWidth="1"/>
    <col min="9983" max="9983" width="31.42578125" style="372" customWidth="1"/>
    <col min="9984" max="9989" width="0" style="372" hidden="1" customWidth="1"/>
    <col min="9990" max="9990" width="8.7109375" style="372" customWidth="1"/>
    <col min="9991" max="9991" width="8.140625" style="372" customWidth="1"/>
    <col min="9992" max="9992" width="14.42578125" style="372" customWidth="1"/>
    <col min="9993" max="9993" width="13.28515625" style="372" customWidth="1"/>
    <col min="9994" max="9994" width="9.7109375" style="372" customWidth="1"/>
    <col min="9995" max="9995" width="13.5703125" style="372" customWidth="1"/>
    <col min="9996" max="9996" width="10.5703125" style="372" customWidth="1"/>
    <col min="9997" max="9997" width="11.28515625" style="372" customWidth="1"/>
    <col min="9998" max="9998" width="8.7109375" style="372" customWidth="1"/>
    <col min="9999" max="9999" width="9" style="372" customWidth="1"/>
    <col min="10000" max="10000" width="6.7109375" style="372" customWidth="1"/>
    <col min="10001" max="10001" width="11.42578125" style="372" customWidth="1"/>
    <col min="10002" max="10002" width="12.28515625" style="372" customWidth="1"/>
    <col min="10003" max="10003" width="11.28515625" style="372" customWidth="1"/>
    <col min="10004" max="10004" width="12.42578125" style="372" customWidth="1"/>
    <col min="10005" max="10005" width="13" style="372" customWidth="1"/>
    <col min="10006" max="10006" width="9.5703125" style="372" customWidth="1"/>
    <col min="10007" max="10007" width="11.42578125" style="372" customWidth="1"/>
    <col min="10008" max="10237" width="9.140625" style="372"/>
    <col min="10238" max="10238" width="9.42578125" style="372" customWidth="1"/>
    <col min="10239" max="10239" width="31.42578125" style="372" customWidth="1"/>
    <col min="10240" max="10245" width="0" style="372" hidden="1" customWidth="1"/>
    <col min="10246" max="10246" width="8.7109375" style="372" customWidth="1"/>
    <col min="10247" max="10247" width="8.140625" style="372" customWidth="1"/>
    <col min="10248" max="10248" width="14.42578125" style="372" customWidth="1"/>
    <col min="10249" max="10249" width="13.28515625" style="372" customWidth="1"/>
    <col min="10250" max="10250" width="9.7109375" style="372" customWidth="1"/>
    <col min="10251" max="10251" width="13.5703125" style="372" customWidth="1"/>
    <col min="10252" max="10252" width="10.5703125" style="372" customWidth="1"/>
    <col min="10253" max="10253" width="11.28515625" style="372" customWidth="1"/>
    <col min="10254" max="10254" width="8.7109375" style="372" customWidth="1"/>
    <col min="10255" max="10255" width="9" style="372" customWidth="1"/>
    <col min="10256" max="10256" width="6.7109375" style="372" customWidth="1"/>
    <col min="10257" max="10257" width="11.42578125" style="372" customWidth="1"/>
    <col min="10258" max="10258" width="12.28515625" style="372" customWidth="1"/>
    <col min="10259" max="10259" width="11.28515625" style="372" customWidth="1"/>
    <col min="10260" max="10260" width="12.42578125" style="372" customWidth="1"/>
    <col min="10261" max="10261" width="13" style="372" customWidth="1"/>
    <col min="10262" max="10262" width="9.5703125" style="372" customWidth="1"/>
    <col min="10263" max="10263" width="11.42578125" style="372" customWidth="1"/>
    <col min="10264" max="10493" width="9.140625" style="372"/>
    <col min="10494" max="10494" width="9.42578125" style="372" customWidth="1"/>
    <col min="10495" max="10495" width="31.42578125" style="372" customWidth="1"/>
    <col min="10496" max="10501" width="0" style="372" hidden="1" customWidth="1"/>
    <col min="10502" max="10502" width="8.7109375" style="372" customWidth="1"/>
    <col min="10503" max="10503" width="8.140625" style="372" customWidth="1"/>
    <col min="10504" max="10504" width="14.42578125" style="372" customWidth="1"/>
    <col min="10505" max="10505" width="13.28515625" style="372" customWidth="1"/>
    <col min="10506" max="10506" width="9.7109375" style="372" customWidth="1"/>
    <col min="10507" max="10507" width="13.5703125" style="372" customWidth="1"/>
    <col min="10508" max="10508" width="10.5703125" style="372" customWidth="1"/>
    <col min="10509" max="10509" width="11.28515625" style="372" customWidth="1"/>
    <col min="10510" max="10510" width="8.7109375" style="372" customWidth="1"/>
    <col min="10511" max="10511" width="9" style="372" customWidth="1"/>
    <col min="10512" max="10512" width="6.7109375" style="372" customWidth="1"/>
    <col min="10513" max="10513" width="11.42578125" style="372" customWidth="1"/>
    <col min="10514" max="10514" width="12.28515625" style="372" customWidth="1"/>
    <col min="10515" max="10515" width="11.28515625" style="372" customWidth="1"/>
    <col min="10516" max="10516" width="12.42578125" style="372" customWidth="1"/>
    <col min="10517" max="10517" width="13" style="372" customWidth="1"/>
    <col min="10518" max="10518" width="9.5703125" style="372" customWidth="1"/>
    <col min="10519" max="10519" width="11.42578125" style="372" customWidth="1"/>
    <col min="10520" max="10749" width="9.140625" style="372"/>
    <col min="10750" max="10750" width="9.42578125" style="372" customWidth="1"/>
    <col min="10751" max="10751" width="31.42578125" style="372" customWidth="1"/>
    <col min="10752" max="10757" width="0" style="372" hidden="1" customWidth="1"/>
    <col min="10758" max="10758" width="8.7109375" style="372" customWidth="1"/>
    <col min="10759" max="10759" width="8.140625" style="372" customWidth="1"/>
    <col min="10760" max="10760" width="14.42578125" style="372" customWidth="1"/>
    <col min="10761" max="10761" width="13.28515625" style="372" customWidth="1"/>
    <col min="10762" max="10762" width="9.7109375" style="372" customWidth="1"/>
    <col min="10763" max="10763" width="13.5703125" style="372" customWidth="1"/>
    <col min="10764" max="10764" width="10.5703125" style="372" customWidth="1"/>
    <col min="10765" max="10765" width="11.28515625" style="372" customWidth="1"/>
    <col min="10766" max="10766" width="8.7109375" style="372" customWidth="1"/>
    <col min="10767" max="10767" width="9" style="372" customWidth="1"/>
    <col min="10768" max="10768" width="6.7109375" style="372" customWidth="1"/>
    <col min="10769" max="10769" width="11.42578125" style="372" customWidth="1"/>
    <col min="10770" max="10770" width="12.28515625" style="372" customWidth="1"/>
    <col min="10771" max="10771" width="11.28515625" style="372" customWidth="1"/>
    <col min="10772" max="10772" width="12.42578125" style="372" customWidth="1"/>
    <col min="10773" max="10773" width="13" style="372" customWidth="1"/>
    <col min="10774" max="10774" width="9.5703125" style="372" customWidth="1"/>
    <col min="10775" max="10775" width="11.42578125" style="372" customWidth="1"/>
    <col min="10776" max="11005" width="9.140625" style="372"/>
    <col min="11006" max="11006" width="9.42578125" style="372" customWidth="1"/>
    <col min="11007" max="11007" width="31.42578125" style="372" customWidth="1"/>
    <col min="11008" max="11013" width="0" style="372" hidden="1" customWidth="1"/>
    <col min="11014" max="11014" width="8.7109375" style="372" customWidth="1"/>
    <col min="11015" max="11015" width="8.140625" style="372" customWidth="1"/>
    <col min="11016" max="11016" width="14.42578125" style="372" customWidth="1"/>
    <col min="11017" max="11017" width="13.28515625" style="372" customWidth="1"/>
    <col min="11018" max="11018" width="9.7109375" style="372" customWidth="1"/>
    <col min="11019" max="11019" width="13.5703125" style="372" customWidth="1"/>
    <col min="11020" max="11020" width="10.5703125" style="372" customWidth="1"/>
    <col min="11021" max="11021" width="11.28515625" style="372" customWidth="1"/>
    <col min="11022" max="11022" width="8.7109375" style="372" customWidth="1"/>
    <col min="11023" max="11023" width="9" style="372" customWidth="1"/>
    <col min="11024" max="11024" width="6.7109375" style="372" customWidth="1"/>
    <col min="11025" max="11025" width="11.42578125" style="372" customWidth="1"/>
    <col min="11026" max="11026" width="12.28515625" style="372" customWidth="1"/>
    <col min="11027" max="11027" width="11.28515625" style="372" customWidth="1"/>
    <col min="11028" max="11028" width="12.42578125" style="372" customWidth="1"/>
    <col min="11029" max="11029" width="13" style="372" customWidth="1"/>
    <col min="11030" max="11030" width="9.5703125" style="372" customWidth="1"/>
    <col min="11031" max="11031" width="11.42578125" style="372" customWidth="1"/>
    <col min="11032" max="11261" width="9.140625" style="372"/>
    <col min="11262" max="11262" width="9.42578125" style="372" customWidth="1"/>
    <col min="11263" max="11263" width="31.42578125" style="372" customWidth="1"/>
    <col min="11264" max="11269" width="0" style="372" hidden="1" customWidth="1"/>
    <col min="11270" max="11270" width="8.7109375" style="372" customWidth="1"/>
    <col min="11271" max="11271" width="8.140625" style="372" customWidth="1"/>
    <col min="11272" max="11272" width="14.42578125" style="372" customWidth="1"/>
    <col min="11273" max="11273" width="13.28515625" style="372" customWidth="1"/>
    <col min="11274" max="11274" width="9.7109375" style="372" customWidth="1"/>
    <col min="11275" max="11275" width="13.5703125" style="372" customWidth="1"/>
    <col min="11276" max="11276" width="10.5703125" style="372" customWidth="1"/>
    <col min="11277" max="11277" width="11.28515625" style="372" customWidth="1"/>
    <col min="11278" max="11278" width="8.7109375" style="372" customWidth="1"/>
    <col min="11279" max="11279" width="9" style="372" customWidth="1"/>
    <col min="11280" max="11280" width="6.7109375" style="372" customWidth="1"/>
    <col min="11281" max="11281" width="11.42578125" style="372" customWidth="1"/>
    <col min="11282" max="11282" width="12.28515625" style="372" customWidth="1"/>
    <col min="11283" max="11283" width="11.28515625" style="372" customWidth="1"/>
    <col min="11284" max="11284" width="12.42578125" style="372" customWidth="1"/>
    <col min="11285" max="11285" width="13" style="372" customWidth="1"/>
    <col min="11286" max="11286" width="9.5703125" style="372" customWidth="1"/>
    <col min="11287" max="11287" width="11.42578125" style="372" customWidth="1"/>
    <col min="11288" max="11517" width="9.140625" style="372"/>
    <col min="11518" max="11518" width="9.42578125" style="372" customWidth="1"/>
    <col min="11519" max="11519" width="31.42578125" style="372" customWidth="1"/>
    <col min="11520" max="11525" width="0" style="372" hidden="1" customWidth="1"/>
    <col min="11526" max="11526" width="8.7109375" style="372" customWidth="1"/>
    <col min="11527" max="11527" width="8.140625" style="372" customWidth="1"/>
    <col min="11528" max="11528" width="14.42578125" style="372" customWidth="1"/>
    <col min="11529" max="11529" width="13.28515625" style="372" customWidth="1"/>
    <col min="11530" max="11530" width="9.7109375" style="372" customWidth="1"/>
    <col min="11531" max="11531" width="13.5703125" style="372" customWidth="1"/>
    <col min="11532" max="11532" width="10.5703125" style="372" customWidth="1"/>
    <col min="11533" max="11533" width="11.28515625" style="372" customWidth="1"/>
    <col min="11534" max="11534" width="8.7109375" style="372" customWidth="1"/>
    <col min="11535" max="11535" width="9" style="372" customWidth="1"/>
    <col min="11536" max="11536" width="6.7109375" style="372" customWidth="1"/>
    <col min="11537" max="11537" width="11.42578125" style="372" customWidth="1"/>
    <col min="11538" max="11538" width="12.28515625" style="372" customWidth="1"/>
    <col min="11539" max="11539" width="11.28515625" style="372" customWidth="1"/>
    <col min="11540" max="11540" width="12.42578125" style="372" customWidth="1"/>
    <col min="11541" max="11541" width="13" style="372" customWidth="1"/>
    <col min="11542" max="11542" width="9.5703125" style="372" customWidth="1"/>
    <col min="11543" max="11543" width="11.42578125" style="372" customWidth="1"/>
    <col min="11544" max="11773" width="9.140625" style="372"/>
    <col min="11774" max="11774" width="9.42578125" style="372" customWidth="1"/>
    <col min="11775" max="11775" width="31.42578125" style="372" customWidth="1"/>
    <col min="11776" max="11781" width="0" style="372" hidden="1" customWidth="1"/>
    <col min="11782" max="11782" width="8.7109375" style="372" customWidth="1"/>
    <col min="11783" max="11783" width="8.140625" style="372" customWidth="1"/>
    <col min="11784" max="11784" width="14.42578125" style="372" customWidth="1"/>
    <col min="11785" max="11785" width="13.28515625" style="372" customWidth="1"/>
    <col min="11786" max="11786" width="9.7109375" style="372" customWidth="1"/>
    <col min="11787" max="11787" width="13.5703125" style="372" customWidth="1"/>
    <col min="11788" max="11788" width="10.5703125" style="372" customWidth="1"/>
    <col min="11789" max="11789" width="11.28515625" style="372" customWidth="1"/>
    <col min="11790" max="11790" width="8.7109375" style="372" customWidth="1"/>
    <col min="11791" max="11791" width="9" style="372" customWidth="1"/>
    <col min="11792" max="11792" width="6.7109375" style="372" customWidth="1"/>
    <col min="11793" max="11793" width="11.42578125" style="372" customWidth="1"/>
    <col min="11794" max="11794" width="12.28515625" style="372" customWidth="1"/>
    <col min="11795" max="11795" width="11.28515625" style="372" customWidth="1"/>
    <col min="11796" max="11796" width="12.42578125" style="372" customWidth="1"/>
    <col min="11797" max="11797" width="13" style="372" customWidth="1"/>
    <col min="11798" max="11798" width="9.5703125" style="372" customWidth="1"/>
    <col min="11799" max="11799" width="11.42578125" style="372" customWidth="1"/>
    <col min="11800" max="12029" width="9.140625" style="372"/>
    <col min="12030" max="12030" width="9.42578125" style="372" customWidth="1"/>
    <col min="12031" max="12031" width="31.42578125" style="372" customWidth="1"/>
    <col min="12032" max="12037" width="0" style="372" hidden="1" customWidth="1"/>
    <col min="12038" max="12038" width="8.7109375" style="372" customWidth="1"/>
    <col min="12039" max="12039" width="8.140625" style="372" customWidth="1"/>
    <col min="12040" max="12040" width="14.42578125" style="372" customWidth="1"/>
    <col min="12041" max="12041" width="13.28515625" style="372" customWidth="1"/>
    <col min="12042" max="12042" width="9.7109375" style="372" customWidth="1"/>
    <col min="12043" max="12043" width="13.5703125" style="372" customWidth="1"/>
    <col min="12044" max="12044" width="10.5703125" style="372" customWidth="1"/>
    <col min="12045" max="12045" width="11.28515625" style="372" customWidth="1"/>
    <col min="12046" max="12046" width="8.7109375" style="372" customWidth="1"/>
    <col min="12047" max="12047" width="9" style="372" customWidth="1"/>
    <col min="12048" max="12048" width="6.7109375" style="372" customWidth="1"/>
    <col min="12049" max="12049" width="11.42578125" style="372" customWidth="1"/>
    <col min="12050" max="12050" width="12.28515625" style="372" customWidth="1"/>
    <col min="12051" max="12051" width="11.28515625" style="372" customWidth="1"/>
    <col min="12052" max="12052" width="12.42578125" style="372" customWidth="1"/>
    <col min="12053" max="12053" width="13" style="372" customWidth="1"/>
    <col min="12054" max="12054" width="9.5703125" style="372" customWidth="1"/>
    <col min="12055" max="12055" width="11.42578125" style="372" customWidth="1"/>
    <col min="12056" max="12285" width="9.140625" style="372"/>
    <col min="12286" max="12286" width="9.42578125" style="372" customWidth="1"/>
    <col min="12287" max="12287" width="31.42578125" style="372" customWidth="1"/>
    <col min="12288" max="12293" width="0" style="372" hidden="1" customWidth="1"/>
    <col min="12294" max="12294" width="8.7109375" style="372" customWidth="1"/>
    <col min="12295" max="12295" width="8.140625" style="372" customWidth="1"/>
    <col min="12296" max="12296" width="14.42578125" style="372" customWidth="1"/>
    <col min="12297" max="12297" width="13.28515625" style="372" customWidth="1"/>
    <col min="12298" max="12298" width="9.7109375" style="372" customWidth="1"/>
    <col min="12299" max="12299" width="13.5703125" style="372" customWidth="1"/>
    <col min="12300" max="12300" width="10.5703125" style="372" customWidth="1"/>
    <col min="12301" max="12301" width="11.28515625" style="372" customWidth="1"/>
    <col min="12302" max="12302" width="8.7109375" style="372" customWidth="1"/>
    <col min="12303" max="12303" width="9" style="372" customWidth="1"/>
    <col min="12304" max="12304" width="6.7109375" style="372" customWidth="1"/>
    <col min="12305" max="12305" width="11.42578125" style="372" customWidth="1"/>
    <col min="12306" max="12306" width="12.28515625" style="372" customWidth="1"/>
    <col min="12307" max="12307" width="11.28515625" style="372" customWidth="1"/>
    <col min="12308" max="12308" width="12.42578125" style="372" customWidth="1"/>
    <col min="12309" max="12309" width="13" style="372" customWidth="1"/>
    <col min="12310" max="12310" width="9.5703125" style="372" customWidth="1"/>
    <col min="12311" max="12311" width="11.42578125" style="372" customWidth="1"/>
    <col min="12312" max="12541" width="9.140625" style="372"/>
    <col min="12542" max="12542" width="9.42578125" style="372" customWidth="1"/>
    <col min="12543" max="12543" width="31.42578125" style="372" customWidth="1"/>
    <col min="12544" max="12549" width="0" style="372" hidden="1" customWidth="1"/>
    <col min="12550" max="12550" width="8.7109375" style="372" customWidth="1"/>
    <col min="12551" max="12551" width="8.140625" style="372" customWidth="1"/>
    <col min="12552" max="12552" width="14.42578125" style="372" customWidth="1"/>
    <col min="12553" max="12553" width="13.28515625" style="372" customWidth="1"/>
    <col min="12554" max="12554" width="9.7109375" style="372" customWidth="1"/>
    <col min="12555" max="12555" width="13.5703125" style="372" customWidth="1"/>
    <col min="12556" max="12556" width="10.5703125" style="372" customWidth="1"/>
    <col min="12557" max="12557" width="11.28515625" style="372" customWidth="1"/>
    <col min="12558" max="12558" width="8.7109375" style="372" customWidth="1"/>
    <col min="12559" max="12559" width="9" style="372" customWidth="1"/>
    <col min="12560" max="12560" width="6.7109375" style="372" customWidth="1"/>
    <col min="12561" max="12561" width="11.42578125" style="372" customWidth="1"/>
    <col min="12562" max="12562" width="12.28515625" style="372" customWidth="1"/>
    <col min="12563" max="12563" width="11.28515625" style="372" customWidth="1"/>
    <col min="12564" max="12564" width="12.42578125" style="372" customWidth="1"/>
    <col min="12565" max="12565" width="13" style="372" customWidth="1"/>
    <col min="12566" max="12566" width="9.5703125" style="372" customWidth="1"/>
    <col min="12567" max="12567" width="11.42578125" style="372" customWidth="1"/>
    <col min="12568" max="12797" width="9.140625" style="372"/>
    <col min="12798" max="12798" width="9.42578125" style="372" customWidth="1"/>
    <col min="12799" max="12799" width="31.42578125" style="372" customWidth="1"/>
    <col min="12800" max="12805" width="0" style="372" hidden="1" customWidth="1"/>
    <col min="12806" max="12806" width="8.7109375" style="372" customWidth="1"/>
    <col min="12807" max="12807" width="8.140625" style="372" customWidth="1"/>
    <col min="12808" max="12808" width="14.42578125" style="372" customWidth="1"/>
    <col min="12809" max="12809" width="13.28515625" style="372" customWidth="1"/>
    <col min="12810" max="12810" width="9.7109375" style="372" customWidth="1"/>
    <col min="12811" max="12811" width="13.5703125" style="372" customWidth="1"/>
    <col min="12812" max="12812" width="10.5703125" style="372" customWidth="1"/>
    <col min="12813" max="12813" width="11.28515625" style="372" customWidth="1"/>
    <col min="12814" max="12814" width="8.7109375" style="372" customWidth="1"/>
    <col min="12815" max="12815" width="9" style="372" customWidth="1"/>
    <col min="12816" max="12816" width="6.7109375" style="372" customWidth="1"/>
    <col min="12817" max="12817" width="11.42578125" style="372" customWidth="1"/>
    <col min="12818" max="12818" width="12.28515625" style="372" customWidth="1"/>
    <col min="12819" max="12819" width="11.28515625" style="372" customWidth="1"/>
    <col min="12820" max="12820" width="12.42578125" style="372" customWidth="1"/>
    <col min="12821" max="12821" width="13" style="372" customWidth="1"/>
    <col min="12822" max="12822" width="9.5703125" style="372" customWidth="1"/>
    <col min="12823" max="12823" width="11.42578125" style="372" customWidth="1"/>
    <col min="12824" max="13053" width="9.140625" style="372"/>
    <col min="13054" max="13054" width="9.42578125" style="372" customWidth="1"/>
    <col min="13055" max="13055" width="31.42578125" style="372" customWidth="1"/>
    <col min="13056" max="13061" width="0" style="372" hidden="1" customWidth="1"/>
    <col min="13062" max="13062" width="8.7109375" style="372" customWidth="1"/>
    <col min="13063" max="13063" width="8.140625" style="372" customWidth="1"/>
    <col min="13064" max="13064" width="14.42578125" style="372" customWidth="1"/>
    <col min="13065" max="13065" width="13.28515625" style="372" customWidth="1"/>
    <col min="13066" max="13066" width="9.7109375" style="372" customWidth="1"/>
    <col min="13067" max="13067" width="13.5703125" style="372" customWidth="1"/>
    <col min="13068" max="13068" width="10.5703125" style="372" customWidth="1"/>
    <col min="13069" max="13069" width="11.28515625" style="372" customWidth="1"/>
    <col min="13070" max="13070" width="8.7109375" style="372" customWidth="1"/>
    <col min="13071" max="13071" width="9" style="372" customWidth="1"/>
    <col min="13072" max="13072" width="6.7109375" style="372" customWidth="1"/>
    <col min="13073" max="13073" width="11.42578125" style="372" customWidth="1"/>
    <col min="13074" max="13074" width="12.28515625" style="372" customWidth="1"/>
    <col min="13075" max="13075" width="11.28515625" style="372" customWidth="1"/>
    <col min="13076" max="13076" width="12.42578125" style="372" customWidth="1"/>
    <col min="13077" max="13077" width="13" style="372" customWidth="1"/>
    <col min="13078" max="13078" width="9.5703125" style="372" customWidth="1"/>
    <col min="13079" max="13079" width="11.42578125" style="372" customWidth="1"/>
    <col min="13080" max="13309" width="9.140625" style="372"/>
    <col min="13310" max="13310" width="9.42578125" style="372" customWidth="1"/>
    <col min="13311" max="13311" width="31.42578125" style="372" customWidth="1"/>
    <col min="13312" max="13317" width="0" style="372" hidden="1" customWidth="1"/>
    <col min="13318" max="13318" width="8.7109375" style="372" customWidth="1"/>
    <col min="13319" max="13319" width="8.140625" style="372" customWidth="1"/>
    <col min="13320" max="13320" width="14.42578125" style="372" customWidth="1"/>
    <col min="13321" max="13321" width="13.28515625" style="372" customWidth="1"/>
    <col min="13322" max="13322" width="9.7109375" style="372" customWidth="1"/>
    <col min="13323" max="13323" width="13.5703125" style="372" customWidth="1"/>
    <col min="13324" max="13324" width="10.5703125" style="372" customWidth="1"/>
    <col min="13325" max="13325" width="11.28515625" style="372" customWidth="1"/>
    <col min="13326" max="13326" width="8.7109375" style="372" customWidth="1"/>
    <col min="13327" max="13327" width="9" style="372" customWidth="1"/>
    <col min="13328" max="13328" width="6.7109375" style="372" customWidth="1"/>
    <col min="13329" max="13329" width="11.42578125" style="372" customWidth="1"/>
    <col min="13330" max="13330" width="12.28515625" style="372" customWidth="1"/>
    <col min="13331" max="13331" width="11.28515625" style="372" customWidth="1"/>
    <col min="13332" max="13332" width="12.42578125" style="372" customWidth="1"/>
    <col min="13333" max="13333" width="13" style="372" customWidth="1"/>
    <col min="13334" max="13334" width="9.5703125" style="372" customWidth="1"/>
    <col min="13335" max="13335" width="11.42578125" style="372" customWidth="1"/>
    <col min="13336" max="13565" width="9.140625" style="372"/>
    <col min="13566" max="13566" width="9.42578125" style="372" customWidth="1"/>
    <col min="13567" max="13567" width="31.42578125" style="372" customWidth="1"/>
    <col min="13568" max="13573" width="0" style="372" hidden="1" customWidth="1"/>
    <col min="13574" max="13574" width="8.7109375" style="372" customWidth="1"/>
    <col min="13575" max="13575" width="8.140625" style="372" customWidth="1"/>
    <col min="13576" max="13576" width="14.42578125" style="372" customWidth="1"/>
    <col min="13577" max="13577" width="13.28515625" style="372" customWidth="1"/>
    <col min="13578" max="13578" width="9.7109375" style="372" customWidth="1"/>
    <col min="13579" max="13579" width="13.5703125" style="372" customWidth="1"/>
    <col min="13580" max="13580" width="10.5703125" style="372" customWidth="1"/>
    <col min="13581" max="13581" width="11.28515625" style="372" customWidth="1"/>
    <col min="13582" max="13582" width="8.7109375" style="372" customWidth="1"/>
    <col min="13583" max="13583" width="9" style="372" customWidth="1"/>
    <col min="13584" max="13584" width="6.7109375" style="372" customWidth="1"/>
    <col min="13585" max="13585" width="11.42578125" style="372" customWidth="1"/>
    <col min="13586" max="13586" width="12.28515625" style="372" customWidth="1"/>
    <col min="13587" max="13587" width="11.28515625" style="372" customWidth="1"/>
    <col min="13588" max="13588" width="12.42578125" style="372" customWidth="1"/>
    <col min="13589" max="13589" width="13" style="372" customWidth="1"/>
    <col min="13590" max="13590" width="9.5703125" style="372" customWidth="1"/>
    <col min="13591" max="13591" width="11.42578125" style="372" customWidth="1"/>
    <col min="13592" max="13821" width="9.140625" style="372"/>
    <col min="13822" max="13822" width="9.42578125" style="372" customWidth="1"/>
    <col min="13823" max="13823" width="31.42578125" style="372" customWidth="1"/>
    <col min="13824" max="13829" width="0" style="372" hidden="1" customWidth="1"/>
    <col min="13830" max="13830" width="8.7109375" style="372" customWidth="1"/>
    <col min="13831" max="13831" width="8.140625" style="372" customWidth="1"/>
    <col min="13832" max="13832" width="14.42578125" style="372" customWidth="1"/>
    <col min="13833" max="13833" width="13.28515625" style="372" customWidth="1"/>
    <col min="13834" max="13834" width="9.7109375" style="372" customWidth="1"/>
    <col min="13835" max="13835" width="13.5703125" style="372" customWidth="1"/>
    <col min="13836" max="13836" width="10.5703125" style="372" customWidth="1"/>
    <col min="13837" max="13837" width="11.28515625" style="372" customWidth="1"/>
    <col min="13838" max="13838" width="8.7109375" style="372" customWidth="1"/>
    <col min="13839" max="13839" width="9" style="372" customWidth="1"/>
    <col min="13840" max="13840" width="6.7109375" style="372" customWidth="1"/>
    <col min="13841" max="13841" width="11.42578125" style="372" customWidth="1"/>
    <col min="13842" max="13842" width="12.28515625" style="372" customWidth="1"/>
    <col min="13843" max="13843" width="11.28515625" style="372" customWidth="1"/>
    <col min="13844" max="13844" width="12.42578125" style="372" customWidth="1"/>
    <col min="13845" max="13845" width="13" style="372" customWidth="1"/>
    <col min="13846" max="13846" width="9.5703125" style="372" customWidth="1"/>
    <col min="13847" max="13847" width="11.42578125" style="372" customWidth="1"/>
    <col min="13848" max="14077" width="9.140625" style="372"/>
    <col min="14078" max="14078" width="9.42578125" style="372" customWidth="1"/>
    <col min="14079" max="14079" width="31.42578125" style="372" customWidth="1"/>
    <col min="14080" max="14085" width="0" style="372" hidden="1" customWidth="1"/>
    <col min="14086" max="14086" width="8.7109375" style="372" customWidth="1"/>
    <col min="14087" max="14087" width="8.140625" style="372" customWidth="1"/>
    <col min="14088" max="14088" width="14.42578125" style="372" customWidth="1"/>
    <col min="14089" max="14089" width="13.28515625" style="372" customWidth="1"/>
    <col min="14090" max="14090" width="9.7109375" style="372" customWidth="1"/>
    <col min="14091" max="14091" width="13.5703125" style="372" customWidth="1"/>
    <col min="14092" max="14092" width="10.5703125" style="372" customWidth="1"/>
    <col min="14093" max="14093" width="11.28515625" style="372" customWidth="1"/>
    <col min="14094" max="14094" width="8.7109375" style="372" customWidth="1"/>
    <col min="14095" max="14095" width="9" style="372" customWidth="1"/>
    <col min="14096" max="14096" width="6.7109375" style="372" customWidth="1"/>
    <col min="14097" max="14097" width="11.42578125" style="372" customWidth="1"/>
    <col min="14098" max="14098" width="12.28515625" style="372" customWidth="1"/>
    <col min="14099" max="14099" width="11.28515625" style="372" customWidth="1"/>
    <col min="14100" max="14100" width="12.42578125" style="372" customWidth="1"/>
    <col min="14101" max="14101" width="13" style="372" customWidth="1"/>
    <col min="14102" max="14102" width="9.5703125" style="372" customWidth="1"/>
    <col min="14103" max="14103" width="11.42578125" style="372" customWidth="1"/>
    <col min="14104" max="14333" width="9.140625" style="372"/>
    <col min="14334" max="14334" width="9.42578125" style="372" customWidth="1"/>
    <col min="14335" max="14335" width="31.42578125" style="372" customWidth="1"/>
    <col min="14336" max="14341" width="0" style="372" hidden="1" customWidth="1"/>
    <col min="14342" max="14342" width="8.7109375" style="372" customWidth="1"/>
    <col min="14343" max="14343" width="8.140625" style="372" customWidth="1"/>
    <col min="14344" max="14344" width="14.42578125" style="372" customWidth="1"/>
    <col min="14345" max="14345" width="13.28515625" style="372" customWidth="1"/>
    <col min="14346" max="14346" width="9.7109375" style="372" customWidth="1"/>
    <col min="14347" max="14347" width="13.5703125" style="372" customWidth="1"/>
    <col min="14348" max="14348" width="10.5703125" style="372" customWidth="1"/>
    <col min="14349" max="14349" width="11.28515625" style="372" customWidth="1"/>
    <col min="14350" max="14350" width="8.7109375" style="372" customWidth="1"/>
    <col min="14351" max="14351" width="9" style="372" customWidth="1"/>
    <col min="14352" max="14352" width="6.7109375" style="372" customWidth="1"/>
    <col min="14353" max="14353" width="11.42578125" style="372" customWidth="1"/>
    <col min="14354" max="14354" width="12.28515625" style="372" customWidth="1"/>
    <col min="14355" max="14355" width="11.28515625" style="372" customWidth="1"/>
    <col min="14356" max="14356" width="12.42578125" style="372" customWidth="1"/>
    <col min="14357" max="14357" width="13" style="372" customWidth="1"/>
    <col min="14358" max="14358" width="9.5703125" style="372" customWidth="1"/>
    <col min="14359" max="14359" width="11.42578125" style="372" customWidth="1"/>
    <col min="14360" max="14589" width="9.140625" style="372"/>
    <col min="14590" max="14590" width="9.42578125" style="372" customWidth="1"/>
    <col min="14591" max="14591" width="31.42578125" style="372" customWidth="1"/>
    <col min="14592" max="14597" width="0" style="372" hidden="1" customWidth="1"/>
    <col min="14598" max="14598" width="8.7109375" style="372" customWidth="1"/>
    <col min="14599" max="14599" width="8.140625" style="372" customWidth="1"/>
    <col min="14600" max="14600" width="14.42578125" style="372" customWidth="1"/>
    <col min="14601" max="14601" width="13.28515625" style="372" customWidth="1"/>
    <col min="14602" max="14602" width="9.7109375" style="372" customWidth="1"/>
    <col min="14603" max="14603" width="13.5703125" style="372" customWidth="1"/>
    <col min="14604" max="14604" width="10.5703125" style="372" customWidth="1"/>
    <col min="14605" max="14605" width="11.28515625" style="372" customWidth="1"/>
    <col min="14606" max="14606" width="8.7109375" style="372" customWidth="1"/>
    <col min="14607" max="14607" width="9" style="372" customWidth="1"/>
    <col min="14608" max="14608" width="6.7109375" style="372" customWidth="1"/>
    <col min="14609" max="14609" width="11.42578125" style="372" customWidth="1"/>
    <col min="14610" max="14610" width="12.28515625" style="372" customWidth="1"/>
    <col min="14611" max="14611" width="11.28515625" style="372" customWidth="1"/>
    <col min="14612" max="14612" width="12.42578125" style="372" customWidth="1"/>
    <col min="14613" max="14613" width="13" style="372" customWidth="1"/>
    <col min="14614" max="14614" width="9.5703125" style="372" customWidth="1"/>
    <col min="14615" max="14615" width="11.42578125" style="372" customWidth="1"/>
    <col min="14616" max="14845" width="9.140625" style="372"/>
    <col min="14846" max="14846" width="9.42578125" style="372" customWidth="1"/>
    <col min="14847" max="14847" width="31.42578125" style="372" customWidth="1"/>
    <col min="14848" max="14853" width="0" style="372" hidden="1" customWidth="1"/>
    <col min="14854" max="14854" width="8.7109375" style="372" customWidth="1"/>
    <col min="14855" max="14855" width="8.140625" style="372" customWidth="1"/>
    <col min="14856" max="14856" width="14.42578125" style="372" customWidth="1"/>
    <col min="14857" max="14857" width="13.28515625" style="372" customWidth="1"/>
    <col min="14858" max="14858" width="9.7109375" style="372" customWidth="1"/>
    <col min="14859" max="14859" width="13.5703125" style="372" customWidth="1"/>
    <col min="14860" max="14860" width="10.5703125" style="372" customWidth="1"/>
    <col min="14861" max="14861" width="11.28515625" style="372" customWidth="1"/>
    <col min="14862" max="14862" width="8.7109375" style="372" customWidth="1"/>
    <col min="14863" max="14863" width="9" style="372" customWidth="1"/>
    <col min="14864" max="14864" width="6.7109375" style="372" customWidth="1"/>
    <col min="14865" max="14865" width="11.42578125" style="372" customWidth="1"/>
    <col min="14866" max="14866" width="12.28515625" style="372" customWidth="1"/>
    <col min="14867" max="14867" width="11.28515625" style="372" customWidth="1"/>
    <col min="14868" max="14868" width="12.42578125" style="372" customWidth="1"/>
    <col min="14869" max="14869" width="13" style="372" customWidth="1"/>
    <col min="14870" max="14870" width="9.5703125" style="372" customWidth="1"/>
    <col min="14871" max="14871" width="11.42578125" style="372" customWidth="1"/>
    <col min="14872" max="15101" width="9.140625" style="372"/>
    <col min="15102" max="15102" width="9.42578125" style="372" customWidth="1"/>
    <col min="15103" max="15103" width="31.42578125" style="372" customWidth="1"/>
    <col min="15104" max="15109" width="0" style="372" hidden="1" customWidth="1"/>
    <col min="15110" max="15110" width="8.7109375" style="372" customWidth="1"/>
    <col min="15111" max="15111" width="8.140625" style="372" customWidth="1"/>
    <col min="15112" max="15112" width="14.42578125" style="372" customWidth="1"/>
    <col min="15113" max="15113" width="13.28515625" style="372" customWidth="1"/>
    <col min="15114" max="15114" width="9.7109375" style="372" customWidth="1"/>
    <col min="15115" max="15115" width="13.5703125" style="372" customWidth="1"/>
    <col min="15116" max="15116" width="10.5703125" style="372" customWidth="1"/>
    <col min="15117" max="15117" width="11.28515625" style="372" customWidth="1"/>
    <col min="15118" max="15118" width="8.7109375" style="372" customWidth="1"/>
    <col min="15119" max="15119" width="9" style="372" customWidth="1"/>
    <col min="15120" max="15120" width="6.7109375" style="372" customWidth="1"/>
    <col min="15121" max="15121" width="11.42578125" style="372" customWidth="1"/>
    <col min="15122" max="15122" width="12.28515625" style="372" customWidth="1"/>
    <col min="15123" max="15123" width="11.28515625" style="372" customWidth="1"/>
    <col min="15124" max="15124" width="12.42578125" style="372" customWidth="1"/>
    <col min="15125" max="15125" width="13" style="372" customWidth="1"/>
    <col min="15126" max="15126" width="9.5703125" style="372" customWidth="1"/>
    <col min="15127" max="15127" width="11.42578125" style="372" customWidth="1"/>
    <col min="15128" max="15357" width="9.140625" style="372"/>
    <col min="15358" max="15358" width="9.42578125" style="372" customWidth="1"/>
    <col min="15359" max="15359" width="31.42578125" style="372" customWidth="1"/>
    <col min="15360" max="15365" width="0" style="372" hidden="1" customWidth="1"/>
    <col min="15366" max="15366" width="8.7109375" style="372" customWidth="1"/>
    <col min="15367" max="15367" width="8.140625" style="372" customWidth="1"/>
    <col min="15368" max="15368" width="14.42578125" style="372" customWidth="1"/>
    <col min="15369" max="15369" width="13.28515625" style="372" customWidth="1"/>
    <col min="15370" max="15370" width="9.7109375" style="372" customWidth="1"/>
    <col min="15371" max="15371" width="13.5703125" style="372" customWidth="1"/>
    <col min="15372" max="15372" width="10.5703125" style="372" customWidth="1"/>
    <col min="15373" max="15373" width="11.28515625" style="372" customWidth="1"/>
    <col min="15374" max="15374" width="8.7109375" style="372" customWidth="1"/>
    <col min="15375" max="15375" width="9" style="372" customWidth="1"/>
    <col min="15376" max="15376" width="6.7109375" style="372" customWidth="1"/>
    <col min="15377" max="15377" width="11.42578125" style="372" customWidth="1"/>
    <col min="15378" max="15378" width="12.28515625" style="372" customWidth="1"/>
    <col min="15379" max="15379" width="11.28515625" style="372" customWidth="1"/>
    <col min="15380" max="15380" width="12.42578125" style="372" customWidth="1"/>
    <col min="15381" max="15381" width="13" style="372" customWidth="1"/>
    <col min="15382" max="15382" width="9.5703125" style="372" customWidth="1"/>
    <col min="15383" max="15383" width="11.42578125" style="372" customWidth="1"/>
    <col min="15384" max="15613" width="9.140625" style="372"/>
    <col min="15614" max="15614" width="9.42578125" style="372" customWidth="1"/>
    <col min="15615" max="15615" width="31.42578125" style="372" customWidth="1"/>
    <col min="15616" max="15621" width="0" style="372" hidden="1" customWidth="1"/>
    <col min="15622" max="15622" width="8.7109375" style="372" customWidth="1"/>
    <col min="15623" max="15623" width="8.140625" style="372" customWidth="1"/>
    <col min="15624" max="15624" width="14.42578125" style="372" customWidth="1"/>
    <col min="15625" max="15625" width="13.28515625" style="372" customWidth="1"/>
    <col min="15626" max="15626" width="9.7109375" style="372" customWidth="1"/>
    <col min="15627" max="15627" width="13.5703125" style="372" customWidth="1"/>
    <col min="15628" max="15628" width="10.5703125" style="372" customWidth="1"/>
    <col min="15629" max="15629" width="11.28515625" style="372" customWidth="1"/>
    <col min="15630" max="15630" width="8.7109375" style="372" customWidth="1"/>
    <col min="15631" max="15631" width="9" style="372" customWidth="1"/>
    <col min="15632" max="15632" width="6.7109375" style="372" customWidth="1"/>
    <col min="15633" max="15633" width="11.42578125" style="372" customWidth="1"/>
    <col min="15634" max="15634" width="12.28515625" style="372" customWidth="1"/>
    <col min="15635" max="15635" width="11.28515625" style="372" customWidth="1"/>
    <col min="15636" max="15636" width="12.42578125" style="372" customWidth="1"/>
    <col min="15637" max="15637" width="13" style="372" customWidth="1"/>
    <col min="15638" max="15638" width="9.5703125" style="372" customWidth="1"/>
    <col min="15639" max="15639" width="11.42578125" style="372" customWidth="1"/>
    <col min="15640" max="15869" width="9.140625" style="372"/>
    <col min="15870" max="15870" width="9.42578125" style="372" customWidth="1"/>
    <col min="15871" max="15871" width="31.42578125" style="372" customWidth="1"/>
    <col min="15872" max="15877" width="0" style="372" hidden="1" customWidth="1"/>
    <col min="15878" max="15878" width="8.7109375" style="372" customWidth="1"/>
    <col min="15879" max="15879" width="8.140625" style="372" customWidth="1"/>
    <col min="15880" max="15880" width="14.42578125" style="372" customWidth="1"/>
    <col min="15881" max="15881" width="13.28515625" style="372" customWidth="1"/>
    <col min="15882" max="15882" width="9.7109375" style="372" customWidth="1"/>
    <col min="15883" max="15883" width="13.5703125" style="372" customWidth="1"/>
    <col min="15884" max="15884" width="10.5703125" style="372" customWidth="1"/>
    <col min="15885" max="15885" width="11.28515625" style="372" customWidth="1"/>
    <col min="15886" max="15886" width="8.7109375" style="372" customWidth="1"/>
    <col min="15887" max="15887" width="9" style="372" customWidth="1"/>
    <col min="15888" max="15888" width="6.7109375" style="372" customWidth="1"/>
    <col min="15889" max="15889" width="11.42578125" style="372" customWidth="1"/>
    <col min="15890" max="15890" width="12.28515625" style="372" customWidth="1"/>
    <col min="15891" max="15891" width="11.28515625" style="372" customWidth="1"/>
    <col min="15892" max="15892" width="12.42578125" style="372" customWidth="1"/>
    <col min="15893" max="15893" width="13" style="372" customWidth="1"/>
    <col min="15894" max="15894" width="9.5703125" style="372" customWidth="1"/>
    <col min="15895" max="15895" width="11.42578125" style="372" customWidth="1"/>
    <col min="15896" max="16125" width="9.140625" style="372"/>
    <col min="16126" max="16126" width="9.42578125" style="372" customWidth="1"/>
    <col min="16127" max="16127" width="31.42578125" style="372" customWidth="1"/>
    <col min="16128" max="16133" width="0" style="372" hidden="1" customWidth="1"/>
    <col min="16134" max="16134" width="8.7109375" style="372" customWidth="1"/>
    <col min="16135" max="16135" width="8.140625" style="372" customWidth="1"/>
    <col min="16136" max="16136" width="14.42578125" style="372" customWidth="1"/>
    <col min="16137" max="16137" width="13.28515625" style="372" customWidth="1"/>
    <col min="16138" max="16138" width="9.7109375" style="372" customWidth="1"/>
    <col min="16139" max="16139" width="13.5703125" style="372" customWidth="1"/>
    <col min="16140" max="16140" width="10.5703125" style="372" customWidth="1"/>
    <col min="16141" max="16141" width="11.28515625" style="372" customWidth="1"/>
    <col min="16142" max="16142" width="8.7109375" style="372" customWidth="1"/>
    <col min="16143" max="16143" width="9" style="372" customWidth="1"/>
    <col min="16144" max="16144" width="6.7109375" style="372" customWidth="1"/>
    <col min="16145" max="16145" width="11.42578125" style="372" customWidth="1"/>
    <col min="16146" max="16146" width="12.28515625" style="372" customWidth="1"/>
    <col min="16147" max="16147" width="11.28515625" style="372" customWidth="1"/>
    <col min="16148" max="16148" width="12.42578125" style="372" customWidth="1"/>
    <col min="16149" max="16149" width="13" style="372" customWidth="1"/>
    <col min="16150" max="16150" width="9.5703125" style="372" customWidth="1"/>
    <col min="16151" max="16151" width="11.42578125" style="372" customWidth="1"/>
    <col min="16152" max="16384" width="9.140625" style="372"/>
  </cols>
  <sheetData>
    <row r="1" spans="1:24" s="344" customFormat="1" ht="60" customHeight="1" thickBot="1" x14ac:dyDescent="0.25">
      <c r="A1" s="773" t="s">
        <v>1632</v>
      </c>
      <c r="B1" s="773"/>
      <c r="C1" s="773"/>
      <c r="D1" s="773"/>
      <c r="E1" s="773"/>
      <c r="F1" s="773"/>
      <c r="G1" s="773"/>
      <c r="H1" s="773"/>
      <c r="I1" s="773"/>
      <c r="J1" s="773"/>
      <c r="K1" s="773"/>
      <c r="L1" s="773"/>
      <c r="M1" s="773"/>
      <c r="N1" s="773"/>
      <c r="O1" s="773"/>
      <c r="P1" s="773"/>
      <c r="Q1" s="773"/>
      <c r="R1" s="773"/>
      <c r="S1" s="773"/>
      <c r="T1" s="773"/>
      <c r="U1" s="773"/>
      <c r="V1" s="773"/>
      <c r="W1" s="774"/>
    </row>
    <row r="2" spans="1:24" s="344" customFormat="1" ht="17.25" customHeight="1" thickBot="1" x14ac:dyDescent="0.25">
      <c r="A2" s="775" t="s">
        <v>392</v>
      </c>
      <c r="B2" s="777" t="s">
        <v>1300</v>
      </c>
      <c r="C2" s="777" t="s">
        <v>0</v>
      </c>
      <c r="D2" s="777" t="s">
        <v>507</v>
      </c>
      <c r="E2" s="777" t="s">
        <v>1301</v>
      </c>
      <c r="F2" s="777" t="s">
        <v>1532</v>
      </c>
      <c r="G2" s="779" t="s">
        <v>1302</v>
      </c>
      <c r="H2" s="781" t="s">
        <v>1612</v>
      </c>
      <c r="I2" s="782"/>
      <c r="J2" s="782"/>
      <c r="K2" s="782"/>
      <c r="L2" s="783"/>
      <c r="M2" s="784" t="s">
        <v>1613</v>
      </c>
      <c r="N2" s="785"/>
      <c r="O2" s="785"/>
      <c r="P2" s="785"/>
      <c r="Q2" s="785"/>
      <c r="R2" s="786"/>
      <c r="S2" s="770" t="s">
        <v>1614</v>
      </c>
      <c r="T2" s="771"/>
      <c r="U2" s="771"/>
      <c r="V2" s="771"/>
      <c r="W2" s="772"/>
      <c r="X2" s="345" t="s">
        <v>897</v>
      </c>
    </row>
    <row r="3" spans="1:24" s="344" customFormat="1" ht="17.25" customHeight="1" x14ac:dyDescent="0.2">
      <c r="A3" s="776"/>
      <c r="B3" s="778"/>
      <c r="C3" s="778"/>
      <c r="D3" s="778"/>
      <c r="E3" s="778"/>
      <c r="F3" s="778"/>
      <c r="G3" s="780"/>
      <c r="H3" s="699" t="s">
        <v>1303</v>
      </c>
      <c r="I3" s="700" t="s">
        <v>1304</v>
      </c>
      <c r="J3" s="700" t="s">
        <v>1305</v>
      </c>
      <c r="K3" s="700" t="s">
        <v>1306</v>
      </c>
      <c r="L3" s="701" t="s">
        <v>1307</v>
      </c>
      <c r="M3" s="671" t="s">
        <v>1303</v>
      </c>
      <c r="N3" s="672" t="s">
        <v>1304</v>
      </c>
      <c r="O3" s="672" t="s">
        <v>1305</v>
      </c>
      <c r="P3" s="672" t="s">
        <v>1306</v>
      </c>
      <c r="Q3" s="672" t="s">
        <v>1307</v>
      </c>
      <c r="R3" s="673" t="s">
        <v>1308</v>
      </c>
      <c r="S3" s="674" t="s">
        <v>1303</v>
      </c>
      <c r="T3" s="675" t="s">
        <v>1304</v>
      </c>
      <c r="U3" s="675" t="s">
        <v>1305</v>
      </c>
      <c r="V3" s="675" t="s">
        <v>1306</v>
      </c>
      <c r="W3" s="676" t="s">
        <v>1307</v>
      </c>
      <c r="X3" s="504"/>
    </row>
    <row r="4" spans="1:24" s="344" customFormat="1" ht="17.25" customHeight="1" x14ac:dyDescent="0.2">
      <c r="A4" s="776"/>
      <c r="B4" s="778"/>
      <c r="C4" s="778"/>
      <c r="D4" s="778"/>
      <c r="E4" s="778"/>
      <c r="F4" s="778"/>
      <c r="G4" s="780"/>
      <c r="H4" s="677" t="s">
        <v>1309</v>
      </c>
      <c r="I4" s="678" t="s">
        <v>1309</v>
      </c>
      <c r="J4" s="678" t="s">
        <v>1309</v>
      </c>
      <c r="K4" s="678" t="s">
        <v>1309</v>
      </c>
      <c r="L4" s="679" t="s">
        <v>1309</v>
      </c>
      <c r="M4" s="677" t="s">
        <v>1309</v>
      </c>
      <c r="N4" s="678" t="s">
        <v>1309</v>
      </c>
      <c r="O4" s="678" t="s">
        <v>1309</v>
      </c>
      <c r="P4" s="678" t="s">
        <v>1309</v>
      </c>
      <c r="Q4" s="678" t="s">
        <v>1309</v>
      </c>
      <c r="R4" s="679" t="s">
        <v>1310</v>
      </c>
      <c r="S4" s="680" t="s">
        <v>1309</v>
      </c>
      <c r="T4" s="681" t="s">
        <v>1309</v>
      </c>
      <c r="U4" s="681" t="s">
        <v>1309</v>
      </c>
      <c r="V4" s="681" t="s">
        <v>1309</v>
      </c>
      <c r="W4" s="682" t="s">
        <v>1309</v>
      </c>
      <c r="X4" s="504"/>
    </row>
    <row r="5" spans="1:24" s="344" customFormat="1" ht="11.25" customHeight="1" x14ac:dyDescent="0.2">
      <c r="A5" s="347" t="s">
        <v>378</v>
      </c>
      <c r="B5" s="348" t="s">
        <v>1311</v>
      </c>
      <c r="C5" s="348" t="s">
        <v>5</v>
      </c>
      <c r="D5" s="348" t="s">
        <v>6</v>
      </c>
      <c r="E5" s="348" t="s">
        <v>4</v>
      </c>
      <c r="F5" s="349" t="s">
        <v>464</v>
      </c>
      <c r="G5" s="364"/>
      <c r="H5" s="683"/>
      <c r="I5" s="684">
        <v>0</v>
      </c>
      <c r="J5" s="684">
        <v>0</v>
      </c>
      <c r="K5" s="684">
        <v>0</v>
      </c>
      <c r="L5" s="685">
        <v>0</v>
      </c>
      <c r="M5" s="683"/>
      <c r="N5" s="357"/>
      <c r="O5" s="357"/>
      <c r="P5" s="357"/>
      <c r="Q5" s="357"/>
      <c r="R5" s="686"/>
      <c r="S5" s="687">
        <f>H5-M5</f>
        <v>0</v>
      </c>
      <c r="T5" s="687">
        <f>I5-N5</f>
        <v>0</v>
      </c>
      <c r="U5" s="687">
        <f t="shared" ref="U5:W20" si="0">J5-O5</f>
        <v>0</v>
      </c>
      <c r="V5" s="687">
        <f t="shared" si="0"/>
        <v>0</v>
      </c>
      <c r="W5" s="687">
        <f t="shared" si="0"/>
        <v>0</v>
      </c>
      <c r="X5" s="346"/>
    </row>
    <row r="6" spans="1:24" s="344" customFormat="1" ht="11.25" customHeight="1" x14ac:dyDescent="0.2">
      <c r="A6" s="347" t="s">
        <v>378</v>
      </c>
      <c r="B6" s="348" t="s">
        <v>424</v>
      </c>
      <c r="C6" s="348" t="s">
        <v>5</v>
      </c>
      <c r="D6" s="348" t="s">
        <v>465</v>
      </c>
      <c r="E6" s="348" t="s">
        <v>375</v>
      </c>
      <c r="F6" s="349" t="s">
        <v>464</v>
      </c>
      <c r="G6" s="500"/>
      <c r="H6" s="688">
        <v>0</v>
      </c>
      <c r="I6" s="684">
        <v>0</v>
      </c>
      <c r="J6" s="684"/>
      <c r="K6" s="709"/>
      <c r="L6" s="685">
        <v>0</v>
      </c>
      <c r="M6" s="683"/>
      <c r="N6" s="357"/>
      <c r="O6" s="357"/>
      <c r="P6" s="357"/>
      <c r="Q6" s="357"/>
      <c r="R6" s="686"/>
      <c r="S6" s="687">
        <f t="shared" ref="S6:T69" si="1">H6-M6</f>
        <v>0</v>
      </c>
      <c r="T6" s="687">
        <f t="shared" si="1"/>
        <v>0</v>
      </c>
      <c r="U6" s="687">
        <f t="shared" si="0"/>
        <v>0</v>
      </c>
      <c r="V6" s="687">
        <f t="shared" si="0"/>
        <v>0</v>
      </c>
      <c r="W6" s="687">
        <f t="shared" si="0"/>
        <v>0</v>
      </c>
      <c r="X6" s="346"/>
    </row>
    <row r="7" spans="1:24" s="344" customFormat="1" ht="11.25" customHeight="1" x14ac:dyDescent="0.2">
      <c r="A7" s="347" t="s">
        <v>378</v>
      </c>
      <c r="B7" s="348" t="s">
        <v>424</v>
      </c>
      <c r="C7" s="348" t="s">
        <v>5</v>
      </c>
      <c r="D7" s="348" t="s">
        <v>14</v>
      </c>
      <c r="E7" s="348" t="s">
        <v>13</v>
      </c>
      <c r="F7" s="349" t="s">
        <v>464</v>
      </c>
      <c r="G7" s="500" t="s">
        <v>1275</v>
      </c>
      <c r="H7" s="688"/>
      <c r="I7" s="684"/>
      <c r="J7" s="684"/>
      <c r="K7" s="684">
        <v>10</v>
      </c>
      <c r="L7" s="685">
        <v>0</v>
      </c>
      <c r="M7" s="683"/>
      <c r="N7" s="357"/>
      <c r="O7" s="357"/>
      <c r="P7" s="357"/>
      <c r="Q7" s="357"/>
      <c r="R7" s="686"/>
      <c r="S7" s="687">
        <f t="shared" si="1"/>
        <v>0</v>
      </c>
      <c r="T7" s="687">
        <f t="shared" si="1"/>
        <v>0</v>
      </c>
      <c r="U7" s="687">
        <f t="shared" si="0"/>
        <v>0</v>
      </c>
      <c r="V7" s="687">
        <f t="shared" si="0"/>
        <v>10</v>
      </c>
      <c r="W7" s="687">
        <f t="shared" si="0"/>
        <v>0</v>
      </c>
      <c r="X7" s="346" t="s">
        <v>1313</v>
      </c>
    </row>
    <row r="8" spans="1:24" s="344" customFormat="1" ht="11.25" customHeight="1" x14ac:dyDescent="0.2">
      <c r="A8" s="347" t="s">
        <v>378</v>
      </c>
      <c r="B8" s="348" t="s">
        <v>462</v>
      </c>
      <c r="C8" s="348" t="s">
        <v>5</v>
      </c>
      <c r="D8" s="358" t="s">
        <v>1314</v>
      </c>
      <c r="E8" s="358" t="s">
        <v>17</v>
      </c>
      <c r="F8" s="349" t="s">
        <v>464</v>
      </c>
      <c r="G8" s="365"/>
      <c r="H8" s="683">
        <v>5</v>
      </c>
      <c r="I8" s="357">
        <v>5</v>
      </c>
      <c r="J8" s="684">
        <v>30</v>
      </c>
      <c r="K8" s="684">
        <v>56</v>
      </c>
      <c r="L8" s="685"/>
      <c r="M8" s="683">
        <v>5</v>
      </c>
      <c r="N8" s="357">
        <v>5</v>
      </c>
      <c r="O8" s="357">
        <v>5</v>
      </c>
      <c r="P8" s="357">
        <v>56</v>
      </c>
      <c r="Q8" s="357">
        <v>0</v>
      </c>
      <c r="R8" s="686" t="s">
        <v>1642</v>
      </c>
      <c r="S8" s="687">
        <f>H8-M8</f>
        <v>0</v>
      </c>
      <c r="T8" s="687">
        <f t="shared" si="1"/>
        <v>0</v>
      </c>
      <c r="U8" s="687">
        <f t="shared" si="0"/>
        <v>25</v>
      </c>
      <c r="V8" s="687">
        <f t="shared" si="0"/>
        <v>0</v>
      </c>
      <c r="W8" s="687">
        <f t="shared" si="0"/>
        <v>0</v>
      </c>
      <c r="X8" s="346" t="s">
        <v>1609</v>
      </c>
    </row>
    <row r="9" spans="1:24" s="344" customFormat="1" ht="11.25" customHeight="1" x14ac:dyDescent="0.2">
      <c r="A9" s="347" t="s">
        <v>378</v>
      </c>
      <c r="B9" s="348" t="s">
        <v>462</v>
      </c>
      <c r="C9" s="348" t="s">
        <v>5</v>
      </c>
      <c r="D9" s="348" t="s">
        <v>8</v>
      </c>
      <c r="E9" s="348" t="s">
        <v>7</v>
      </c>
      <c r="F9" s="349" t="s">
        <v>464</v>
      </c>
      <c r="G9" s="500"/>
      <c r="H9" s="683">
        <v>0</v>
      </c>
      <c r="I9" s="357">
        <v>13</v>
      </c>
      <c r="J9" s="357">
        <v>14</v>
      </c>
      <c r="K9" s="357">
        <v>10</v>
      </c>
      <c r="L9" s="686">
        <v>0</v>
      </c>
      <c r="M9" s="683">
        <v>0</v>
      </c>
      <c r="N9" s="357">
        <v>5</v>
      </c>
      <c r="O9" s="357">
        <v>10</v>
      </c>
      <c r="P9" s="357">
        <v>10</v>
      </c>
      <c r="Q9" s="357">
        <v>0</v>
      </c>
      <c r="R9" s="686" t="s">
        <v>1642</v>
      </c>
      <c r="S9" s="687">
        <f t="shared" si="1"/>
        <v>0</v>
      </c>
      <c r="T9" s="687">
        <f t="shared" si="1"/>
        <v>8</v>
      </c>
      <c r="U9" s="687">
        <f t="shared" si="0"/>
        <v>4</v>
      </c>
      <c r="V9" s="687">
        <f t="shared" si="0"/>
        <v>0</v>
      </c>
      <c r="W9" s="687">
        <f t="shared" si="0"/>
        <v>0</v>
      </c>
      <c r="X9" s="346"/>
    </row>
    <row r="10" spans="1:24" s="344" customFormat="1" ht="11.25" customHeight="1" x14ac:dyDescent="0.2">
      <c r="A10" s="347" t="s">
        <v>378</v>
      </c>
      <c r="B10" s="348" t="s">
        <v>1311</v>
      </c>
      <c r="C10" s="348" t="s">
        <v>5</v>
      </c>
      <c r="D10" s="348" t="s">
        <v>20</v>
      </c>
      <c r="E10" s="348" t="s">
        <v>19</v>
      </c>
      <c r="F10" s="349" t="s">
        <v>464</v>
      </c>
      <c r="G10" s="500"/>
      <c r="H10" s="688"/>
      <c r="I10" s="684">
        <v>0</v>
      </c>
      <c r="J10" s="708">
        <v>0</v>
      </c>
      <c r="K10" s="708">
        <v>0</v>
      </c>
      <c r="L10" s="686"/>
      <c r="M10" s="683"/>
      <c r="N10" s="357"/>
      <c r="O10" s="357"/>
      <c r="P10" s="357"/>
      <c r="Q10" s="357"/>
      <c r="R10" s="686"/>
      <c r="S10" s="687">
        <f t="shared" si="1"/>
        <v>0</v>
      </c>
      <c r="T10" s="687">
        <f t="shared" si="1"/>
        <v>0</v>
      </c>
      <c r="U10" s="687">
        <f t="shared" si="0"/>
        <v>0</v>
      </c>
      <c r="V10" s="687">
        <f t="shared" si="0"/>
        <v>0</v>
      </c>
      <c r="W10" s="687">
        <f t="shared" si="0"/>
        <v>0</v>
      </c>
      <c r="X10" s="346"/>
    </row>
    <row r="11" spans="1:24" s="344" customFormat="1" ht="11.25" customHeight="1" x14ac:dyDescent="0.2">
      <c r="A11" s="347" t="s">
        <v>378</v>
      </c>
      <c r="B11" s="348" t="s">
        <v>424</v>
      </c>
      <c r="C11" s="348" t="s">
        <v>5</v>
      </c>
      <c r="D11" s="348" t="s">
        <v>364</v>
      </c>
      <c r="E11" s="348" t="s">
        <v>374</v>
      </c>
      <c r="F11" s="349" t="s">
        <v>464</v>
      </c>
      <c r="G11" s="500" t="s">
        <v>1315</v>
      </c>
      <c r="H11" s="688">
        <v>31</v>
      </c>
      <c r="I11" s="684">
        <v>31</v>
      </c>
      <c r="J11" s="684"/>
      <c r="K11" s="684"/>
      <c r="L11" s="685">
        <v>0</v>
      </c>
      <c r="M11" s="683">
        <v>21</v>
      </c>
      <c r="N11" s="357">
        <v>21</v>
      </c>
      <c r="O11" s="357"/>
      <c r="P11" s="357"/>
      <c r="Q11" s="357"/>
      <c r="R11" s="686" t="s">
        <v>1610</v>
      </c>
      <c r="S11" s="687">
        <f t="shared" si="1"/>
        <v>10</v>
      </c>
      <c r="T11" s="687">
        <f t="shared" si="1"/>
        <v>10</v>
      </c>
      <c r="U11" s="687">
        <f t="shared" si="0"/>
        <v>0</v>
      </c>
      <c r="V11" s="687">
        <f t="shared" si="0"/>
        <v>0</v>
      </c>
      <c r="W11" s="687">
        <f t="shared" si="0"/>
        <v>0</v>
      </c>
      <c r="X11" s="346" t="s">
        <v>1313</v>
      </c>
    </row>
    <row r="12" spans="1:24" s="344" customFormat="1" ht="11.25" customHeight="1" x14ac:dyDescent="0.2">
      <c r="A12" s="347" t="s">
        <v>378</v>
      </c>
      <c r="B12" s="348" t="s">
        <v>424</v>
      </c>
      <c r="C12" s="348" t="s">
        <v>5</v>
      </c>
      <c r="D12" s="348" t="s">
        <v>22</v>
      </c>
      <c r="E12" s="348" t="s">
        <v>21</v>
      </c>
      <c r="F12" s="349" t="s">
        <v>464</v>
      </c>
      <c r="G12" s="500" t="s">
        <v>1275</v>
      </c>
      <c r="H12" s="688">
        <v>122</v>
      </c>
      <c r="I12" s="684">
        <v>140</v>
      </c>
      <c r="J12" s="684">
        <v>30</v>
      </c>
      <c r="K12" s="684">
        <v>50</v>
      </c>
      <c r="L12" s="685">
        <v>0</v>
      </c>
      <c r="M12" s="683">
        <v>80</v>
      </c>
      <c r="N12" s="357">
        <v>80</v>
      </c>
      <c r="O12" s="357"/>
      <c r="P12" s="357"/>
      <c r="Q12" s="357"/>
      <c r="R12" s="686" t="s">
        <v>779</v>
      </c>
      <c r="S12" s="687">
        <f t="shared" si="1"/>
        <v>42</v>
      </c>
      <c r="T12" s="687">
        <f t="shared" si="1"/>
        <v>60</v>
      </c>
      <c r="U12" s="687">
        <f t="shared" si="0"/>
        <v>30</v>
      </c>
      <c r="V12" s="687">
        <f t="shared" si="0"/>
        <v>50</v>
      </c>
      <c r="W12" s="687">
        <f t="shared" si="0"/>
        <v>0</v>
      </c>
      <c r="X12" s="346"/>
    </row>
    <row r="13" spans="1:24" s="344" customFormat="1" ht="11.25" customHeight="1" x14ac:dyDescent="0.2">
      <c r="A13" s="347" t="s">
        <v>378</v>
      </c>
      <c r="B13" s="348" t="s">
        <v>462</v>
      </c>
      <c r="C13" s="348" t="s">
        <v>5</v>
      </c>
      <c r="D13" s="348" t="s">
        <v>1316</v>
      </c>
      <c r="E13" s="348" t="s">
        <v>23</v>
      </c>
      <c r="F13" s="349" t="s">
        <v>464</v>
      </c>
      <c r="G13" s="500"/>
      <c r="H13" s="707">
        <v>0</v>
      </c>
      <c r="I13" s="357">
        <v>0</v>
      </c>
      <c r="J13" s="357"/>
      <c r="K13" s="357"/>
      <c r="L13" s="686">
        <v>0</v>
      </c>
      <c r="M13" s="683">
        <v>0</v>
      </c>
      <c r="N13" s="357">
        <v>0</v>
      </c>
      <c r="O13" s="357">
        <v>0</v>
      </c>
      <c r="P13" s="357">
        <v>0</v>
      </c>
      <c r="Q13" s="357">
        <v>0</v>
      </c>
      <c r="R13" s="686"/>
      <c r="S13" s="687">
        <f t="shared" si="1"/>
        <v>0</v>
      </c>
      <c r="T13" s="687">
        <f t="shared" si="1"/>
        <v>0</v>
      </c>
      <c r="U13" s="687">
        <f t="shared" si="0"/>
        <v>0</v>
      </c>
      <c r="V13" s="687">
        <f t="shared" si="0"/>
        <v>0</v>
      </c>
      <c r="W13" s="687">
        <f t="shared" si="0"/>
        <v>0</v>
      </c>
      <c r="X13" s="346"/>
    </row>
    <row r="14" spans="1:24" s="344" customFormat="1" ht="11.25" customHeight="1" x14ac:dyDescent="0.2">
      <c r="A14" s="347" t="s">
        <v>378</v>
      </c>
      <c r="B14" s="348" t="s">
        <v>462</v>
      </c>
      <c r="C14" s="348" t="s">
        <v>5</v>
      </c>
      <c r="D14" s="348" t="s">
        <v>26</v>
      </c>
      <c r="E14" s="348" t="s">
        <v>25</v>
      </c>
      <c r="F14" s="349" t="s">
        <v>464</v>
      </c>
      <c r="G14" s="500"/>
      <c r="H14" s="683">
        <v>0</v>
      </c>
      <c r="I14" s="357">
        <v>0</v>
      </c>
      <c r="J14" s="357">
        <v>14</v>
      </c>
      <c r="K14" s="357"/>
      <c r="L14" s="686">
        <v>0</v>
      </c>
      <c r="M14" s="683">
        <v>0</v>
      </c>
      <c r="N14" s="357">
        <v>0</v>
      </c>
      <c r="O14" s="357">
        <v>0</v>
      </c>
      <c r="P14" s="357">
        <v>0</v>
      </c>
      <c r="Q14" s="357">
        <v>0</v>
      </c>
      <c r="R14" s="686"/>
      <c r="S14" s="687">
        <f t="shared" si="1"/>
        <v>0</v>
      </c>
      <c r="T14" s="687">
        <f t="shared" si="1"/>
        <v>0</v>
      </c>
      <c r="U14" s="687">
        <f t="shared" si="0"/>
        <v>14</v>
      </c>
      <c r="V14" s="687">
        <f t="shared" si="0"/>
        <v>0</v>
      </c>
      <c r="W14" s="687">
        <f t="shared" si="0"/>
        <v>0</v>
      </c>
      <c r="X14" s="346"/>
    </row>
    <row r="15" spans="1:24" s="344" customFormat="1" ht="11.25" customHeight="1" x14ac:dyDescent="0.2">
      <c r="A15" s="350" t="s">
        <v>3</v>
      </c>
      <c r="B15" s="351"/>
      <c r="C15" s="351"/>
      <c r="D15" s="352"/>
      <c r="E15" s="353"/>
      <c r="F15" s="354"/>
      <c r="G15" s="507"/>
      <c r="H15" s="355">
        <f>SUM(H5:H14)</f>
        <v>158</v>
      </c>
      <c r="I15" s="355">
        <f t="shared" ref="I15:W15" si="2">SUM(I5:I14)</f>
        <v>189</v>
      </c>
      <c r="J15" s="355">
        <f t="shared" si="2"/>
        <v>88</v>
      </c>
      <c r="K15" s="355">
        <f t="shared" si="2"/>
        <v>126</v>
      </c>
      <c r="L15" s="355">
        <f t="shared" si="2"/>
        <v>0</v>
      </c>
      <c r="M15" s="355">
        <f t="shared" si="2"/>
        <v>106</v>
      </c>
      <c r="N15" s="355">
        <f t="shared" si="2"/>
        <v>111</v>
      </c>
      <c r="O15" s="355">
        <f t="shared" si="2"/>
        <v>15</v>
      </c>
      <c r="P15" s="355">
        <f t="shared" si="2"/>
        <v>66</v>
      </c>
      <c r="Q15" s="355">
        <f t="shared" si="2"/>
        <v>0</v>
      </c>
      <c r="R15" s="355">
        <f t="shared" si="2"/>
        <v>0</v>
      </c>
      <c r="S15" s="355">
        <f>SUM(S5:S14)</f>
        <v>52</v>
      </c>
      <c r="T15" s="355">
        <f t="shared" si="2"/>
        <v>78</v>
      </c>
      <c r="U15" s="355">
        <f t="shared" si="2"/>
        <v>73</v>
      </c>
      <c r="V15" s="355">
        <f>SUM(V5:V14)</f>
        <v>60</v>
      </c>
      <c r="W15" s="355">
        <f t="shared" si="2"/>
        <v>0</v>
      </c>
      <c r="X15" s="346"/>
    </row>
    <row r="16" spans="1:24" s="344" customFormat="1" ht="11.25" customHeight="1" x14ac:dyDescent="0.2">
      <c r="A16" s="347" t="s">
        <v>378</v>
      </c>
      <c r="B16" s="348" t="s">
        <v>462</v>
      </c>
      <c r="C16" s="348" t="s">
        <v>27</v>
      </c>
      <c r="D16" s="348" t="s">
        <v>28</v>
      </c>
      <c r="E16" s="348" t="s">
        <v>30</v>
      </c>
      <c r="F16" s="349" t="s">
        <v>464</v>
      </c>
      <c r="G16" s="364"/>
      <c r="H16" s="683">
        <v>20</v>
      </c>
      <c r="I16" s="357">
        <v>20</v>
      </c>
      <c r="J16" s="357">
        <v>30</v>
      </c>
      <c r="K16" s="357">
        <v>20</v>
      </c>
      <c r="L16" s="686"/>
      <c r="M16" s="683"/>
      <c r="N16" s="357"/>
      <c r="O16" s="357">
        <v>18</v>
      </c>
      <c r="P16" s="357">
        <v>20</v>
      </c>
      <c r="Q16" s="357"/>
      <c r="R16" s="686" t="s">
        <v>1642</v>
      </c>
      <c r="S16" s="687">
        <f t="shared" si="1"/>
        <v>20</v>
      </c>
      <c r="T16" s="687">
        <f t="shared" si="1"/>
        <v>20</v>
      </c>
      <c r="U16" s="687">
        <f t="shared" si="0"/>
        <v>12</v>
      </c>
      <c r="V16" s="687">
        <f t="shared" si="0"/>
        <v>0</v>
      </c>
      <c r="W16" s="687">
        <f t="shared" si="0"/>
        <v>0</v>
      </c>
      <c r="X16" s="346"/>
    </row>
    <row r="17" spans="1:24" s="344" customFormat="1" ht="11.25" customHeight="1" x14ac:dyDescent="0.2">
      <c r="A17" s="347" t="s">
        <v>378</v>
      </c>
      <c r="B17" s="348" t="s">
        <v>462</v>
      </c>
      <c r="C17" s="348" t="s">
        <v>27</v>
      </c>
      <c r="D17" s="348" t="s">
        <v>363</v>
      </c>
      <c r="E17" s="348" t="s">
        <v>376</v>
      </c>
      <c r="F17" s="349" t="s">
        <v>464</v>
      </c>
      <c r="G17" s="500"/>
      <c r="H17" s="683">
        <v>10</v>
      </c>
      <c r="I17" s="357">
        <v>10</v>
      </c>
      <c r="J17" s="357">
        <v>20</v>
      </c>
      <c r="K17" s="357">
        <v>35</v>
      </c>
      <c r="L17" s="686">
        <v>0</v>
      </c>
      <c r="M17" s="683"/>
      <c r="N17" s="357"/>
      <c r="O17" s="357">
        <v>8</v>
      </c>
      <c r="P17" s="357">
        <v>35</v>
      </c>
      <c r="Q17" s="357"/>
      <c r="R17" s="686" t="s">
        <v>1642</v>
      </c>
      <c r="S17" s="687">
        <f t="shared" si="1"/>
        <v>10</v>
      </c>
      <c r="T17" s="687">
        <f t="shared" si="1"/>
        <v>10</v>
      </c>
      <c r="U17" s="687">
        <f t="shared" si="0"/>
        <v>12</v>
      </c>
      <c r="V17" s="687">
        <f t="shared" si="0"/>
        <v>0</v>
      </c>
      <c r="W17" s="687">
        <f t="shared" si="0"/>
        <v>0</v>
      </c>
      <c r="X17" s="346"/>
    </row>
    <row r="18" spans="1:24" s="344" customFormat="1" ht="11.25" customHeight="1" x14ac:dyDescent="0.2">
      <c r="A18" s="347" t="s">
        <v>378</v>
      </c>
      <c r="B18" s="348" t="s">
        <v>1317</v>
      </c>
      <c r="C18" s="348" t="s">
        <v>27</v>
      </c>
      <c r="D18" s="348" t="s">
        <v>791</v>
      </c>
      <c r="E18" s="348" t="s">
        <v>790</v>
      </c>
      <c r="F18" s="349" t="s">
        <v>464</v>
      </c>
      <c r="G18" s="364"/>
      <c r="H18" s="683"/>
      <c r="I18" s="684">
        <v>0</v>
      </c>
      <c r="J18" s="684">
        <v>0</v>
      </c>
      <c r="K18" s="684">
        <v>0</v>
      </c>
      <c r="L18" s="685">
        <v>0</v>
      </c>
      <c r="M18" s="683"/>
      <c r="N18" s="357"/>
      <c r="O18" s="357"/>
      <c r="P18" s="357"/>
      <c r="Q18" s="357"/>
      <c r="R18" s="686"/>
      <c r="S18" s="687">
        <f t="shared" si="1"/>
        <v>0</v>
      </c>
      <c r="T18" s="687">
        <f t="shared" si="1"/>
        <v>0</v>
      </c>
      <c r="U18" s="687">
        <f t="shared" si="0"/>
        <v>0</v>
      </c>
      <c r="V18" s="687">
        <f t="shared" si="0"/>
        <v>0</v>
      </c>
      <c r="W18" s="687">
        <f t="shared" si="0"/>
        <v>0</v>
      </c>
      <c r="X18" s="346"/>
    </row>
    <row r="19" spans="1:24" s="344" customFormat="1" ht="11.25" customHeight="1" x14ac:dyDescent="0.2">
      <c r="A19" s="347" t="s">
        <v>378</v>
      </c>
      <c r="B19" s="348" t="s">
        <v>424</v>
      </c>
      <c r="C19" s="348" t="s">
        <v>27</v>
      </c>
      <c r="D19" s="348" t="s">
        <v>362</v>
      </c>
      <c r="E19" s="348" t="s">
        <v>29</v>
      </c>
      <c r="F19" s="349" t="s">
        <v>466</v>
      </c>
      <c r="G19" s="364" t="s">
        <v>1275</v>
      </c>
      <c r="H19" s="689">
        <v>26</v>
      </c>
      <c r="I19" s="690">
        <v>26</v>
      </c>
      <c r="J19" s="690"/>
      <c r="K19" s="690"/>
      <c r="L19" s="691"/>
      <c r="M19" s="683"/>
      <c r="N19" s="357"/>
      <c r="O19" s="357"/>
      <c r="P19" s="357"/>
      <c r="Q19" s="357"/>
      <c r="R19" s="686"/>
      <c r="S19" s="687">
        <f t="shared" si="1"/>
        <v>26</v>
      </c>
      <c r="T19" s="687">
        <f t="shared" si="1"/>
        <v>26</v>
      </c>
      <c r="U19" s="687">
        <f t="shared" si="0"/>
        <v>0</v>
      </c>
      <c r="V19" s="687">
        <f t="shared" si="0"/>
        <v>0</v>
      </c>
      <c r="W19" s="687">
        <f t="shared" si="0"/>
        <v>0</v>
      </c>
      <c r="X19" s="346"/>
    </row>
    <row r="20" spans="1:24" s="344" customFormat="1" ht="11.25" customHeight="1" x14ac:dyDescent="0.2">
      <c r="A20" s="347" t="s">
        <v>378</v>
      </c>
      <c r="B20" s="348" t="s">
        <v>1317</v>
      </c>
      <c r="C20" s="348" t="s">
        <v>27</v>
      </c>
      <c r="D20" s="348" t="s">
        <v>877</v>
      </c>
      <c r="E20" s="348" t="s">
        <v>878</v>
      </c>
      <c r="F20" s="349" t="s">
        <v>464</v>
      </c>
      <c r="G20" s="498"/>
      <c r="H20" s="689"/>
      <c r="I20" s="690"/>
      <c r="J20" s="690"/>
      <c r="K20" s="690"/>
      <c r="L20" s="691"/>
      <c r="M20" s="683"/>
      <c r="N20" s="357"/>
      <c r="O20" s="357"/>
      <c r="P20" s="357"/>
      <c r="Q20" s="357"/>
      <c r="R20" s="686"/>
      <c r="S20" s="687">
        <f t="shared" si="1"/>
        <v>0</v>
      </c>
      <c r="T20" s="687">
        <f t="shared" si="1"/>
        <v>0</v>
      </c>
      <c r="U20" s="687">
        <f t="shared" si="0"/>
        <v>0</v>
      </c>
      <c r="V20" s="687">
        <f t="shared" si="0"/>
        <v>0</v>
      </c>
      <c r="W20" s="687">
        <f t="shared" si="0"/>
        <v>0</v>
      </c>
      <c r="X20" s="346"/>
    </row>
    <row r="21" spans="1:24" s="344" customFormat="1" ht="11.25" customHeight="1" x14ac:dyDescent="0.2">
      <c r="A21" s="350" t="s">
        <v>3</v>
      </c>
      <c r="B21" s="351"/>
      <c r="C21" s="351"/>
      <c r="D21" s="352"/>
      <c r="E21" s="353"/>
      <c r="F21" s="354"/>
      <c r="G21" s="507"/>
      <c r="H21" s="355">
        <f>SUM(H16:H20)</f>
        <v>56</v>
      </c>
      <c r="I21" s="355">
        <f t="shared" ref="I21:W21" si="3">SUM(I16:I20)</f>
        <v>56</v>
      </c>
      <c r="J21" s="355">
        <f t="shared" si="3"/>
        <v>50</v>
      </c>
      <c r="K21" s="355">
        <f t="shared" si="3"/>
        <v>55</v>
      </c>
      <c r="L21" s="355">
        <f t="shared" si="3"/>
        <v>0</v>
      </c>
      <c r="M21" s="355">
        <f t="shared" si="3"/>
        <v>0</v>
      </c>
      <c r="N21" s="355">
        <f t="shared" si="3"/>
        <v>0</v>
      </c>
      <c r="O21" s="355">
        <f t="shared" si="3"/>
        <v>26</v>
      </c>
      <c r="P21" s="355">
        <f t="shared" si="3"/>
        <v>55</v>
      </c>
      <c r="Q21" s="355">
        <f t="shared" si="3"/>
        <v>0</v>
      </c>
      <c r="R21" s="355">
        <f t="shared" si="3"/>
        <v>0</v>
      </c>
      <c r="S21" s="355">
        <f t="shared" si="3"/>
        <v>56</v>
      </c>
      <c r="T21" s="355">
        <f t="shared" si="3"/>
        <v>56</v>
      </c>
      <c r="U21" s="355">
        <f t="shared" si="3"/>
        <v>24</v>
      </c>
      <c r="V21" s="355">
        <f t="shared" si="3"/>
        <v>0</v>
      </c>
      <c r="W21" s="355">
        <f t="shared" si="3"/>
        <v>0</v>
      </c>
      <c r="X21" s="346"/>
    </row>
    <row r="22" spans="1:24" s="344" customFormat="1" ht="11.25" customHeight="1" x14ac:dyDescent="0.2">
      <c r="A22" s="347" t="s">
        <v>378</v>
      </c>
      <c r="B22" s="348" t="s">
        <v>424</v>
      </c>
      <c r="C22" s="348" t="s">
        <v>480</v>
      </c>
      <c r="D22" s="357" t="s">
        <v>1286</v>
      </c>
      <c r="E22" s="348" t="s">
        <v>1277</v>
      </c>
      <c r="F22" s="349" t="s">
        <v>464</v>
      </c>
      <c r="G22" s="364" t="s">
        <v>1315</v>
      </c>
      <c r="H22" s="683"/>
      <c r="I22" s="684"/>
      <c r="J22" s="684"/>
      <c r="K22" s="357"/>
      <c r="L22" s="685"/>
      <c r="M22" s="683"/>
      <c r="N22" s="357"/>
      <c r="O22" s="357"/>
      <c r="P22" s="357"/>
      <c r="Q22" s="357"/>
      <c r="R22" s="686"/>
      <c r="S22" s="687">
        <f t="shared" si="1"/>
        <v>0</v>
      </c>
      <c r="T22" s="687">
        <f t="shared" si="1"/>
        <v>0</v>
      </c>
      <c r="U22" s="687">
        <f t="shared" ref="U22:U83" si="4">J22-O22</f>
        <v>0</v>
      </c>
      <c r="V22" s="687">
        <f t="shared" ref="V22:V83" si="5">K22-P22</f>
        <v>0</v>
      </c>
      <c r="W22" s="687">
        <f t="shared" ref="W22:W83" si="6">L22-Q22</f>
        <v>0</v>
      </c>
      <c r="X22" s="346"/>
    </row>
    <row r="23" spans="1:24" s="344" customFormat="1" ht="11.25" customHeight="1" x14ac:dyDescent="0.2">
      <c r="A23" s="347" t="s">
        <v>378</v>
      </c>
      <c r="B23" s="348" t="s">
        <v>462</v>
      </c>
      <c r="C23" s="348" t="s">
        <v>480</v>
      </c>
      <c r="D23" s="357" t="s">
        <v>41</v>
      </c>
      <c r="E23" s="348" t="s">
        <v>40</v>
      </c>
      <c r="F23" s="349" t="s">
        <v>464</v>
      </c>
      <c r="G23" s="500"/>
      <c r="H23" s="683">
        <v>0</v>
      </c>
      <c r="I23" s="684">
        <v>0</v>
      </c>
      <c r="J23" s="684">
        <v>12</v>
      </c>
      <c r="K23" s="357">
        <v>25</v>
      </c>
      <c r="L23" s="685">
        <v>0</v>
      </c>
      <c r="M23" s="683"/>
      <c r="N23" s="357"/>
      <c r="O23" s="357"/>
      <c r="P23" s="357">
        <v>15</v>
      </c>
      <c r="Q23" s="357"/>
      <c r="R23" s="686" t="s">
        <v>1642</v>
      </c>
      <c r="S23" s="687">
        <f t="shared" si="1"/>
        <v>0</v>
      </c>
      <c r="T23" s="687">
        <f t="shared" si="1"/>
        <v>0</v>
      </c>
      <c r="U23" s="687">
        <f t="shared" si="4"/>
        <v>12</v>
      </c>
      <c r="V23" s="687">
        <f t="shared" si="5"/>
        <v>10</v>
      </c>
      <c r="W23" s="687">
        <f t="shared" si="6"/>
        <v>0</v>
      </c>
      <c r="X23" s="346"/>
    </row>
    <row r="24" spans="1:24" s="344" customFormat="1" ht="11.25" customHeight="1" x14ac:dyDescent="0.2">
      <c r="A24" s="347" t="s">
        <v>378</v>
      </c>
      <c r="B24" s="348" t="s">
        <v>462</v>
      </c>
      <c r="C24" s="348" t="s">
        <v>480</v>
      </c>
      <c r="D24" s="357" t="s">
        <v>72</v>
      </c>
      <c r="E24" s="348" t="s">
        <v>71</v>
      </c>
      <c r="F24" s="349" t="s">
        <v>464</v>
      </c>
      <c r="G24" s="364"/>
      <c r="H24" s="683">
        <v>0</v>
      </c>
      <c r="I24" s="357">
        <v>0</v>
      </c>
      <c r="J24" s="357"/>
      <c r="K24" s="357">
        <v>2</v>
      </c>
      <c r="L24" s="686"/>
      <c r="M24" s="683"/>
      <c r="N24" s="357"/>
      <c r="O24" s="357"/>
      <c r="P24" s="357">
        <v>2</v>
      </c>
      <c r="Q24" s="357"/>
      <c r="R24" s="686" t="s">
        <v>1642</v>
      </c>
      <c r="S24" s="687">
        <f t="shared" si="1"/>
        <v>0</v>
      </c>
      <c r="T24" s="687">
        <f t="shared" si="1"/>
        <v>0</v>
      </c>
      <c r="U24" s="687">
        <f t="shared" si="4"/>
        <v>0</v>
      </c>
      <c r="V24" s="687">
        <f t="shared" si="5"/>
        <v>0</v>
      </c>
      <c r="W24" s="687">
        <f t="shared" si="6"/>
        <v>0</v>
      </c>
      <c r="X24" s="346"/>
    </row>
    <row r="25" spans="1:24" s="344" customFormat="1" ht="11.25" customHeight="1" x14ac:dyDescent="0.2">
      <c r="A25" s="347" t="s">
        <v>378</v>
      </c>
      <c r="B25" s="348" t="s">
        <v>462</v>
      </c>
      <c r="C25" s="348" t="s">
        <v>480</v>
      </c>
      <c r="D25" s="357" t="s">
        <v>43</v>
      </c>
      <c r="E25" s="348" t="s">
        <v>42</v>
      </c>
      <c r="F25" s="349" t="s">
        <v>464</v>
      </c>
      <c r="G25" s="500"/>
      <c r="H25" s="683"/>
      <c r="I25" s="357"/>
      <c r="J25" s="357"/>
      <c r="K25" s="357"/>
      <c r="L25" s="686"/>
      <c r="M25" s="683"/>
      <c r="N25" s="357"/>
      <c r="O25" s="357"/>
      <c r="P25" s="357"/>
      <c r="Q25" s="357"/>
      <c r="R25" s="686"/>
      <c r="S25" s="687">
        <f t="shared" si="1"/>
        <v>0</v>
      </c>
      <c r="T25" s="687">
        <f t="shared" si="1"/>
        <v>0</v>
      </c>
      <c r="U25" s="687">
        <f t="shared" si="4"/>
        <v>0</v>
      </c>
      <c r="V25" s="687">
        <f t="shared" si="5"/>
        <v>0</v>
      </c>
      <c r="W25" s="687">
        <f t="shared" si="6"/>
        <v>0</v>
      </c>
      <c r="X25" s="346"/>
    </row>
    <row r="26" spans="1:24" s="344" customFormat="1" ht="11.25" customHeight="1" x14ac:dyDescent="0.2">
      <c r="A26" s="347" t="s">
        <v>378</v>
      </c>
      <c r="B26" s="348" t="s">
        <v>462</v>
      </c>
      <c r="C26" s="358" t="s">
        <v>480</v>
      </c>
      <c r="D26" s="565" t="s">
        <v>1318</v>
      </c>
      <c r="E26" s="358" t="s">
        <v>75</v>
      </c>
      <c r="F26" s="363" t="s">
        <v>464</v>
      </c>
      <c r="G26" s="365"/>
      <c r="H26" s="683">
        <v>10</v>
      </c>
      <c r="I26" s="357">
        <v>10</v>
      </c>
      <c r="J26" s="357">
        <v>10</v>
      </c>
      <c r="K26" s="357">
        <v>40</v>
      </c>
      <c r="L26" s="686">
        <v>0</v>
      </c>
      <c r="M26" s="683">
        <v>5</v>
      </c>
      <c r="N26" s="357"/>
      <c r="O26" s="357"/>
      <c r="P26" s="357">
        <v>20</v>
      </c>
      <c r="Q26" s="357"/>
      <c r="R26" s="686" t="s">
        <v>1642</v>
      </c>
      <c r="S26" s="687">
        <f t="shared" si="1"/>
        <v>5</v>
      </c>
      <c r="T26" s="687">
        <f t="shared" si="1"/>
        <v>10</v>
      </c>
      <c r="U26" s="687">
        <f t="shared" si="4"/>
        <v>10</v>
      </c>
      <c r="V26" s="687">
        <f t="shared" si="5"/>
        <v>20</v>
      </c>
      <c r="W26" s="687">
        <f t="shared" si="6"/>
        <v>0</v>
      </c>
      <c r="X26" s="346"/>
    </row>
    <row r="27" spans="1:24" s="344" customFormat="1" ht="11.25" customHeight="1" x14ac:dyDescent="0.2">
      <c r="A27" s="347" t="s">
        <v>378</v>
      </c>
      <c r="B27" s="348" t="s">
        <v>462</v>
      </c>
      <c r="C27" s="348" t="s">
        <v>480</v>
      </c>
      <c r="D27" s="357" t="s">
        <v>44</v>
      </c>
      <c r="E27" s="348" t="s">
        <v>45</v>
      </c>
      <c r="F27" s="349" t="s">
        <v>464</v>
      </c>
      <c r="G27" s="500"/>
      <c r="H27" s="683">
        <v>0</v>
      </c>
      <c r="I27" s="357">
        <v>0</v>
      </c>
      <c r="J27" s="357"/>
      <c r="K27" s="357"/>
      <c r="L27" s="686">
        <v>0</v>
      </c>
      <c r="M27" s="683"/>
      <c r="N27" s="357"/>
      <c r="O27" s="357"/>
      <c r="P27" s="357"/>
      <c r="Q27" s="357"/>
      <c r="R27" s="686"/>
      <c r="S27" s="687">
        <f t="shared" si="1"/>
        <v>0</v>
      </c>
      <c r="T27" s="687">
        <f t="shared" si="1"/>
        <v>0</v>
      </c>
      <c r="U27" s="687">
        <f t="shared" si="4"/>
        <v>0</v>
      </c>
      <c r="V27" s="687">
        <f t="shared" si="5"/>
        <v>0</v>
      </c>
      <c r="W27" s="687">
        <f t="shared" si="6"/>
        <v>0</v>
      </c>
      <c r="X27" s="346"/>
    </row>
    <row r="28" spans="1:24" s="344" customFormat="1" ht="11.25" customHeight="1" x14ac:dyDescent="0.2">
      <c r="A28" s="347" t="s">
        <v>378</v>
      </c>
      <c r="B28" s="348" t="s">
        <v>424</v>
      </c>
      <c r="C28" s="348" t="s">
        <v>480</v>
      </c>
      <c r="D28" s="357" t="s">
        <v>52</v>
      </c>
      <c r="E28" s="357" t="s">
        <v>51</v>
      </c>
      <c r="F28" s="349" t="s">
        <v>464</v>
      </c>
      <c r="G28" s="500" t="s">
        <v>1315</v>
      </c>
      <c r="H28" s="683"/>
      <c r="I28" s="357"/>
      <c r="J28" s="357"/>
      <c r="K28" s="357"/>
      <c r="L28" s="686"/>
      <c r="M28" s="683">
        <v>0</v>
      </c>
      <c r="N28" s="357">
        <v>0</v>
      </c>
      <c r="O28" s="357">
        <v>0</v>
      </c>
      <c r="P28" s="357">
        <v>0</v>
      </c>
      <c r="Q28" s="357">
        <v>0</v>
      </c>
      <c r="R28" s="686"/>
      <c r="S28" s="687">
        <f t="shared" si="1"/>
        <v>0</v>
      </c>
      <c r="T28" s="687">
        <f t="shared" si="1"/>
        <v>0</v>
      </c>
      <c r="U28" s="687">
        <f t="shared" si="4"/>
        <v>0</v>
      </c>
      <c r="V28" s="687">
        <f t="shared" si="5"/>
        <v>0</v>
      </c>
      <c r="W28" s="687">
        <f t="shared" si="6"/>
        <v>0</v>
      </c>
      <c r="X28" s="346"/>
    </row>
    <row r="29" spans="1:24" s="344" customFormat="1" ht="11.25" customHeight="1" x14ac:dyDescent="0.2">
      <c r="A29" s="347" t="s">
        <v>378</v>
      </c>
      <c r="B29" s="348" t="s">
        <v>462</v>
      </c>
      <c r="C29" s="348" t="s">
        <v>480</v>
      </c>
      <c r="D29" s="357" t="s">
        <v>1319</v>
      </c>
      <c r="E29" s="348" t="s">
        <v>89</v>
      </c>
      <c r="F29" s="349" t="s">
        <v>464</v>
      </c>
      <c r="G29" s="500"/>
      <c r="H29" s="683">
        <v>0</v>
      </c>
      <c r="I29" s="357">
        <v>0</v>
      </c>
      <c r="J29" s="357">
        <v>20</v>
      </c>
      <c r="K29" s="357">
        <v>10</v>
      </c>
      <c r="L29" s="686">
        <v>0</v>
      </c>
      <c r="M29" s="683"/>
      <c r="N29" s="357"/>
      <c r="O29" s="357"/>
      <c r="P29" s="357"/>
      <c r="Q29" s="357"/>
      <c r="R29" s="686"/>
      <c r="S29" s="687">
        <f t="shared" si="1"/>
        <v>0</v>
      </c>
      <c r="T29" s="687">
        <f t="shared" si="1"/>
        <v>0</v>
      </c>
      <c r="U29" s="687">
        <f t="shared" si="4"/>
        <v>20</v>
      </c>
      <c r="V29" s="687">
        <f t="shared" si="5"/>
        <v>10</v>
      </c>
      <c r="W29" s="687">
        <f t="shared" si="6"/>
        <v>0</v>
      </c>
      <c r="X29" s="346"/>
    </row>
    <row r="30" spans="1:24" s="344" customFormat="1" ht="11.25" customHeight="1" x14ac:dyDescent="0.2">
      <c r="A30" s="347" t="s">
        <v>378</v>
      </c>
      <c r="B30" s="348" t="s">
        <v>462</v>
      </c>
      <c r="C30" s="348" t="s">
        <v>480</v>
      </c>
      <c r="D30" s="357" t="s">
        <v>92</v>
      </c>
      <c r="E30" s="348" t="s">
        <v>91</v>
      </c>
      <c r="F30" s="349" t="s">
        <v>464</v>
      </c>
      <c r="G30" s="364"/>
      <c r="H30" s="683"/>
      <c r="I30" s="357"/>
      <c r="J30" s="357">
        <v>10</v>
      </c>
      <c r="K30" s="357"/>
      <c r="L30" s="686"/>
      <c r="M30" s="683"/>
      <c r="N30" s="357"/>
      <c r="O30" s="357"/>
      <c r="P30" s="357"/>
      <c r="Q30" s="357"/>
      <c r="R30" s="686"/>
      <c r="S30" s="687">
        <f t="shared" si="1"/>
        <v>0</v>
      </c>
      <c r="T30" s="687">
        <f t="shared" si="1"/>
        <v>0</v>
      </c>
      <c r="U30" s="687">
        <f t="shared" si="4"/>
        <v>10</v>
      </c>
      <c r="V30" s="687">
        <f t="shared" si="5"/>
        <v>0</v>
      </c>
      <c r="W30" s="687">
        <f t="shared" si="6"/>
        <v>0</v>
      </c>
      <c r="X30" s="346"/>
    </row>
    <row r="31" spans="1:24" s="344" customFormat="1" ht="11.25" customHeight="1" x14ac:dyDescent="0.2">
      <c r="A31" s="347" t="s">
        <v>378</v>
      </c>
      <c r="B31" s="348" t="s">
        <v>462</v>
      </c>
      <c r="C31" s="348" t="s">
        <v>480</v>
      </c>
      <c r="D31" s="357" t="s">
        <v>100</v>
      </c>
      <c r="E31" s="348" t="s">
        <v>99</v>
      </c>
      <c r="F31" s="349" t="s">
        <v>464</v>
      </c>
      <c r="G31" s="500"/>
      <c r="H31" s="683"/>
      <c r="I31" s="357"/>
      <c r="J31" s="357">
        <v>0</v>
      </c>
      <c r="K31" s="357">
        <v>4</v>
      </c>
      <c r="L31" s="686">
        <v>0</v>
      </c>
      <c r="M31" s="683"/>
      <c r="N31" s="357"/>
      <c r="O31" s="357"/>
      <c r="P31" s="357"/>
      <c r="Q31" s="357"/>
      <c r="R31" s="686"/>
      <c r="S31" s="687">
        <f t="shared" si="1"/>
        <v>0</v>
      </c>
      <c r="T31" s="687">
        <f t="shared" si="1"/>
        <v>0</v>
      </c>
      <c r="U31" s="687">
        <f t="shared" si="4"/>
        <v>0</v>
      </c>
      <c r="V31" s="687">
        <f t="shared" si="5"/>
        <v>4</v>
      </c>
      <c r="W31" s="687">
        <f t="shared" si="6"/>
        <v>0</v>
      </c>
      <c r="X31" s="346"/>
    </row>
    <row r="32" spans="1:24" s="344" customFormat="1" ht="11.25" customHeight="1" x14ac:dyDescent="0.2">
      <c r="A32" s="347" t="s">
        <v>378</v>
      </c>
      <c r="B32" s="348" t="s">
        <v>462</v>
      </c>
      <c r="C32" s="348" t="s">
        <v>480</v>
      </c>
      <c r="D32" s="357" t="s">
        <v>551</v>
      </c>
      <c r="E32" s="348" t="s">
        <v>46</v>
      </c>
      <c r="F32" s="349" t="s">
        <v>464</v>
      </c>
      <c r="G32" s="364"/>
      <c r="H32" s="683">
        <v>0</v>
      </c>
      <c r="I32" s="357">
        <v>0</v>
      </c>
      <c r="J32" s="357">
        <v>0</v>
      </c>
      <c r="K32" s="357">
        <v>10</v>
      </c>
      <c r="L32" s="686">
        <v>0</v>
      </c>
      <c r="M32" s="683"/>
      <c r="N32" s="357"/>
      <c r="O32" s="357"/>
      <c r="P32" s="357"/>
      <c r="Q32" s="357"/>
      <c r="R32" s="686"/>
      <c r="S32" s="687">
        <f t="shared" si="1"/>
        <v>0</v>
      </c>
      <c r="T32" s="687">
        <f t="shared" si="1"/>
        <v>0</v>
      </c>
      <c r="U32" s="687">
        <f t="shared" si="4"/>
        <v>0</v>
      </c>
      <c r="V32" s="687">
        <f t="shared" si="5"/>
        <v>10</v>
      </c>
      <c r="W32" s="687">
        <f t="shared" si="6"/>
        <v>0</v>
      </c>
      <c r="X32" s="346"/>
    </row>
    <row r="33" spans="1:24" s="344" customFormat="1" ht="11.25" customHeight="1" x14ac:dyDescent="0.2">
      <c r="A33" s="347" t="s">
        <v>378</v>
      </c>
      <c r="B33" s="348" t="s">
        <v>1317</v>
      </c>
      <c r="C33" s="348" t="s">
        <v>480</v>
      </c>
      <c r="D33" s="357" t="s">
        <v>1320</v>
      </c>
      <c r="E33" s="348" t="s">
        <v>107</v>
      </c>
      <c r="F33" s="349" t="s">
        <v>464</v>
      </c>
      <c r="G33" s="365"/>
      <c r="H33" s="683"/>
      <c r="I33" s="357">
        <v>53</v>
      </c>
      <c r="J33" s="684"/>
      <c r="K33" s="684">
        <v>0</v>
      </c>
      <c r="L33" s="685"/>
      <c r="M33" s="683"/>
      <c r="N33" s="357">
        <v>53</v>
      </c>
      <c r="O33" s="357"/>
      <c r="P33" s="357"/>
      <c r="Q33" s="357"/>
      <c r="R33" s="686" t="s">
        <v>1593</v>
      </c>
      <c r="S33" s="687">
        <f t="shared" si="1"/>
        <v>0</v>
      </c>
      <c r="T33" s="687">
        <f t="shared" si="1"/>
        <v>0</v>
      </c>
      <c r="U33" s="687">
        <f t="shared" si="4"/>
        <v>0</v>
      </c>
      <c r="V33" s="687">
        <f t="shared" si="5"/>
        <v>0</v>
      </c>
      <c r="W33" s="687">
        <f t="shared" si="6"/>
        <v>0</v>
      </c>
      <c r="X33" s="346"/>
    </row>
    <row r="34" spans="1:24" s="344" customFormat="1" ht="11.25" customHeight="1" x14ac:dyDescent="0.2">
      <c r="A34" s="347" t="s">
        <v>378</v>
      </c>
      <c r="B34" s="348" t="s">
        <v>462</v>
      </c>
      <c r="C34" s="348" t="s">
        <v>480</v>
      </c>
      <c r="D34" s="357" t="s">
        <v>1321</v>
      </c>
      <c r="E34" s="348" t="s">
        <v>117</v>
      </c>
      <c r="F34" s="349" t="s">
        <v>464</v>
      </c>
      <c r="G34" s="364"/>
      <c r="H34" s="683">
        <v>0</v>
      </c>
      <c r="I34" s="357">
        <v>0</v>
      </c>
      <c r="J34" s="357">
        <v>0</v>
      </c>
      <c r="K34" s="357">
        <v>10</v>
      </c>
      <c r="L34" s="686">
        <v>0</v>
      </c>
      <c r="M34" s="683"/>
      <c r="N34" s="357"/>
      <c r="O34" s="357"/>
      <c r="P34" s="357">
        <v>4</v>
      </c>
      <c r="Q34" s="357"/>
      <c r="R34" s="686" t="s">
        <v>1642</v>
      </c>
      <c r="S34" s="687">
        <f t="shared" si="1"/>
        <v>0</v>
      </c>
      <c r="T34" s="687">
        <f t="shared" si="1"/>
        <v>0</v>
      </c>
      <c r="U34" s="687">
        <f t="shared" si="4"/>
        <v>0</v>
      </c>
      <c r="V34" s="687">
        <f t="shared" si="5"/>
        <v>6</v>
      </c>
      <c r="W34" s="687">
        <f t="shared" si="6"/>
        <v>0</v>
      </c>
      <c r="X34" s="346"/>
    </row>
    <row r="35" spans="1:24" s="361" customFormat="1" ht="11.25" customHeight="1" x14ac:dyDescent="0.2">
      <c r="A35" s="347" t="s">
        <v>378</v>
      </c>
      <c r="B35" s="348"/>
      <c r="C35" s="357" t="s">
        <v>480</v>
      </c>
      <c r="D35" s="357" t="s">
        <v>1322</v>
      </c>
      <c r="E35" s="357" t="s">
        <v>63</v>
      </c>
      <c r="F35" s="359" t="s">
        <v>464</v>
      </c>
      <c r="G35" s="365"/>
      <c r="H35" s="688"/>
      <c r="I35" s="684"/>
      <c r="J35" s="684">
        <v>0</v>
      </c>
      <c r="K35" s="684">
        <v>0</v>
      </c>
      <c r="L35" s="685">
        <v>0</v>
      </c>
      <c r="M35" s="683"/>
      <c r="N35" s="357"/>
      <c r="O35" s="357"/>
      <c r="P35" s="357"/>
      <c r="Q35" s="357"/>
      <c r="R35" s="686"/>
      <c r="S35" s="687">
        <f t="shared" si="1"/>
        <v>0</v>
      </c>
      <c r="T35" s="687">
        <f t="shared" si="1"/>
        <v>0</v>
      </c>
      <c r="U35" s="687">
        <f t="shared" si="4"/>
        <v>0</v>
      </c>
      <c r="V35" s="687">
        <f t="shared" si="5"/>
        <v>0</v>
      </c>
      <c r="W35" s="687">
        <f t="shared" si="6"/>
        <v>0</v>
      </c>
      <c r="X35" s="360"/>
    </row>
    <row r="36" spans="1:24" s="344" customFormat="1" ht="11.25" customHeight="1" x14ac:dyDescent="0.2">
      <c r="A36" s="347" t="s">
        <v>378</v>
      </c>
      <c r="B36" s="348" t="s">
        <v>424</v>
      </c>
      <c r="C36" s="348" t="s">
        <v>480</v>
      </c>
      <c r="D36" s="357" t="s">
        <v>1323</v>
      </c>
      <c r="E36" s="348" t="s">
        <v>125</v>
      </c>
      <c r="F36" s="349" t="s">
        <v>464</v>
      </c>
      <c r="G36" s="501" t="s">
        <v>1315</v>
      </c>
      <c r="H36" s="688"/>
      <c r="I36" s="357"/>
      <c r="J36" s="684">
        <v>0</v>
      </c>
      <c r="K36" s="684">
        <v>0</v>
      </c>
      <c r="L36" s="685">
        <v>0</v>
      </c>
      <c r="M36" s="683"/>
      <c r="N36" s="357"/>
      <c r="O36" s="357"/>
      <c r="P36" s="357"/>
      <c r="Q36" s="357"/>
      <c r="R36" s="686"/>
      <c r="S36" s="687">
        <f t="shared" si="1"/>
        <v>0</v>
      </c>
      <c r="T36" s="687">
        <f t="shared" si="1"/>
        <v>0</v>
      </c>
      <c r="U36" s="687">
        <f t="shared" si="4"/>
        <v>0</v>
      </c>
      <c r="V36" s="687">
        <f t="shared" si="5"/>
        <v>0</v>
      </c>
      <c r="W36" s="687">
        <f t="shared" si="6"/>
        <v>0</v>
      </c>
      <c r="X36" s="346"/>
    </row>
    <row r="37" spans="1:24" s="344" customFormat="1" ht="11.25" customHeight="1" x14ac:dyDescent="0.2">
      <c r="A37" s="347" t="s">
        <v>378</v>
      </c>
      <c r="B37" s="348" t="s">
        <v>424</v>
      </c>
      <c r="C37" s="348" t="s">
        <v>480</v>
      </c>
      <c r="D37" s="357" t="s">
        <v>1324</v>
      </c>
      <c r="E37" s="348" t="s">
        <v>139</v>
      </c>
      <c r="F37" s="349" t="s">
        <v>464</v>
      </c>
      <c r="G37" s="501" t="s">
        <v>1315</v>
      </c>
      <c r="H37" s="688"/>
      <c r="I37" s="357"/>
      <c r="J37" s="684">
        <v>10</v>
      </c>
      <c r="K37" s="684">
        <v>0</v>
      </c>
      <c r="L37" s="685">
        <v>0</v>
      </c>
      <c r="M37" s="683"/>
      <c r="N37" s="357"/>
      <c r="O37" s="357"/>
      <c r="P37" s="357"/>
      <c r="Q37" s="357"/>
      <c r="R37" s="686"/>
      <c r="S37" s="687">
        <f t="shared" si="1"/>
        <v>0</v>
      </c>
      <c r="T37" s="687">
        <f t="shared" si="1"/>
        <v>0</v>
      </c>
      <c r="U37" s="687">
        <f t="shared" si="4"/>
        <v>10</v>
      </c>
      <c r="V37" s="687">
        <f t="shared" si="5"/>
        <v>0</v>
      </c>
      <c r="W37" s="687">
        <f t="shared" si="6"/>
        <v>0</v>
      </c>
      <c r="X37" s="346" t="s">
        <v>1313</v>
      </c>
    </row>
    <row r="38" spans="1:24" s="344" customFormat="1" ht="11.25" customHeight="1" x14ac:dyDescent="0.2">
      <c r="A38" s="347" t="s">
        <v>378</v>
      </c>
      <c r="B38" s="348" t="s">
        <v>424</v>
      </c>
      <c r="C38" s="348" t="s">
        <v>480</v>
      </c>
      <c r="D38" s="357" t="s">
        <v>917</v>
      </c>
      <c r="E38" s="348" t="s">
        <v>918</v>
      </c>
      <c r="F38" s="349" t="s">
        <v>464</v>
      </c>
      <c r="G38" s="364" t="s">
        <v>1315</v>
      </c>
      <c r="H38" s="688"/>
      <c r="I38" s="684"/>
      <c r="J38" s="684"/>
      <c r="K38" s="684"/>
      <c r="L38" s="685">
        <v>0</v>
      </c>
      <c r="M38" s="683"/>
      <c r="N38" s="357"/>
      <c r="O38" s="357"/>
      <c r="P38" s="357"/>
      <c r="Q38" s="357"/>
      <c r="R38" s="686"/>
      <c r="S38" s="687">
        <f t="shared" si="1"/>
        <v>0</v>
      </c>
      <c r="T38" s="687">
        <f t="shared" si="1"/>
        <v>0</v>
      </c>
      <c r="U38" s="687">
        <f t="shared" si="4"/>
        <v>0</v>
      </c>
      <c r="V38" s="687">
        <f t="shared" si="5"/>
        <v>0</v>
      </c>
      <c r="W38" s="687">
        <f t="shared" si="6"/>
        <v>0</v>
      </c>
      <c r="X38" s="346"/>
    </row>
    <row r="39" spans="1:24" s="344" customFormat="1" ht="11.25" customHeight="1" x14ac:dyDescent="0.2">
      <c r="A39" s="347" t="s">
        <v>378</v>
      </c>
      <c r="B39" s="348" t="s">
        <v>1317</v>
      </c>
      <c r="C39" s="348" t="s">
        <v>480</v>
      </c>
      <c r="D39" s="357" t="s">
        <v>1325</v>
      </c>
      <c r="E39" s="348" t="s">
        <v>119</v>
      </c>
      <c r="F39" s="349" t="s">
        <v>464</v>
      </c>
      <c r="G39" s="364"/>
      <c r="H39" s="683">
        <v>62</v>
      </c>
      <c r="I39" s="357">
        <v>62</v>
      </c>
      <c r="J39" s="708"/>
      <c r="K39" s="684">
        <v>0</v>
      </c>
      <c r="L39" s="685">
        <v>0</v>
      </c>
      <c r="M39" s="683"/>
      <c r="N39" s="357"/>
      <c r="O39" s="357"/>
      <c r="P39" s="357"/>
      <c r="Q39" s="357"/>
      <c r="R39" s="686"/>
      <c r="S39" s="687">
        <f t="shared" si="1"/>
        <v>62</v>
      </c>
      <c r="T39" s="687">
        <f t="shared" si="1"/>
        <v>62</v>
      </c>
      <c r="U39" s="687">
        <f t="shared" si="4"/>
        <v>0</v>
      </c>
      <c r="V39" s="687">
        <f t="shared" si="5"/>
        <v>0</v>
      </c>
      <c r="W39" s="687">
        <f t="shared" si="6"/>
        <v>0</v>
      </c>
      <c r="X39" s="346"/>
    </row>
    <row r="40" spans="1:24" s="344" customFormat="1" ht="11.25" customHeight="1" x14ac:dyDescent="0.2">
      <c r="A40" s="347" t="s">
        <v>378</v>
      </c>
      <c r="B40" s="348" t="s">
        <v>1317</v>
      </c>
      <c r="C40" s="348" t="s">
        <v>480</v>
      </c>
      <c r="D40" s="565" t="s">
        <v>1160</v>
      </c>
      <c r="E40" s="348" t="s">
        <v>1168</v>
      </c>
      <c r="F40" s="349" t="s">
        <v>464</v>
      </c>
      <c r="G40" s="364"/>
      <c r="H40" s="683"/>
      <c r="I40" s="357"/>
      <c r="J40" s="684"/>
      <c r="K40" s="684"/>
      <c r="L40" s="685"/>
      <c r="M40" s="683"/>
      <c r="N40" s="357"/>
      <c r="O40" s="357"/>
      <c r="P40" s="357"/>
      <c r="Q40" s="357"/>
      <c r="R40" s="686"/>
      <c r="S40" s="687"/>
      <c r="T40" s="687"/>
      <c r="U40" s="687"/>
      <c r="V40" s="687"/>
      <c r="W40" s="687">
        <f t="shared" si="6"/>
        <v>0</v>
      </c>
      <c r="X40" s="346"/>
    </row>
    <row r="41" spans="1:24" s="344" customFormat="1" ht="11.25" customHeight="1" x14ac:dyDescent="0.2">
      <c r="A41" s="347" t="s">
        <v>378</v>
      </c>
      <c r="B41" s="348" t="s">
        <v>424</v>
      </c>
      <c r="C41" s="348" t="s">
        <v>480</v>
      </c>
      <c r="D41" s="357" t="s">
        <v>88</v>
      </c>
      <c r="E41" s="348" t="s">
        <v>87</v>
      </c>
      <c r="F41" s="349" t="s">
        <v>464</v>
      </c>
      <c r="G41" s="364" t="s">
        <v>1315</v>
      </c>
      <c r="H41" s="688">
        <v>13</v>
      </c>
      <c r="I41" s="357">
        <v>13</v>
      </c>
      <c r="J41" s="684">
        <v>0</v>
      </c>
      <c r="K41" s="684">
        <v>20</v>
      </c>
      <c r="L41" s="685"/>
      <c r="M41" s="683"/>
      <c r="N41" s="357"/>
      <c r="O41" s="357"/>
      <c r="P41" s="357"/>
      <c r="Q41" s="357"/>
      <c r="R41" s="686"/>
      <c r="S41" s="687">
        <f t="shared" si="1"/>
        <v>13</v>
      </c>
      <c r="T41" s="687">
        <f t="shared" si="1"/>
        <v>13</v>
      </c>
      <c r="U41" s="687">
        <f t="shared" si="4"/>
        <v>0</v>
      </c>
      <c r="V41" s="687">
        <f t="shared" si="5"/>
        <v>20</v>
      </c>
      <c r="W41" s="687">
        <f t="shared" si="6"/>
        <v>0</v>
      </c>
      <c r="X41" s="346" t="s">
        <v>1313</v>
      </c>
    </row>
    <row r="42" spans="1:24" s="344" customFormat="1" ht="11.25" customHeight="1" x14ac:dyDescent="0.2">
      <c r="A42" s="347" t="s">
        <v>378</v>
      </c>
      <c r="B42" s="348" t="s">
        <v>424</v>
      </c>
      <c r="C42" s="348" t="s">
        <v>480</v>
      </c>
      <c r="D42" s="357" t="s">
        <v>1162</v>
      </c>
      <c r="E42" s="348" t="s">
        <v>1165</v>
      </c>
      <c r="F42" s="349" t="s">
        <v>464</v>
      </c>
      <c r="G42" s="500" t="s">
        <v>1315</v>
      </c>
      <c r="H42" s="688">
        <v>6</v>
      </c>
      <c r="I42" s="684">
        <v>6</v>
      </c>
      <c r="J42" s="684">
        <v>20</v>
      </c>
      <c r="K42" s="684">
        <v>0</v>
      </c>
      <c r="L42" s="685">
        <v>0</v>
      </c>
      <c r="M42" s="683"/>
      <c r="N42" s="357"/>
      <c r="O42" s="357"/>
      <c r="P42" s="357"/>
      <c r="Q42" s="357"/>
      <c r="R42" s="686"/>
      <c r="S42" s="687">
        <f t="shared" si="1"/>
        <v>6</v>
      </c>
      <c r="T42" s="687">
        <f t="shared" si="1"/>
        <v>6</v>
      </c>
      <c r="U42" s="687">
        <f t="shared" si="4"/>
        <v>20</v>
      </c>
      <c r="V42" s="687">
        <f t="shared" si="5"/>
        <v>0</v>
      </c>
      <c r="W42" s="687">
        <f t="shared" si="6"/>
        <v>0</v>
      </c>
      <c r="X42" s="346"/>
    </row>
    <row r="43" spans="1:24" s="344" customFormat="1" ht="11.25" customHeight="1" x14ac:dyDescent="0.2">
      <c r="A43" s="350" t="s">
        <v>3</v>
      </c>
      <c r="B43" s="351"/>
      <c r="C43" s="351"/>
      <c r="D43" s="352"/>
      <c r="E43" s="353"/>
      <c r="F43" s="354"/>
      <c r="G43" s="507"/>
      <c r="H43" s="355">
        <f t="shared" ref="H43:W43" si="7">SUM(H22:H42)</f>
        <v>91</v>
      </c>
      <c r="I43" s="355">
        <f t="shared" si="7"/>
        <v>144</v>
      </c>
      <c r="J43" s="355">
        <f t="shared" si="7"/>
        <v>82</v>
      </c>
      <c r="K43" s="355">
        <f t="shared" si="7"/>
        <v>121</v>
      </c>
      <c r="L43" s="355">
        <f t="shared" si="7"/>
        <v>0</v>
      </c>
      <c r="M43" s="355">
        <f t="shared" si="7"/>
        <v>5</v>
      </c>
      <c r="N43" s="355">
        <f t="shared" si="7"/>
        <v>53</v>
      </c>
      <c r="O43" s="355">
        <f t="shared" si="7"/>
        <v>0</v>
      </c>
      <c r="P43" s="355">
        <f t="shared" si="7"/>
        <v>41</v>
      </c>
      <c r="Q43" s="355">
        <f t="shared" si="7"/>
        <v>0</v>
      </c>
      <c r="R43" s="355">
        <f t="shared" si="7"/>
        <v>0</v>
      </c>
      <c r="S43" s="355">
        <f t="shared" si="7"/>
        <v>86</v>
      </c>
      <c r="T43" s="355">
        <f t="shared" si="7"/>
        <v>91</v>
      </c>
      <c r="U43" s="355">
        <f t="shared" si="7"/>
        <v>82</v>
      </c>
      <c r="V43" s="355">
        <f t="shared" si="7"/>
        <v>80</v>
      </c>
      <c r="W43" s="355">
        <f t="shared" si="7"/>
        <v>0</v>
      </c>
      <c r="X43" s="346"/>
    </row>
    <row r="44" spans="1:24" s="361" customFormat="1" ht="11.25" customHeight="1" x14ac:dyDescent="0.2">
      <c r="A44" s="347" t="s">
        <v>1326</v>
      </c>
      <c r="B44" s="348" t="s">
        <v>424</v>
      </c>
      <c r="C44" s="348" t="s">
        <v>719</v>
      </c>
      <c r="D44" s="348" t="s">
        <v>1388</v>
      </c>
      <c r="E44" s="348" t="s">
        <v>1046</v>
      </c>
      <c r="F44" s="349" t="s">
        <v>464</v>
      </c>
      <c r="G44" s="498" t="s">
        <v>1481</v>
      </c>
      <c r="H44" s="689">
        <v>7</v>
      </c>
      <c r="I44" s="690">
        <v>7</v>
      </c>
      <c r="J44" s="690">
        <v>0</v>
      </c>
      <c r="K44" s="690">
        <v>0</v>
      </c>
      <c r="L44" s="691">
        <v>0</v>
      </c>
      <c r="M44" s="683"/>
      <c r="N44" s="357"/>
      <c r="O44" s="357"/>
      <c r="P44" s="357"/>
      <c r="Q44" s="357"/>
      <c r="R44" s="686"/>
      <c r="S44" s="687">
        <f t="shared" si="1"/>
        <v>7</v>
      </c>
      <c r="T44" s="687">
        <f t="shared" si="1"/>
        <v>7</v>
      </c>
      <c r="U44" s="687">
        <f t="shared" si="4"/>
        <v>0</v>
      </c>
      <c r="V44" s="687">
        <f t="shared" si="5"/>
        <v>0</v>
      </c>
      <c r="W44" s="687">
        <f t="shared" si="6"/>
        <v>0</v>
      </c>
      <c r="X44" s="360"/>
    </row>
    <row r="45" spans="1:24" s="361" customFormat="1" ht="11.25" customHeight="1" x14ac:dyDescent="0.2">
      <c r="A45" s="350" t="s">
        <v>3</v>
      </c>
      <c r="B45" s="351"/>
      <c r="C45" s="351"/>
      <c r="D45" s="352"/>
      <c r="E45" s="353"/>
      <c r="F45" s="354"/>
      <c r="G45" s="507"/>
      <c r="H45" s="355">
        <f>SUM(H44)</f>
        <v>7</v>
      </c>
      <c r="I45" s="355">
        <f t="shared" ref="I45:W45" si="8">SUM(I44)</f>
        <v>7</v>
      </c>
      <c r="J45" s="355">
        <f t="shared" si="8"/>
        <v>0</v>
      </c>
      <c r="K45" s="355">
        <f t="shared" si="8"/>
        <v>0</v>
      </c>
      <c r="L45" s="355">
        <f t="shared" si="8"/>
        <v>0</v>
      </c>
      <c r="M45" s="355">
        <f t="shared" si="8"/>
        <v>0</v>
      </c>
      <c r="N45" s="355">
        <f t="shared" si="8"/>
        <v>0</v>
      </c>
      <c r="O45" s="355">
        <f t="shared" si="8"/>
        <v>0</v>
      </c>
      <c r="P45" s="355">
        <f t="shared" si="8"/>
        <v>0</v>
      </c>
      <c r="Q45" s="355">
        <f t="shared" si="8"/>
        <v>0</v>
      </c>
      <c r="R45" s="355">
        <f t="shared" si="8"/>
        <v>0</v>
      </c>
      <c r="S45" s="355">
        <f t="shared" si="8"/>
        <v>7</v>
      </c>
      <c r="T45" s="355">
        <f t="shared" si="8"/>
        <v>7</v>
      </c>
      <c r="U45" s="355">
        <f t="shared" si="8"/>
        <v>0</v>
      </c>
      <c r="V45" s="355">
        <f t="shared" si="8"/>
        <v>0</v>
      </c>
      <c r="W45" s="355">
        <f t="shared" si="8"/>
        <v>0</v>
      </c>
      <c r="X45" s="360"/>
    </row>
    <row r="46" spans="1:24" s="344" customFormat="1" ht="11.25" customHeight="1" x14ac:dyDescent="0.2">
      <c r="A46" s="347" t="s">
        <v>1326</v>
      </c>
      <c r="B46" s="348" t="s">
        <v>1343</v>
      </c>
      <c r="C46" s="348" t="s">
        <v>1204</v>
      </c>
      <c r="D46" s="348" t="s">
        <v>1201</v>
      </c>
      <c r="E46" s="348"/>
      <c r="F46" s="349"/>
      <c r="G46" s="364"/>
      <c r="H46" s="689">
        <v>0</v>
      </c>
      <c r="I46" s="690">
        <v>0</v>
      </c>
      <c r="J46" s="690"/>
      <c r="K46" s="690"/>
      <c r="L46" s="691"/>
      <c r="M46" s="683"/>
      <c r="N46" s="357"/>
      <c r="O46" s="357"/>
      <c r="P46" s="357"/>
      <c r="Q46" s="357"/>
      <c r="R46" s="686"/>
      <c r="S46" s="687">
        <f t="shared" si="1"/>
        <v>0</v>
      </c>
      <c r="T46" s="687">
        <f t="shared" si="1"/>
        <v>0</v>
      </c>
      <c r="U46" s="687">
        <f t="shared" si="4"/>
        <v>0</v>
      </c>
      <c r="V46" s="687">
        <f t="shared" si="5"/>
        <v>0</v>
      </c>
      <c r="W46" s="687">
        <f t="shared" si="6"/>
        <v>0</v>
      </c>
      <c r="X46" s="346"/>
    </row>
    <row r="47" spans="1:24" s="361" customFormat="1" ht="11.25" customHeight="1" x14ac:dyDescent="0.2">
      <c r="A47" s="350" t="s">
        <v>3</v>
      </c>
      <c r="B47" s="351"/>
      <c r="C47" s="351"/>
      <c r="D47" s="352"/>
      <c r="E47" s="353"/>
      <c r="F47" s="354"/>
      <c r="G47" s="507"/>
      <c r="H47" s="355">
        <f t="shared" ref="H47:R47" si="9">SUM(H46)</f>
        <v>0</v>
      </c>
      <c r="I47" s="353">
        <f t="shared" si="9"/>
        <v>0</v>
      </c>
      <c r="J47" s="353">
        <f t="shared" si="9"/>
        <v>0</v>
      </c>
      <c r="K47" s="353">
        <f t="shared" si="9"/>
        <v>0</v>
      </c>
      <c r="L47" s="356">
        <f t="shared" si="9"/>
        <v>0</v>
      </c>
      <c r="M47" s="355">
        <f t="shared" si="9"/>
        <v>0</v>
      </c>
      <c r="N47" s="353">
        <f t="shared" si="9"/>
        <v>0</v>
      </c>
      <c r="O47" s="353">
        <f t="shared" si="9"/>
        <v>0</v>
      </c>
      <c r="P47" s="353">
        <f t="shared" si="9"/>
        <v>0</v>
      </c>
      <c r="Q47" s="353">
        <f t="shared" si="9"/>
        <v>0</v>
      </c>
      <c r="R47" s="356">
        <f t="shared" si="9"/>
        <v>0</v>
      </c>
      <c r="S47" s="509">
        <f t="shared" si="1"/>
        <v>0</v>
      </c>
      <c r="T47" s="509">
        <f t="shared" si="1"/>
        <v>0</v>
      </c>
      <c r="U47" s="509">
        <f t="shared" si="4"/>
        <v>0</v>
      </c>
      <c r="V47" s="509">
        <f t="shared" si="5"/>
        <v>0</v>
      </c>
      <c r="W47" s="509">
        <f t="shared" si="6"/>
        <v>0</v>
      </c>
      <c r="X47" s="360"/>
    </row>
    <row r="48" spans="1:24" s="344" customFormat="1" ht="11.25" customHeight="1" x14ac:dyDescent="0.2">
      <c r="A48" s="347" t="s">
        <v>1326</v>
      </c>
      <c r="B48" s="348" t="s">
        <v>424</v>
      </c>
      <c r="C48" s="357" t="s">
        <v>146</v>
      </c>
      <c r="D48" s="357" t="s">
        <v>367</v>
      </c>
      <c r="E48" s="348" t="s">
        <v>381</v>
      </c>
      <c r="F48" s="349" t="s">
        <v>464</v>
      </c>
      <c r="G48" s="500"/>
      <c r="H48" s="688"/>
      <c r="I48" s="684"/>
      <c r="J48" s="684"/>
      <c r="K48" s="357"/>
      <c r="L48" s="685">
        <v>0</v>
      </c>
      <c r="M48" s="683"/>
      <c r="N48" s="357"/>
      <c r="O48" s="357"/>
      <c r="P48" s="357"/>
      <c r="Q48" s="357"/>
      <c r="R48" s="686"/>
      <c r="S48" s="687">
        <f t="shared" si="1"/>
        <v>0</v>
      </c>
      <c r="T48" s="687">
        <f t="shared" si="1"/>
        <v>0</v>
      </c>
      <c r="U48" s="687">
        <f t="shared" si="4"/>
        <v>0</v>
      </c>
      <c r="V48" s="687">
        <f t="shared" si="5"/>
        <v>0</v>
      </c>
      <c r="W48" s="687">
        <f t="shared" si="6"/>
        <v>0</v>
      </c>
      <c r="X48" s="346"/>
    </row>
    <row r="49" spans="1:24" s="344" customFormat="1" ht="11.25" customHeight="1" x14ac:dyDescent="0.2">
      <c r="A49" s="347" t="s">
        <v>1326</v>
      </c>
      <c r="B49" s="348" t="s">
        <v>424</v>
      </c>
      <c r="C49" s="357" t="s">
        <v>146</v>
      </c>
      <c r="D49" s="357" t="s">
        <v>1236</v>
      </c>
      <c r="E49" s="348" t="s">
        <v>1235</v>
      </c>
      <c r="F49" s="349" t="s">
        <v>464</v>
      </c>
      <c r="G49" s="500" t="s">
        <v>1315</v>
      </c>
      <c r="H49" s="688"/>
      <c r="I49" s="684"/>
      <c r="J49" s="684">
        <v>0</v>
      </c>
      <c r="K49" s="357">
        <v>0</v>
      </c>
      <c r="L49" s="685"/>
      <c r="M49" s="683"/>
      <c r="N49" s="357"/>
      <c r="O49" s="357"/>
      <c r="P49" s="357"/>
      <c r="Q49" s="357"/>
      <c r="R49" s="686"/>
      <c r="S49" s="687">
        <f t="shared" si="1"/>
        <v>0</v>
      </c>
      <c r="T49" s="687">
        <f t="shared" si="1"/>
        <v>0</v>
      </c>
      <c r="U49" s="687">
        <f t="shared" si="4"/>
        <v>0</v>
      </c>
      <c r="V49" s="687">
        <f t="shared" si="5"/>
        <v>0</v>
      </c>
      <c r="W49" s="687">
        <f t="shared" si="6"/>
        <v>0</v>
      </c>
      <c r="X49" s="346" t="s">
        <v>1329</v>
      </c>
    </row>
    <row r="50" spans="1:24" s="344" customFormat="1" ht="11.25" customHeight="1" x14ac:dyDescent="0.2">
      <c r="A50" s="347" t="s">
        <v>1326</v>
      </c>
      <c r="B50" s="348" t="s">
        <v>1330</v>
      </c>
      <c r="C50" s="357" t="s">
        <v>146</v>
      </c>
      <c r="D50" s="357" t="s">
        <v>1331</v>
      </c>
      <c r="E50" s="348" t="s">
        <v>382</v>
      </c>
      <c r="F50" s="349" t="s">
        <v>464</v>
      </c>
      <c r="G50" s="365"/>
      <c r="H50" s="688">
        <v>29</v>
      </c>
      <c r="I50" s="684">
        <v>29</v>
      </c>
      <c r="J50" s="684">
        <v>0</v>
      </c>
      <c r="K50" s="684"/>
      <c r="L50" s="685">
        <v>0</v>
      </c>
      <c r="M50" s="683"/>
      <c r="N50" s="357"/>
      <c r="O50" s="357"/>
      <c r="P50" s="357"/>
      <c r="Q50" s="357"/>
      <c r="R50" s="686"/>
      <c r="S50" s="687">
        <f t="shared" si="1"/>
        <v>29</v>
      </c>
      <c r="T50" s="687">
        <f t="shared" si="1"/>
        <v>29</v>
      </c>
      <c r="U50" s="687">
        <f t="shared" si="4"/>
        <v>0</v>
      </c>
      <c r="V50" s="687">
        <f t="shared" si="5"/>
        <v>0</v>
      </c>
      <c r="W50" s="687">
        <f t="shared" si="6"/>
        <v>0</v>
      </c>
      <c r="X50" s="346"/>
    </row>
    <row r="51" spans="1:24" s="344" customFormat="1" ht="11.25" customHeight="1" x14ac:dyDescent="0.2">
      <c r="A51" s="347" t="s">
        <v>1326</v>
      </c>
      <c r="B51" s="348" t="s">
        <v>424</v>
      </c>
      <c r="C51" s="357" t="s">
        <v>146</v>
      </c>
      <c r="D51" s="348" t="s">
        <v>1660</v>
      </c>
      <c r="E51" s="348" t="s">
        <v>383</v>
      </c>
      <c r="F51" s="349" t="s">
        <v>464</v>
      </c>
      <c r="G51" s="500" t="s">
        <v>1481</v>
      </c>
      <c r="H51" s="683">
        <v>7</v>
      </c>
      <c r="I51" s="357">
        <v>7</v>
      </c>
      <c r="J51" s="684"/>
      <c r="K51" s="357"/>
      <c r="L51" s="685">
        <v>0</v>
      </c>
      <c r="M51" s="683"/>
      <c r="N51" s="357"/>
      <c r="O51" s="357"/>
      <c r="P51" s="357"/>
      <c r="Q51" s="357"/>
      <c r="R51" s="686"/>
      <c r="S51" s="687">
        <f t="shared" si="1"/>
        <v>7</v>
      </c>
      <c r="T51" s="687">
        <f t="shared" si="1"/>
        <v>7</v>
      </c>
      <c r="U51" s="687">
        <f t="shared" si="4"/>
        <v>0</v>
      </c>
      <c r="V51" s="687">
        <f t="shared" si="5"/>
        <v>0</v>
      </c>
      <c r="W51" s="687">
        <f t="shared" si="6"/>
        <v>0</v>
      </c>
      <c r="X51" s="346"/>
    </row>
    <row r="52" spans="1:24" s="344" customFormat="1" ht="11.25" customHeight="1" x14ac:dyDescent="0.2">
      <c r="A52" s="347" t="s">
        <v>1326</v>
      </c>
      <c r="B52" s="348" t="s">
        <v>1327</v>
      </c>
      <c r="C52" s="357" t="s">
        <v>146</v>
      </c>
      <c r="D52" s="357" t="s">
        <v>1332</v>
      </c>
      <c r="E52" s="348" t="s">
        <v>1328</v>
      </c>
      <c r="F52" s="349" t="s">
        <v>464</v>
      </c>
      <c r="G52" s="500" t="s">
        <v>1315</v>
      </c>
      <c r="H52" s="683">
        <v>9</v>
      </c>
      <c r="I52" s="357">
        <v>0</v>
      </c>
      <c r="J52" s="684">
        <v>0</v>
      </c>
      <c r="K52" s="357">
        <v>0</v>
      </c>
      <c r="L52" s="685">
        <v>0</v>
      </c>
      <c r="M52" s="683"/>
      <c r="N52" s="357"/>
      <c r="O52" s="357"/>
      <c r="P52" s="357"/>
      <c r="Q52" s="357"/>
      <c r="R52" s="686"/>
      <c r="S52" s="687">
        <f t="shared" si="1"/>
        <v>9</v>
      </c>
      <c r="T52" s="687">
        <f t="shared" si="1"/>
        <v>0</v>
      </c>
      <c r="U52" s="687">
        <f t="shared" si="4"/>
        <v>0</v>
      </c>
      <c r="V52" s="687">
        <f t="shared" si="5"/>
        <v>0</v>
      </c>
      <c r="W52" s="687">
        <f t="shared" si="6"/>
        <v>0</v>
      </c>
      <c r="X52" s="346" t="s">
        <v>1329</v>
      </c>
    </row>
    <row r="53" spans="1:24" s="344" customFormat="1" ht="11.25" customHeight="1" x14ac:dyDescent="0.2">
      <c r="A53" s="347" t="s">
        <v>1326</v>
      </c>
      <c r="B53" s="348" t="s">
        <v>1327</v>
      </c>
      <c r="C53" s="357" t="s">
        <v>146</v>
      </c>
      <c r="D53" s="357" t="s">
        <v>1333</v>
      </c>
      <c r="E53" s="348" t="s">
        <v>1246</v>
      </c>
      <c r="F53" s="349" t="s">
        <v>464</v>
      </c>
      <c r="G53" s="500" t="s">
        <v>1315</v>
      </c>
      <c r="H53" s="683"/>
      <c r="I53" s="357"/>
      <c r="J53" s="684"/>
      <c r="K53" s="357"/>
      <c r="L53" s="685"/>
      <c r="M53" s="683"/>
      <c r="N53" s="357"/>
      <c r="O53" s="357"/>
      <c r="P53" s="357"/>
      <c r="Q53" s="357"/>
      <c r="R53" s="686"/>
      <c r="S53" s="687">
        <f t="shared" si="1"/>
        <v>0</v>
      </c>
      <c r="T53" s="687">
        <f t="shared" si="1"/>
        <v>0</v>
      </c>
      <c r="U53" s="687">
        <f t="shared" si="4"/>
        <v>0</v>
      </c>
      <c r="V53" s="687">
        <f t="shared" si="5"/>
        <v>0</v>
      </c>
      <c r="W53" s="687">
        <f t="shared" si="6"/>
        <v>0</v>
      </c>
      <c r="X53" s="346" t="s">
        <v>1329</v>
      </c>
    </row>
    <row r="54" spans="1:24" s="344" customFormat="1" ht="11.25" customHeight="1" x14ac:dyDescent="0.2">
      <c r="A54" s="347" t="s">
        <v>1326</v>
      </c>
      <c r="B54" s="348" t="s">
        <v>424</v>
      </c>
      <c r="C54" s="357" t="s">
        <v>146</v>
      </c>
      <c r="D54" s="357" t="s">
        <v>1334</v>
      </c>
      <c r="E54" s="348" t="s">
        <v>147</v>
      </c>
      <c r="F54" s="349" t="s">
        <v>464</v>
      </c>
      <c r="G54" s="500"/>
      <c r="H54" s="689"/>
      <c r="I54" s="690">
        <v>0</v>
      </c>
      <c r="J54" s="684">
        <v>0</v>
      </c>
      <c r="K54" s="684"/>
      <c r="L54" s="685">
        <v>0</v>
      </c>
      <c r="M54" s="683"/>
      <c r="N54" s="357"/>
      <c r="O54" s="357"/>
      <c r="P54" s="357"/>
      <c r="Q54" s="357"/>
      <c r="R54" s="686"/>
      <c r="S54" s="687">
        <f t="shared" si="1"/>
        <v>0</v>
      </c>
      <c r="T54" s="687">
        <f t="shared" si="1"/>
        <v>0</v>
      </c>
      <c r="U54" s="687">
        <f t="shared" si="4"/>
        <v>0</v>
      </c>
      <c r="V54" s="687">
        <f t="shared" si="5"/>
        <v>0</v>
      </c>
      <c r="W54" s="687">
        <f t="shared" si="6"/>
        <v>0</v>
      </c>
      <c r="X54" s="346"/>
    </row>
    <row r="55" spans="1:24" s="344" customFormat="1" ht="11.25" customHeight="1" x14ac:dyDescent="0.2">
      <c r="A55" s="347" t="s">
        <v>1326</v>
      </c>
      <c r="B55" s="348" t="s">
        <v>424</v>
      </c>
      <c r="C55" s="357" t="s">
        <v>146</v>
      </c>
      <c r="D55" s="357" t="s">
        <v>149</v>
      </c>
      <c r="E55" s="348" t="s">
        <v>148</v>
      </c>
      <c r="F55" s="349" t="s">
        <v>464</v>
      </c>
      <c r="G55" s="365"/>
      <c r="H55" s="688">
        <v>5</v>
      </c>
      <c r="I55" s="684">
        <v>5</v>
      </c>
      <c r="J55" s="684">
        <v>0</v>
      </c>
      <c r="K55" s="357"/>
      <c r="L55" s="685">
        <v>0</v>
      </c>
      <c r="M55" s="683"/>
      <c r="N55" s="357"/>
      <c r="O55" s="357"/>
      <c r="P55" s="357"/>
      <c r="Q55" s="357"/>
      <c r="R55" s="686"/>
      <c r="S55" s="687">
        <f t="shared" si="1"/>
        <v>5</v>
      </c>
      <c r="T55" s="687">
        <f t="shared" si="1"/>
        <v>5</v>
      </c>
      <c r="U55" s="687">
        <f t="shared" si="4"/>
        <v>0</v>
      </c>
      <c r="V55" s="687">
        <f t="shared" si="5"/>
        <v>0</v>
      </c>
      <c r="W55" s="687">
        <f t="shared" si="6"/>
        <v>0</v>
      </c>
      <c r="X55" s="346"/>
    </row>
    <row r="56" spans="1:24" s="344" customFormat="1" ht="11.25" customHeight="1" x14ac:dyDescent="0.2">
      <c r="A56" s="347" t="s">
        <v>1326</v>
      </c>
      <c r="B56" s="348" t="s">
        <v>424</v>
      </c>
      <c r="C56" s="357" t="s">
        <v>146</v>
      </c>
      <c r="D56" s="348" t="s">
        <v>1661</v>
      </c>
      <c r="E56" s="348" t="s">
        <v>1124</v>
      </c>
      <c r="F56" s="349" t="s">
        <v>464</v>
      </c>
      <c r="G56" s="365"/>
      <c r="H56" s="688">
        <v>108</v>
      </c>
      <c r="I56" s="684">
        <v>108</v>
      </c>
      <c r="J56" s="684"/>
      <c r="K56" s="357"/>
      <c r="L56" s="685"/>
      <c r="M56" s="683"/>
      <c r="N56" s="357"/>
      <c r="O56" s="357"/>
      <c r="P56" s="357"/>
      <c r="Q56" s="357"/>
      <c r="R56" s="686"/>
      <c r="S56" s="687">
        <f t="shared" si="1"/>
        <v>108</v>
      </c>
      <c r="T56" s="687">
        <f t="shared" si="1"/>
        <v>108</v>
      </c>
      <c r="U56" s="687">
        <f t="shared" si="4"/>
        <v>0</v>
      </c>
      <c r="V56" s="687">
        <f t="shared" si="5"/>
        <v>0</v>
      </c>
      <c r="W56" s="687">
        <f t="shared" si="6"/>
        <v>0</v>
      </c>
      <c r="X56" s="346"/>
    </row>
    <row r="57" spans="1:24" s="344" customFormat="1" ht="11.25" customHeight="1" x14ac:dyDescent="0.2">
      <c r="A57" s="347" t="s">
        <v>1326</v>
      </c>
      <c r="B57" s="348" t="s">
        <v>1343</v>
      </c>
      <c r="C57" s="357" t="s">
        <v>146</v>
      </c>
      <c r="D57" s="357" t="s">
        <v>1555</v>
      </c>
      <c r="E57" s="348" t="s">
        <v>1577</v>
      </c>
      <c r="F57" s="349" t="s">
        <v>464</v>
      </c>
      <c r="G57" s="365"/>
      <c r="H57" s="688"/>
      <c r="I57" s="684"/>
      <c r="J57" s="684"/>
      <c r="K57" s="357"/>
      <c r="L57" s="685"/>
      <c r="M57" s="683"/>
      <c r="N57" s="357"/>
      <c r="O57" s="357"/>
      <c r="P57" s="357"/>
      <c r="Q57" s="357"/>
      <c r="R57" s="686"/>
      <c r="S57" s="687">
        <f t="shared" si="1"/>
        <v>0</v>
      </c>
      <c r="T57" s="687">
        <f t="shared" si="1"/>
        <v>0</v>
      </c>
      <c r="U57" s="687">
        <f t="shared" si="4"/>
        <v>0</v>
      </c>
      <c r="V57" s="687">
        <f t="shared" si="5"/>
        <v>0</v>
      </c>
      <c r="W57" s="687">
        <f t="shared" si="6"/>
        <v>0</v>
      </c>
      <c r="X57" s="346"/>
    </row>
    <row r="58" spans="1:24" s="344" customFormat="1" ht="11.25" customHeight="1" x14ac:dyDescent="0.2">
      <c r="A58" s="347" t="s">
        <v>1326</v>
      </c>
      <c r="B58" s="348" t="s">
        <v>1343</v>
      </c>
      <c r="C58" s="357" t="s">
        <v>146</v>
      </c>
      <c r="D58" s="357" t="s">
        <v>1084</v>
      </c>
      <c r="E58" s="348" t="s">
        <v>1085</v>
      </c>
      <c r="F58" s="349" t="s">
        <v>464</v>
      </c>
      <c r="G58" s="365"/>
      <c r="H58" s="688"/>
      <c r="I58" s="684"/>
      <c r="J58" s="684"/>
      <c r="K58" s="357"/>
      <c r="L58" s="685"/>
      <c r="M58" s="683"/>
      <c r="N58" s="357"/>
      <c r="O58" s="357"/>
      <c r="P58" s="357"/>
      <c r="Q58" s="357"/>
      <c r="R58" s="686"/>
      <c r="S58" s="687">
        <f t="shared" si="1"/>
        <v>0</v>
      </c>
      <c r="T58" s="687">
        <f t="shared" si="1"/>
        <v>0</v>
      </c>
      <c r="U58" s="687">
        <f t="shared" si="4"/>
        <v>0</v>
      </c>
      <c r="V58" s="687">
        <f t="shared" si="5"/>
        <v>0</v>
      </c>
      <c r="W58" s="687">
        <f t="shared" si="6"/>
        <v>0</v>
      </c>
      <c r="X58" s="346"/>
    </row>
    <row r="59" spans="1:24" s="344" customFormat="1" ht="11.25" customHeight="1" x14ac:dyDescent="0.2">
      <c r="A59" s="347" t="s">
        <v>1326</v>
      </c>
      <c r="B59" s="348" t="s">
        <v>1330</v>
      </c>
      <c r="C59" s="357" t="s">
        <v>146</v>
      </c>
      <c r="D59" s="357" t="s">
        <v>1135</v>
      </c>
      <c r="E59" s="348" t="s">
        <v>1129</v>
      </c>
      <c r="F59" s="349" t="s">
        <v>464</v>
      </c>
      <c r="G59" s="365"/>
      <c r="H59" s="688"/>
      <c r="I59" s="684"/>
      <c r="J59" s="684"/>
      <c r="K59" s="357"/>
      <c r="L59" s="685"/>
      <c r="M59" s="683"/>
      <c r="N59" s="357"/>
      <c r="O59" s="357"/>
      <c r="P59" s="357"/>
      <c r="Q59" s="357"/>
      <c r="R59" s="686"/>
      <c r="S59" s="687">
        <f t="shared" si="1"/>
        <v>0</v>
      </c>
      <c r="T59" s="687">
        <f t="shared" si="1"/>
        <v>0</v>
      </c>
      <c r="U59" s="687">
        <f t="shared" si="4"/>
        <v>0</v>
      </c>
      <c r="V59" s="687">
        <f t="shared" si="5"/>
        <v>0</v>
      </c>
      <c r="W59" s="687">
        <f t="shared" si="6"/>
        <v>0</v>
      </c>
      <c r="X59" s="346"/>
    </row>
    <row r="60" spans="1:24" s="344" customFormat="1" ht="11.25" customHeight="1" x14ac:dyDescent="0.2">
      <c r="A60" s="347" t="s">
        <v>1326</v>
      </c>
      <c r="B60" s="348" t="s">
        <v>424</v>
      </c>
      <c r="C60" s="357" t="s">
        <v>146</v>
      </c>
      <c r="D60" s="357" t="s">
        <v>1335</v>
      </c>
      <c r="E60" s="348" t="s">
        <v>839</v>
      </c>
      <c r="F60" s="349" t="s">
        <v>464</v>
      </c>
      <c r="G60" s="365" t="s">
        <v>1481</v>
      </c>
      <c r="H60" s="683">
        <v>12</v>
      </c>
      <c r="I60" s="357">
        <v>12</v>
      </c>
      <c r="J60" s="684">
        <v>0</v>
      </c>
      <c r="K60" s="684">
        <v>0</v>
      </c>
      <c r="L60" s="685">
        <v>0</v>
      </c>
      <c r="M60" s="683"/>
      <c r="N60" s="357"/>
      <c r="O60" s="357"/>
      <c r="P60" s="357"/>
      <c r="Q60" s="357"/>
      <c r="R60" s="686"/>
      <c r="S60" s="687">
        <f t="shared" si="1"/>
        <v>12</v>
      </c>
      <c r="T60" s="687">
        <f t="shared" si="1"/>
        <v>12</v>
      </c>
      <c r="U60" s="687">
        <f t="shared" si="4"/>
        <v>0</v>
      </c>
      <c r="V60" s="687">
        <f t="shared" si="5"/>
        <v>0</v>
      </c>
      <c r="W60" s="687">
        <f t="shared" si="6"/>
        <v>0</v>
      </c>
      <c r="X60" s="346"/>
    </row>
    <row r="61" spans="1:24" s="344" customFormat="1" ht="11.25" customHeight="1" x14ac:dyDescent="0.2">
      <c r="A61" s="347" t="s">
        <v>1326</v>
      </c>
      <c r="B61" s="348" t="s">
        <v>1330</v>
      </c>
      <c r="C61" s="357" t="s">
        <v>146</v>
      </c>
      <c r="D61" s="357" t="s">
        <v>945</v>
      </c>
      <c r="E61" s="348" t="s">
        <v>944</v>
      </c>
      <c r="F61" s="349" t="s">
        <v>464</v>
      </c>
      <c r="G61" s="498"/>
      <c r="H61" s="689"/>
      <c r="I61" s="690"/>
      <c r="J61" s="690">
        <v>0</v>
      </c>
      <c r="K61" s="690">
        <v>10</v>
      </c>
      <c r="L61" s="691"/>
      <c r="M61" s="683"/>
      <c r="N61" s="357"/>
      <c r="O61" s="357"/>
      <c r="P61" s="357">
        <v>10</v>
      </c>
      <c r="Q61" s="357"/>
      <c r="R61" s="686" t="s">
        <v>1630</v>
      </c>
      <c r="S61" s="687">
        <f t="shared" si="1"/>
        <v>0</v>
      </c>
      <c r="T61" s="687">
        <f t="shared" si="1"/>
        <v>0</v>
      </c>
      <c r="U61" s="687">
        <f t="shared" si="4"/>
        <v>0</v>
      </c>
      <c r="V61" s="687">
        <f t="shared" si="5"/>
        <v>0</v>
      </c>
      <c r="W61" s="687">
        <f t="shared" si="6"/>
        <v>0</v>
      </c>
      <c r="X61" s="346"/>
    </row>
    <row r="62" spans="1:24" s="344" customFormat="1" ht="11.25" customHeight="1" x14ac:dyDescent="0.2">
      <c r="A62" s="350" t="s">
        <v>3</v>
      </c>
      <c r="B62" s="351"/>
      <c r="C62" s="351"/>
      <c r="D62" s="352"/>
      <c r="E62" s="353"/>
      <c r="F62" s="354"/>
      <c r="G62" s="507"/>
      <c r="H62" s="355">
        <f>SUM(H48:H61)</f>
        <v>170</v>
      </c>
      <c r="I62" s="355">
        <f t="shared" ref="I62:W62" si="10">SUM(I48:I61)</f>
        <v>161</v>
      </c>
      <c r="J62" s="355">
        <f t="shared" si="10"/>
        <v>0</v>
      </c>
      <c r="K62" s="355">
        <f t="shared" si="10"/>
        <v>10</v>
      </c>
      <c r="L62" s="355">
        <f t="shared" si="10"/>
        <v>0</v>
      </c>
      <c r="M62" s="355">
        <f t="shared" si="10"/>
        <v>0</v>
      </c>
      <c r="N62" s="355">
        <f t="shared" si="10"/>
        <v>0</v>
      </c>
      <c r="O62" s="355">
        <f t="shared" si="10"/>
        <v>0</v>
      </c>
      <c r="P62" s="355">
        <f t="shared" si="10"/>
        <v>10</v>
      </c>
      <c r="Q62" s="355">
        <f t="shared" si="10"/>
        <v>0</v>
      </c>
      <c r="R62" s="355">
        <f t="shared" si="10"/>
        <v>0</v>
      </c>
      <c r="S62" s="355">
        <f t="shared" si="10"/>
        <v>170</v>
      </c>
      <c r="T62" s="355">
        <f t="shared" si="10"/>
        <v>161</v>
      </c>
      <c r="U62" s="355">
        <f t="shared" si="10"/>
        <v>0</v>
      </c>
      <c r="V62" s="355">
        <f t="shared" si="10"/>
        <v>0</v>
      </c>
      <c r="W62" s="355">
        <f t="shared" si="10"/>
        <v>0</v>
      </c>
      <c r="X62" s="346"/>
    </row>
    <row r="63" spans="1:24" s="344" customFormat="1" ht="11.25" customHeight="1" x14ac:dyDescent="0.2">
      <c r="A63" s="347" t="s">
        <v>378</v>
      </c>
      <c r="B63" s="348" t="s">
        <v>1311</v>
      </c>
      <c r="C63" s="348" t="s">
        <v>151</v>
      </c>
      <c r="D63" s="362" t="s">
        <v>1336</v>
      </c>
      <c r="E63" s="358" t="s">
        <v>187</v>
      </c>
      <c r="F63" s="363" t="s">
        <v>466</v>
      </c>
      <c r="G63" s="501"/>
      <c r="H63" s="707"/>
      <c r="I63" s="357">
        <v>0</v>
      </c>
      <c r="J63" s="708">
        <v>0</v>
      </c>
      <c r="K63" s="708">
        <v>0</v>
      </c>
      <c r="L63" s="685"/>
      <c r="M63" s="683"/>
      <c r="N63" s="357"/>
      <c r="O63" s="357"/>
      <c r="P63" s="357"/>
      <c r="Q63" s="357"/>
      <c r="R63" s="686"/>
      <c r="S63" s="687">
        <f t="shared" si="1"/>
        <v>0</v>
      </c>
      <c r="T63" s="687">
        <f t="shared" si="1"/>
        <v>0</v>
      </c>
      <c r="U63" s="687">
        <f t="shared" si="4"/>
        <v>0</v>
      </c>
      <c r="V63" s="687">
        <f t="shared" si="5"/>
        <v>0</v>
      </c>
      <c r="W63" s="687">
        <f t="shared" si="6"/>
        <v>0</v>
      </c>
      <c r="X63" s="346"/>
    </row>
    <row r="64" spans="1:24" s="344" customFormat="1" ht="11.25" customHeight="1" x14ac:dyDescent="0.2">
      <c r="A64" s="347" t="s">
        <v>378</v>
      </c>
      <c r="B64" s="348" t="s">
        <v>424</v>
      </c>
      <c r="C64" s="348" t="s">
        <v>151</v>
      </c>
      <c r="D64" s="357" t="s">
        <v>1337</v>
      </c>
      <c r="E64" s="348" t="s">
        <v>813</v>
      </c>
      <c r="F64" s="349" t="s">
        <v>464</v>
      </c>
      <c r="G64" s="498" t="s">
        <v>1481</v>
      </c>
      <c r="H64" s="688">
        <v>30</v>
      </c>
      <c r="I64" s="357">
        <v>30</v>
      </c>
      <c r="J64" s="684">
        <v>0</v>
      </c>
      <c r="K64" s="684">
        <v>0</v>
      </c>
      <c r="L64" s="685">
        <v>0</v>
      </c>
      <c r="M64" s="683">
        <v>30</v>
      </c>
      <c r="N64" s="357">
        <v>30</v>
      </c>
      <c r="O64" s="357"/>
      <c r="P64" s="357"/>
      <c r="Q64" s="357"/>
      <c r="R64" s="686" t="s">
        <v>1643</v>
      </c>
      <c r="S64" s="687">
        <f t="shared" si="1"/>
        <v>0</v>
      </c>
      <c r="T64" s="687">
        <f t="shared" si="1"/>
        <v>0</v>
      </c>
      <c r="U64" s="687">
        <f t="shared" si="4"/>
        <v>0</v>
      </c>
      <c r="V64" s="687">
        <f t="shared" si="5"/>
        <v>0</v>
      </c>
      <c r="W64" s="687">
        <f t="shared" si="6"/>
        <v>0</v>
      </c>
      <c r="X64" s="346"/>
    </row>
    <row r="65" spans="1:24" s="344" customFormat="1" ht="11.25" customHeight="1" x14ac:dyDescent="0.2">
      <c r="A65" s="347" t="s">
        <v>378</v>
      </c>
      <c r="B65" s="348" t="s">
        <v>1311</v>
      </c>
      <c r="C65" s="348" t="s">
        <v>151</v>
      </c>
      <c r="D65" s="357" t="s">
        <v>849</v>
      </c>
      <c r="E65" s="348" t="s">
        <v>848</v>
      </c>
      <c r="F65" s="349" t="s">
        <v>464</v>
      </c>
      <c r="G65" s="498"/>
      <c r="H65" s="688">
        <v>0</v>
      </c>
      <c r="I65" s="684">
        <v>0</v>
      </c>
      <c r="J65" s="708">
        <v>0</v>
      </c>
      <c r="K65" s="708"/>
      <c r="L65" s="685">
        <v>0</v>
      </c>
      <c r="M65" s="683"/>
      <c r="N65" s="357"/>
      <c r="O65" s="357"/>
      <c r="P65" s="357"/>
      <c r="Q65" s="357"/>
      <c r="R65" s="686"/>
      <c r="S65" s="687">
        <f t="shared" si="1"/>
        <v>0</v>
      </c>
      <c r="T65" s="687">
        <f t="shared" si="1"/>
        <v>0</v>
      </c>
      <c r="U65" s="687">
        <f t="shared" si="4"/>
        <v>0</v>
      </c>
      <c r="V65" s="687">
        <f t="shared" si="5"/>
        <v>0</v>
      </c>
      <c r="W65" s="687">
        <f t="shared" si="6"/>
        <v>0</v>
      </c>
      <c r="X65" s="346" t="s">
        <v>1338</v>
      </c>
    </row>
    <row r="66" spans="1:24" s="344" customFormat="1" ht="11.25" customHeight="1" x14ac:dyDescent="0.2">
      <c r="A66" s="347" t="s">
        <v>378</v>
      </c>
      <c r="B66" s="348" t="s">
        <v>424</v>
      </c>
      <c r="C66" s="348" t="s">
        <v>151</v>
      </c>
      <c r="D66" s="357" t="s">
        <v>160</v>
      </c>
      <c r="E66" s="348" t="s">
        <v>159</v>
      </c>
      <c r="F66" s="349" t="s">
        <v>464</v>
      </c>
      <c r="G66" s="498"/>
      <c r="H66" s="683">
        <v>21</v>
      </c>
      <c r="I66" s="357">
        <v>100</v>
      </c>
      <c r="J66" s="357">
        <v>83</v>
      </c>
      <c r="K66" s="684">
        <v>0</v>
      </c>
      <c r="L66" s="685">
        <v>1</v>
      </c>
      <c r="M66" s="683"/>
      <c r="N66" s="357"/>
      <c r="O66" s="357"/>
      <c r="P66" s="357"/>
      <c r="Q66" s="357"/>
      <c r="R66" s="686"/>
      <c r="S66" s="687">
        <f t="shared" si="1"/>
        <v>21</v>
      </c>
      <c r="T66" s="687">
        <f t="shared" si="1"/>
        <v>100</v>
      </c>
      <c r="U66" s="687">
        <f t="shared" si="4"/>
        <v>83</v>
      </c>
      <c r="V66" s="687">
        <f t="shared" si="5"/>
        <v>0</v>
      </c>
      <c r="W66" s="687">
        <f t="shared" si="6"/>
        <v>1</v>
      </c>
      <c r="X66" s="346"/>
    </row>
    <row r="67" spans="1:24" s="344" customFormat="1" ht="11.25" customHeight="1" x14ac:dyDescent="0.2">
      <c r="A67" s="347" t="s">
        <v>378</v>
      </c>
      <c r="B67" s="348" t="s">
        <v>1311</v>
      </c>
      <c r="C67" s="348" t="s">
        <v>151</v>
      </c>
      <c r="D67" s="357" t="s">
        <v>1339</v>
      </c>
      <c r="E67" s="348" t="s">
        <v>153</v>
      </c>
      <c r="F67" s="349" t="s">
        <v>464</v>
      </c>
      <c r="G67" s="498"/>
      <c r="H67" s="683">
        <v>200</v>
      </c>
      <c r="I67" s="357">
        <v>200</v>
      </c>
      <c r="J67" s="684">
        <v>0</v>
      </c>
      <c r="K67" s="357">
        <v>0</v>
      </c>
      <c r="L67" s="685">
        <v>0</v>
      </c>
      <c r="M67" s="683">
        <v>200</v>
      </c>
      <c r="N67" s="357">
        <v>200</v>
      </c>
      <c r="O67" s="357"/>
      <c r="P67" s="357"/>
      <c r="Q67" s="357"/>
      <c r="R67" s="686" t="s">
        <v>1594</v>
      </c>
      <c r="S67" s="687">
        <f t="shared" si="1"/>
        <v>0</v>
      </c>
      <c r="T67" s="687">
        <f t="shared" si="1"/>
        <v>0</v>
      </c>
      <c r="U67" s="687">
        <f t="shared" si="4"/>
        <v>0</v>
      </c>
      <c r="V67" s="687">
        <f t="shared" si="5"/>
        <v>0</v>
      </c>
      <c r="W67" s="687" t="s">
        <v>1595</v>
      </c>
      <c r="X67" s="346" t="s">
        <v>1608</v>
      </c>
    </row>
    <row r="68" spans="1:24" s="344" customFormat="1" ht="11.25" customHeight="1" x14ac:dyDescent="0.2">
      <c r="A68" s="347" t="s">
        <v>378</v>
      </c>
      <c r="B68" s="348" t="s">
        <v>1311</v>
      </c>
      <c r="C68" s="348" t="s">
        <v>151</v>
      </c>
      <c r="D68" s="357" t="s">
        <v>1340</v>
      </c>
      <c r="E68" s="348" t="s">
        <v>914</v>
      </c>
      <c r="F68" s="349" t="s">
        <v>464</v>
      </c>
      <c r="G68" s="498"/>
      <c r="H68" s="683"/>
      <c r="I68" s="357">
        <v>0</v>
      </c>
      <c r="J68" s="684">
        <v>0</v>
      </c>
      <c r="K68" s="357"/>
      <c r="L68" s="685">
        <v>0</v>
      </c>
      <c r="M68" s="683"/>
      <c r="N68" s="357"/>
      <c r="O68" s="357"/>
      <c r="P68" s="357"/>
      <c r="Q68" s="357"/>
      <c r="R68" s="686"/>
      <c r="S68" s="687">
        <f t="shared" si="1"/>
        <v>0</v>
      </c>
      <c r="T68" s="687">
        <f t="shared" si="1"/>
        <v>0</v>
      </c>
      <c r="U68" s="687">
        <f t="shared" si="4"/>
        <v>0</v>
      </c>
      <c r="V68" s="687">
        <f t="shared" si="5"/>
        <v>0</v>
      </c>
      <c r="W68" s="687">
        <f t="shared" si="6"/>
        <v>0</v>
      </c>
      <c r="X68" s="346"/>
    </row>
    <row r="69" spans="1:24" s="344" customFormat="1" ht="11.25" customHeight="1" x14ac:dyDescent="0.2">
      <c r="A69" s="347" t="s">
        <v>378</v>
      </c>
      <c r="B69" s="348" t="s">
        <v>424</v>
      </c>
      <c r="C69" s="348" t="s">
        <v>151</v>
      </c>
      <c r="D69" s="362" t="s">
        <v>152</v>
      </c>
      <c r="E69" s="358" t="s">
        <v>150</v>
      </c>
      <c r="F69" s="349" t="s">
        <v>464</v>
      </c>
      <c r="G69" s="501"/>
      <c r="H69" s="688">
        <v>5</v>
      </c>
      <c r="I69" s="357">
        <v>5</v>
      </c>
      <c r="J69" s="357">
        <v>20</v>
      </c>
      <c r="K69" s="684">
        <v>0</v>
      </c>
      <c r="L69" s="685">
        <v>0</v>
      </c>
      <c r="M69" s="683"/>
      <c r="N69" s="357"/>
      <c r="O69" s="357"/>
      <c r="P69" s="357"/>
      <c r="Q69" s="357"/>
      <c r="R69" s="686"/>
      <c r="S69" s="687">
        <f t="shared" si="1"/>
        <v>5</v>
      </c>
      <c r="T69" s="687">
        <f t="shared" si="1"/>
        <v>5</v>
      </c>
      <c r="U69" s="687">
        <f t="shared" si="4"/>
        <v>20</v>
      </c>
      <c r="V69" s="687">
        <f t="shared" si="5"/>
        <v>0</v>
      </c>
      <c r="W69" s="687">
        <f t="shared" si="6"/>
        <v>0</v>
      </c>
      <c r="X69" s="346"/>
    </row>
    <row r="70" spans="1:24" s="344" customFormat="1" ht="11.25" customHeight="1" x14ac:dyDescent="0.2">
      <c r="A70" s="347" t="s">
        <v>378</v>
      </c>
      <c r="B70" s="348" t="s">
        <v>1311</v>
      </c>
      <c r="C70" s="348" t="s">
        <v>151</v>
      </c>
      <c r="D70" s="357" t="s">
        <v>1341</v>
      </c>
      <c r="E70" s="348" t="s">
        <v>197</v>
      </c>
      <c r="F70" s="349" t="s">
        <v>466</v>
      </c>
      <c r="G70" s="498"/>
      <c r="H70" s="683">
        <v>267</v>
      </c>
      <c r="I70" s="357">
        <v>267</v>
      </c>
      <c r="J70" s="357">
        <v>0</v>
      </c>
      <c r="K70" s="357">
        <v>0</v>
      </c>
      <c r="L70" s="685">
        <v>0</v>
      </c>
      <c r="M70" s="683">
        <f>231+36</f>
        <v>267</v>
      </c>
      <c r="N70" s="357">
        <f>231+36</f>
        <v>267</v>
      </c>
      <c r="O70" s="357"/>
      <c r="P70" s="357"/>
      <c r="Q70" s="357"/>
      <c r="R70" s="686" t="s">
        <v>1639</v>
      </c>
      <c r="S70" s="687">
        <f t="shared" ref="S70:T132" si="11">H70-M70</f>
        <v>0</v>
      </c>
      <c r="T70" s="687">
        <f t="shared" si="11"/>
        <v>0</v>
      </c>
      <c r="U70" s="687">
        <f t="shared" si="4"/>
        <v>0</v>
      </c>
      <c r="V70" s="687">
        <f t="shared" si="5"/>
        <v>0</v>
      </c>
      <c r="W70" s="687">
        <f t="shared" si="6"/>
        <v>0</v>
      </c>
      <c r="X70" s="346" t="s">
        <v>1637</v>
      </c>
    </row>
    <row r="71" spans="1:24" s="344" customFormat="1" ht="11.25" customHeight="1" x14ac:dyDescent="0.2">
      <c r="A71" s="347" t="s">
        <v>378</v>
      </c>
      <c r="B71" s="348" t="s">
        <v>424</v>
      </c>
      <c r="C71" s="348" t="s">
        <v>151</v>
      </c>
      <c r="D71" s="362" t="s">
        <v>1342</v>
      </c>
      <c r="E71" s="348" t="s">
        <v>941</v>
      </c>
      <c r="F71" s="349" t="s">
        <v>464</v>
      </c>
      <c r="G71" s="501"/>
      <c r="H71" s="683"/>
      <c r="I71" s="357"/>
      <c r="J71" s="357">
        <v>0</v>
      </c>
      <c r="K71" s="684">
        <v>0</v>
      </c>
      <c r="L71" s="685">
        <v>0</v>
      </c>
      <c r="M71" s="683"/>
      <c r="N71" s="357"/>
      <c r="O71" s="357"/>
      <c r="P71" s="357"/>
      <c r="Q71" s="357"/>
      <c r="R71" s="686"/>
      <c r="S71" s="687">
        <f t="shared" si="11"/>
        <v>0</v>
      </c>
      <c r="T71" s="687">
        <f t="shared" si="11"/>
        <v>0</v>
      </c>
      <c r="U71" s="687">
        <f t="shared" si="4"/>
        <v>0</v>
      </c>
      <c r="V71" s="687">
        <f t="shared" si="5"/>
        <v>0</v>
      </c>
      <c r="W71" s="687">
        <f t="shared" si="6"/>
        <v>0</v>
      </c>
      <c r="X71" s="346"/>
    </row>
    <row r="72" spans="1:24" s="344" customFormat="1" ht="11.25" customHeight="1" x14ac:dyDescent="0.2">
      <c r="A72" s="350" t="s">
        <v>3</v>
      </c>
      <c r="B72" s="351"/>
      <c r="C72" s="351"/>
      <c r="D72" s="352"/>
      <c r="E72" s="353"/>
      <c r="F72" s="354"/>
      <c r="G72" s="507"/>
      <c r="H72" s="355">
        <f>SUM(H63:H71)</f>
        <v>523</v>
      </c>
      <c r="I72" s="355">
        <f t="shared" ref="I72:V72" si="12">SUM(I63:I71)</f>
        <v>602</v>
      </c>
      <c r="J72" s="355">
        <f t="shared" si="12"/>
        <v>103</v>
      </c>
      <c r="K72" s="355">
        <f t="shared" si="12"/>
        <v>0</v>
      </c>
      <c r="L72" s="355">
        <f t="shared" si="12"/>
        <v>1</v>
      </c>
      <c r="M72" s="355">
        <f t="shared" si="12"/>
        <v>497</v>
      </c>
      <c r="N72" s="355">
        <f t="shared" si="12"/>
        <v>497</v>
      </c>
      <c r="O72" s="355">
        <f t="shared" si="12"/>
        <v>0</v>
      </c>
      <c r="P72" s="355">
        <f t="shared" si="12"/>
        <v>0</v>
      </c>
      <c r="Q72" s="355">
        <f t="shared" si="12"/>
        <v>0</v>
      </c>
      <c r="R72" s="355">
        <f t="shared" si="12"/>
        <v>0</v>
      </c>
      <c r="S72" s="355">
        <f t="shared" si="12"/>
        <v>26</v>
      </c>
      <c r="T72" s="355">
        <f t="shared" si="12"/>
        <v>105</v>
      </c>
      <c r="U72" s="355">
        <f t="shared" si="12"/>
        <v>103</v>
      </c>
      <c r="V72" s="355">
        <f t="shared" si="12"/>
        <v>0</v>
      </c>
      <c r="W72" s="355">
        <f>SUM(W63:W71)</f>
        <v>1</v>
      </c>
      <c r="X72" s="346"/>
    </row>
    <row r="73" spans="1:24" s="344" customFormat="1" ht="11.25" customHeight="1" x14ac:dyDescent="0.2">
      <c r="A73" s="347" t="s">
        <v>1326</v>
      </c>
      <c r="B73" s="348" t="s">
        <v>424</v>
      </c>
      <c r="C73" s="348" t="s">
        <v>166</v>
      </c>
      <c r="D73" s="348" t="s">
        <v>167</v>
      </c>
      <c r="E73" s="348" t="s">
        <v>279</v>
      </c>
      <c r="F73" s="349" t="s">
        <v>464</v>
      </c>
      <c r="G73" s="498"/>
      <c r="H73" s="688">
        <v>0</v>
      </c>
      <c r="I73" s="357">
        <v>0</v>
      </c>
      <c r="J73" s="357"/>
      <c r="K73" s="684"/>
      <c r="L73" s="685">
        <v>0</v>
      </c>
      <c r="M73" s="683"/>
      <c r="N73" s="357"/>
      <c r="O73" s="357"/>
      <c r="P73" s="357"/>
      <c r="Q73" s="357"/>
      <c r="R73" s="686"/>
      <c r="S73" s="687">
        <f t="shared" si="11"/>
        <v>0</v>
      </c>
      <c r="T73" s="687">
        <f t="shared" si="11"/>
        <v>0</v>
      </c>
      <c r="U73" s="687">
        <f t="shared" si="4"/>
        <v>0</v>
      </c>
      <c r="V73" s="687">
        <f t="shared" si="5"/>
        <v>0</v>
      </c>
      <c r="W73" s="687">
        <f t="shared" si="6"/>
        <v>0</v>
      </c>
      <c r="X73" s="346"/>
    </row>
    <row r="74" spans="1:24" s="344" customFormat="1" ht="11.25" customHeight="1" x14ac:dyDescent="0.2">
      <c r="A74" s="347" t="s">
        <v>1326</v>
      </c>
      <c r="B74" s="348" t="s">
        <v>1343</v>
      </c>
      <c r="C74" s="348" t="s">
        <v>166</v>
      </c>
      <c r="D74" s="348" t="s">
        <v>1144</v>
      </c>
      <c r="E74" s="348" t="s">
        <v>1126</v>
      </c>
      <c r="F74" s="349" t="s">
        <v>464</v>
      </c>
      <c r="G74" s="498"/>
      <c r="H74" s="688">
        <v>4</v>
      </c>
      <c r="I74" s="357">
        <v>0</v>
      </c>
      <c r="J74" s="357">
        <v>0</v>
      </c>
      <c r="K74" s="684">
        <v>0</v>
      </c>
      <c r="L74" s="685">
        <v>0</v>
      </c>
      <c r="M74" s="683"/>
      <c r="N74" s="357"/>
      <c r="O74" s="357"/>
      <c r="P74" s="357"/>
      <c r="Q74" s="357"/>
      <c r="R74" s="686"/>
      <c r="S74" s="687">
        <f t="shared" si="11"/>
        <v>4</v>
      </c>
      <c r="T74" s="687">
        <f t="shared" si="11"/>
        <v>0</v>
      </c>
      <c r="U74" s="687">
        <f t="shared" si="4"/>
        <v>0</v>
      </c>
      <c r="V74" s="687">
        <f t="shared" si="5"/>
        <v>0</v>
      </c>
      <c r="W74" s="687">
        <f t="shared" si="6"/>
        <v>0</v>
      </c>
      <c r="X74" s="346"/>
    </row>
    <row r="75" spans="1:24" s="344" customFormat="1" ht="11.25" customHeight="1" x14ac:dyDescent="0.2">
      <c r="A75" s="347" t="s">
        <v>1326</v>
      </c>
      <c r="B75" s="348" t="s">
        <v>1330</v>
      </c>
      <c r="C75" s="348" t="s">
        <v>166</v>
      </c>
      <c r="D75" s="348" t="s">
        <v>1344</v>
      </c>
      <c r="E75" s="348" t="s">
        <v>762</v>
      </c>
      <c r="F75" s="349" t="s">
        <v>464</v>
      </c>
      <c r="G75" s="498"/>
      <c r="H75" s="688"/>
      <c r="I75" s="357"/>
      <c r="J75" s="357">
        <v>0</v>
      </c>
      <c r="K75" s="684">
        <v>20</v>
      </c>
      <c r="L75" s="685">
        <v>0</v>
      </c>
      <c r="M75" s="683"/>
      <c r="N75" s="357"/>
      <c r="O75" s="357"/>
      <c r="P75" s="357">
        <v>20</v>
      </c>
      <c r="Q75" s="357"/>
      <c r="R75" s="686" t="s">
        <v>1630</v>
      </c>
      <c r="S75" s="687">
        <f t="shared" si="11"/>
        <v>0</v>
      </c>
      <c r="T75" s="687">
        <f t="shared" si="11"/>
        <v>0</v>
      </c>
      <c r="U75" s="687">
        <f t="shared" si="4"/>
        <v>0</v>
      </c>
      <c r="V75" s="687">
        <f t="shared" si="5"/>
        <v>0</v>
      </c>
      <c r="W75" s="687">
        <f t="shared" si="6"/>
        <v>0</v>
      </c>
      <c r="X75" s="346"/>
    </row>
    <row r="76" spans="1:24" s="344" customFormat="1" ht="11.25" customHeight="1" x14ac:dyDescent="0.2">
      <c r="A76" s="350" t="s">
        <v>3</v>
      </c>
      <c r="B76" s="351"/>
      <c r="C76" s="351"/>
      <c r="D76" s="352"/>
      <c r="E76" s="353"/>
      <c r="F76" s="354"/>
      <c r="G76" s="507"/>
      <c r="H76" s="355">
        <f>SUM(H73:H75)</f>
        <v>4</v>
      </c>
      <c r="I76" s="355">
        <f t="shared" ref="I76:W76" si="13">SUM(I73:I75)</f>
        <v>0</v>
      </c>
      <c r="J76" s="355">
        <f t="shared" si="13"/>
        <v>0</v>
      </c>
      <c r="K76" s="355">
        <f t="shared" si="13"/>
        <v>20</v>
      </c>
      <c r="L76" s="355">
        <f t="shared" si="13"/>
        <v>0</v>
      </c>
      <c r="M76" s="355">
        <f t="shared" si="13"/>
        <v>0</v>
      </c>
      <c r="N76" s="355">
        <f t="shared" si="13"/>
        <v>0</v>
      </c>
      <c r="O76" s="355">
        <f t="shared" si="13"/>
        <v>0</v>
      </c>
      <c r="P76" s="355">
        <f t="shared" si="13"/>
        <v>20</v>
      </c>
      <c r="Q76" s="355">
        <f t="shared" si="13"/>
        <v>0</v>
      </c>
      <c r="R76" s="355">
        <f t="shared" si="13"/>
        <v>0</v>
      </c>
      <c r="S76" s="355">
        <f t="shared" si="13"/>
        <v>4</v>
      </c>
      <c r="T76" s="355">
        <f t="shared" si="13"/>
        <v>0</v>
      </c>
      <c r="U76" s="355">
        <f t="shared" si="13"/>
        <v>0</v>
      </c>
      <c r="V76" s="355">
        <f t="shared" si="13"/>
        <v>0</v>
      </c>
      <c r="W76" s="355">
        <f t="shared" si="13"/>
        <v>0</v>
      </c>
      <c r="X76" s="346"/>
    </row>
    <row r="77" spans="1:24" s="344" customFormat="1" ht="11.25" customHeight="1" x14ac:dyDescent="0.2">
      <c r="A77" s="347" t="s">
        <v>378</v>
      </c>
      <c r="B77" s="348" t="s">
        <v>424</v>
      </c>
      <c r="C77" s="348" t="s">
        <v>173</v>
      </c>
      <c r="D77" s="357" t="s">
        <v>1345</v>
      </c>
      <c r="E77" s="348" t="s">
        <v>172</v>
      </c>
      <c r="F77" s="349" t="s">
        <v>464</v>
      </c>
      <c r="G77" s="498" t="s">
        <v>1315</v>
      </c>
      <c r="H77" s="688"/>
      <c r="I77" s="684"/>
      <c r="J77" s="684">
        <v>0</v>
      </c>
      <c r="K77" s="684">
        <v>10</v>
      </c>
      <c r="L77" s="685">
        <v>0</v>
      </c>
      <c r="M77" s="683"/>
      <c r="N77" s="357"/>
      <c r="O77" s="357"/>
      <c r="P77" s="357"/>
      <c r="Q77" s="357"/>
      <c r="R77" s="686"/>
      <c r="S77" s="687">
        <f t="shared" si="11"/>
        <v>0</v>
      </c>
      <c r="T77" s="687">
        <f t="shared" si="11"/>
        <v>0</v>
      </c>
      <c r="U77" s="687">
        <f t="shared" si="4"/>
        <v>0</v>
      </c>
      <c r="V77" s="687">
        <f t="shared" si="5"/>
        <v>10</v>
      </c>
      <c r="W77" s="687">
        <f t="shared" si="6"/>
        <v>0</v>
      </c>
      <c r="X77" s="346" t="s">
        <v>1346</v>
      </c>
    </row>
    <row r="78" spans="1:24" s="344" customFormat="1" ht="11.25" customHeight="1" x14ac:dyDescent="0.2">
      <c r="A78" s="347" t="s">
        <v>378</v>
      </c>
      <c r="B78" s="348" t="s">
        <v>424</v>
      </c>
      <c r="C78" s="348" t="s">
        <v>173</v>
      </c>
      <c r="D78" s="357" t="s">
        <v>176</v>
      </c>
      <c r="E78" s="348" t="s">
        <v>175</v>
      </c>
      <c r="F78" s="349" t="s">
        <v>464</v>
      </c>
      <c r="G78" s="500" t="s">
        <v>1315</v>
      </c>
      <c r="H78" s="688">
        <v>5</v>
      </c>
      <c r="I78" s="684">
        <v>5</v>
      </c>
      <c r="J78" s="684">
        <v>0</v>
      </c>
      <c r="K78" s="684">
        <v>5</v>
      </c>
      <c r="L78" s="685">
        <v>0</v>
      </c>
      <c r="M78" s="683"/>
      <c r="N78" s="357"/>
      <c r="O78" s="357"/>
      <c r="P78" s="357"/>
      <c r="Q78" s="357"/>
      <c r="R78" s="686"/>
      <c r="S78" s="687">
        <f t="shared" si="11"/>
        <v>5</v>
      </c>
      <c r="T78" s="687">
        <f t="shared" si="11"/>
        <v>5</v>
      </c>
      <c r="U78" s="687">
        <f t="shared" si="4"/>
        <v>0</v>
      </c>
      <c r="V78" s="687">
        <f t="shared" si="5"/>
        <v>5</v>
      </c>
      <c r="W78" s="687">
        <f t="shared" si="6"/>
        <v>0</v>
      </c>
      <c r="X78" s="346" t="s">
        <v>1346</v>
      </c>
    </row>
    <row r="79" spans="1:24" s="344" customFormat="1" ht="11.25" customHeight="1" x14ac:dyDescent="0.2">
      <c r="A79" s="347" t="s">
        <v>378</v>
      </c>
      <c r="B79" s="348" t="s">
        <v>424</v>
      </c>
      <c r="C79" s="348" t="s">
        <v>173</v>
      </c>
      <c r="D79" s="357" t="s">
        <v>1347</v>
      </c>
      <c r="E79" s="348" t="s">
        <v>1058</v>
      </c>
      <c r="F79" s="349" t="s">
        <v>464</v>
      </c>
      <c r="G79" s="500"/>
      <c r="H79" s="688"/>
      <c r="I79" s="684">
        <v>0</v>
      </c>
      <c r="J79" s="684">
        <v>0</v>
      </c>
      <c r="K79" s="684"/>
      <c r="L79" s="685">
        <v>0</v>
      </c>
      <c r="M79" s="683"/>
      <c r="N79" s="357"/>
      <c r="O79" s="357"/>
      <c r="P79" s="357"/>
      <c r="Q79" s="357"/>
      <c r="R79" s="686"/>
      <c r="S79" s="687">
        <f t="shared" si="11"/>
        <v>0</v>
      </c>
      <c r="T79" s="687">
        <f t="shared" si="11"/>
        <v>0</v>
      </c>
      <c r="U79" s="687">
        <f t="shared" si="4"/>
        <v>0</v>
      </c>
      <c r="V79" s="687">
        <f t="shared" si="5"/>
        <v>0</v>
      </c>
      <c r="W79" s="687">
        <f t="shared" si="6"/>
        <v>0</v>
      </c>
      <c r="X79" s="346"/>
    </row>
    <row r="80" spans="1:24" s="344" customFormat="1" ht="11.25" customHeight="1" x14ac:dyDescent="0.2">
      <c r="A80" s="683" t="s">
        <v>378</v>
      </c>
      <c r="B80" s="357" t="s">
        <v>424</v>
      </c>
      <c r="C80" s="357" t="s">
        <v>173</v>
      </c>
      <c r="D80" s="357" t="s">
        <v>1348</v>
      </c>
      <c r="E80" s="348" t="s">
        <v>177</v>
      </c>
      <c r="F80" s="349" t="s">
        <v>464</v>
      </c>
      <c r="G80" s="498" t="s">
        <v>1315</v>
      </c>
      <c r="H80" s="688"/>
      <c r="I80" s="684"/>
      <c r="J80" s="684">
        <v>0</v>
      </c>
      <c r="K80" s="684">
        <v>10</v>
      </c>
      <c r="L80" s="685">
        <v>0</v>
      </c>
      <c r="M80" s="683"/>
      <c r="N80" s="357"/>
      <c r="O80" s="357"/>
      <c r="P80" s="357"/>
      <c r="Q80" s="357"/>
      <c r="R80" s="686"/>
      <c r="S80" s="687">
        <f t="shared" si="11"/>
        <v>0</v>
      </c>
      <c r="T80" s="687">
        <f t="shared" si="11"/>
        <v>0</v>
      </c>
      <c r="U80" s="687">
        <f t="shared" si="4"/>
        <v>0</v>
      </c>
      <c r="V80" s="687">
        <f t="shared" si="5"/>
        <v>10</v>
      </c>
      <c r="W80" s="687">
        <f t="shared" si="6"/>
        <v>0</v>
      </c>
      <c r="X80" s="346" t="s">
        <v>1346</v>
      </c>
    </row>
    <row r="81" spans="1:1023 1030:2047 2054:3071 3078:4095 4102:5119 5126:6143 6150:7167 7174:8191 8198:9215 9222:10239 10246:11263 11270:12287 12294:13311 13318:14335 14342:15359 15366:16384" s="344" customFormat="1" ht="11.25" customHeight="1" x14ac:dyDescent="0.2">
      <c r="A81" s="350" t="s">
        <v>3</v>
      </c>
      <c r="B81" s="351"/>
      <c r="C81" s="351"/>
      <c r="D81" s="352"/>
      <c r="E81" s="353"/>
      <c r="F81" s="354"/>
      <c r="G81" s="507"/>
      <c r="H81" s="355">
        <f>SUM(H77:H80)</f>
        <v>5</v>
      </c>
      <c r="I81" s="355">
        <f t="shared" ref="I81:W81" si="14">SUM(I77:I80)</f>
        <v>5</v>
      </c>
      <c r="J81" s="355">
        <f t="shared" si="14"/>
        <v>0</v>
      </c>
      <c r="K81" s="355">
        <f t="shared" si="14"/>
        <v>25</v>
      </c>
      <c r="L81" s="355">
        <f t="shared" si="14"/>
        <v>0</v>
      </c>
      <c r="M81" s="355">
        <f t="shared" si="14"/>
        <v>0</v>
      </c>
      <c r="N81" s="355">
        <f t="shared" si="14"/>
        <v>0</v>
      </c>
      <c r="O81" s="355">
        <f t="shared" si="14"/>
        <v>0</v>
      </c>
      <c r="P81" s="355">
        <f t="shared" si="14"/>
        <v>0</v>
      </c>
      <c r="Q81" s="355">
        <f t="shared" si="14"/>
        <v>0</v>
      </c>
      <c r="R81" s="355">
        <f t="shared" si="14"/>
        <v>0</v>
      </c>
      <c r="S81" s="355">
        <f t="shared" si="14"/>
        <v>5</v>
      </c>
      <c r="T81" s="355">
        <f t="shared" si="14"/>
        <v>5</v>
      </c>
      <c r="U81" s="355">
        <f t="shared" si="14"/>
        <v>0</v>
      </c>
      <c r="V81" s="355">
        <f t="shared" si="14"/>
        <v>25</v>
      </c>
      <c r="W81" s="355">
        <f t="shared" si="14"/>
        <v>0</v>
      </c>
      <c r="X81" s="346"/>
    </row>
    <row r="82" spans="1:1023 1030:2047 2054:3071 3078:4095 4102:5119 5126:6143 6150:7167 7174:8191 8198:9215 9222:10239 10246:11263 11270:12287 12294:13311 13318:14335 14342:15359 15366:16384" s="344" customFormat="1" ht="11.25" customHeight="1" x14ac:dyDescent="0.2">
      <c r="A82" s="347" t="s">
        <v>378</v>
      </c>
      <c r="B82" s="348" t="s">
        <v>424</v>
      </c>
      <c r="C82" s="348" t="s">
        <v>180</v>
      </c>
      <c r="D82" s="348" t="s">
        <v>1349</v>
      </c>
      <c r="E82" s="348" t="s">
        <v>285</v>
      </c>
      <c r="F82" s="349" t="s">
        <v>464</v>
      </c>
      <c r="G82" s="498"/>
      <c r="H82" s="692">
        <v>0</v>
      </c>
      <c r="I82" s="357">
        <v>0</v>
      </c>
      <c r="J82" s="693">
        <v>0</v>
      </c>
      <c r="K82" s="693"/>
      <c r="L82" s="694">
        <v>0</v>
      </c>
      <c r="M82" s="683"/>
      <c r="N82" s="357"/>
      <c r="O82" s="357"/>
      <c r="P82" s="357"/>
      <c r="Q82" s="357"/>
      <c r="R82" s="686"/>
      <c r="S82" s="687">
        <f t="shared" si="11"/>
        <v>0</v>
      </c>
      <c r="T82" s="687">
        <f t="shared" si="11"/>
        <v>0</v>
      </c>
      <c r="U82" s="687">
        <f t="shared" si="4"/>
        <v>0</v>
      </c>
      <c r="V82" s="687">
        <f t="shared" si="5"/>
        <v>0</v>
      </c>
      <c r="W82" s="687">
        <f t="shared" si="6"/>
        <v>0</v>
      </c>
      <c r="X82" s="346" t="s">
        <v>1346</v>
      </c>
    </row>
    <row r="83" spans="1:1023 1030:2047 2054:3071 3078:4095 4102:5119 5126:6143 6150:7167 7174:8191 8198:9215 9222:10239 10246:11263 11270:12287 12294:13311 13318:14335 14342:15359 15366:16384" s="344" customFormat="1" ht="11.25" customHeight="1" x14ac:dyDescent="0.2">
      <c r="A83" s="347" t="s">
        <v>378</v>
      </c>
      <c r="B83" s="348" t="s">
        <v>1317</v>
      </c>
      <c r="C83" s="348" t="s">
        <v>180</v>
      </c>
      <c r="D83" s="348" t="s">
        <v>1350</v>
      </c>
      <c r="E83" s="348" t="s">
        <v>179</v>
      </c>
      <c r="F83" s="349" t="s">
        <v>464</v>
      </c>
      <c r="G83" s="498"/>
      <c r="H83" s="692">
        <v>11</v>
      </c>
      <c r="I83" s="693">
        <v>11</v>
      </c>
      <c r="J83" s="693"/>
      <c r="K83" s="693"/>
      <c r="L83" s="694">
        <v>0</v>
      </c>
      <c r="M83" s="683">
        <v>11</v>
      </c>
      <c r="N83" s="357">
        <v>11</v>
      </c>
      <c r="O83" s="357"/>
      <c r="P83" s="357"/>
      <c r="Q83" s="357"/>
      <c r="R83" s="686" t="s">
        <v>1593</v>
      </c>
      <c r="S83" s="687">
        <f t="shared" si="11"/>
        <v>0</v>
      </c>
      <c r="T83" s="687">
        <f t="shared" si="11"/>
        <v>0</v>
      </c>
      <c r="U83" s="687">
        <f t="shared" si="4"/>
        <v>0</v>
      </c>
      <c r="V83" s="687">
        <f t="shared" si="5"/>
        <v>0</v>
      </c>
      <c r="W83" s="687">
        <f t="shared" si="6"/>
        <v>0</v>
      </c>
      <c r="X83" s="346"/>
    </row>
    <row r="84" spans="1:1023 1030:2047 2054:3071 3078:4095 4102:5119 5126:6143 6150:7167 7174:8191 8198:9215 9222:10239 10246:11263 11270:12287 12294:13311 13318:14335 14342:15359 15366:16384" s="344" customFormat="1" ht="11.25" customHeight="1" x14ac:dyDescent="0.2">
      <c r="A84" s="350" t="s">
        <v>3</v>
      </c>
      <c r="B84" s="351"/>
      <c r="C84" s="351"/>
      <c r="D84" s="352"/>
      <c r="E84" s="353"/>
      <c r="F84" s="354"/>
      <c r="G84" s="507"/>
      <c r="H84" s="355">
        <f>SUM(H82:H83)</f>
        <v>11</v>
      </c>
      <c r="I84" s="355">
        <f t="shared" ref="I84:W84" si="15">SUM(I82:I83)</f>
        <v>11</v>
      </c>
      <c r="J84" s="355">
        <f t="shared" si="15"/>
        <v>0</v>
      </c>
      <c r="K84" s="355">
        <f t="shared" si="15"/>
        <v>0</v>
      </c>
      <c r="L84" s="355">
        <f t="shared" si="15"/>
        <v>0</v>
      </c>
      <c r="M84" s="355">
        <f t="shared" si="15"/>
        <v>11</v>
      </c>
      <c r="N84" s="355">
        <f t="shared" si="15"/>
        <v>11</v>
      </c>
      <c r="O84" s="355">
        <f t="shared" si="15"/>
        <v>0</v>
      </c>
      <c r="P84" s="355">
        <f t="shared" si="15"/>
        <v>0</v>
      </c>
      <c r="Q84" s="355">
        <f t="shared" si="15"/>
        <v>0</v>
      </c>
      <c r="R84" s="355">
        <f t="shared" si="15"/>
        <v>0</v>
      </c>
      <c r="S84" s="355">
        <f t="shared" si="15"/>
        <v>0</v>
      </c>
      <c r="T84" s="355">
        <f t="shared" si="15"/>
        <v>0</v>
      </c>
      <c r="U84" s="355">
        <f t="shared" si="15"/>
        <v>0</v>
      </c>
      <c r="V84" s="355">
        <f t="shared" si="15"/>
        <v>0</v>
      </c>
      <c r="W84" s="355">
        <f t="shared" si="15"/>
        <v>0</v>
      </c>
      <c r="X84" s="346"/>
    </row>
    <row r="85" spans="1:1023 1030:2047 2054:3071 3078:4095 4102:5119 5126:6143 6150:7167 7174:8191 8198:9215 9222:10239 10246:11263 11270:12287 12294:13311 13318:14335 14342:15359 15366:16384" s="344" customFormat="1" ht="11.25" customHeight="1" x14ac:dyDescent="0.2">
      <c r="A85" s="347" t="s">
        <v>378</v>
      </c>
      <c r="B85" s="348" t="s">
        <v>1317</v>
      </c>
      <c r="C85" s="348" t="s">
        <v>185</v>
      </c>
      <c r="D85" s="348" t="s">
        <v>523</v>
      </c>
      <c r="E85" s="348" t="s">
        <v>191</v>
      </c>
      <c r="F85" s="349" t="s">
        <v>466</v>
      </c>
      <c r="G85" s="498"/>
      <c r="H85" s="683"/>
      <c r="I85" s="357"/>
      <c r="J85" s="684">
        <v>0</v>
      </c>
      <c r="K85" s="684">
        <v>0</v>
      </c>
      <c r="L85" s="685"/>
      <c r="M85" s="683"/>
      <c r="N85" s="357"/>
      <c r="O85" s="357"/>
      <c r="P85" s="357"/>
      <c r="Q85" s="357"/>
      <c r="R85" s="686"/>
      <c r="S85" s="687">
        <f t="shared" si="11"/>
        <v>0</v>
      </c>
      <c r="T85" s="687">
        <f t="shared" si="11"/>
        <v>0</v>
      </c>
      <c r="U85" s="687">
        <f t="shared" ref="U85:U147" si="16">J85-O85</f>
        <v>0</v>
      </c>
      <c r="V85" s="687">
        <f t="shared" ref="V85:V147" si="17">K85-P85</f>
        <v>0</v>
      </c>
      <c r="W85" s="687">
        <f t="shared" ref="W85:W147" si="18">L85-Q85</f>
        <v>0</v>
      </c>
      <c r="X85" s="346"/>
    </row>
    <row r="86" spans="1:1023 1030:2047 2054:3071 3078:4095 4102:5119 5126:6143 6150:7167 7174:8191 8198:9215 9222:10239 10246:11263 11270:12287 12294:13311 13318:14335 14342:15359 15366:16384" s="344" customFormat="1" ht="11.25" customHeight="1" x14ac:dyDescent="0.2">
      <c r="A86" s="347" t="s">
        <v>378</v>
      </c>
      <c r="B86" s="348" t="s">
        <v>1317</v>
      </c>
      <c r="C86" s="348" t="s">
        <v>185</v>
      </c>
      <c r="D86" s="348" t="s">
        <v>676</v>
      </c>
      <c r="E86" s="348" t="s">
        <v>193</v>
      </c>
      <c r="F86" s="349" t="s">
        <v>466</v>
      </c>
      <c r="G86" s="498" t="s">
        <v>1315</v>
      </c>
      <c r="H86" s="688">
        <v>169</v>
      </c>
      <c r="I86" s="684">
        <v>169</v>
      </c>
      <c r="J86" s="684">
        <v>190</v>
      </c>
      <c r="K86" s="684"/>
      <c r="L86" s="685">
        <v>1</v>
      </c>
      <c r="M86" s="683"/>
      <c r="N86" s="357"/>
      <c r="O86" s="357"/>
      <c r="P86" s="357"/>
      <c r="Q86" s="357"/>
      <c r="R86" s="686"/>
      <c r="S86" s="687">
        <f t="shared" si="11"/>
        <v>169</v>
      </c>
      <c r="T86" s="687">
        <f t="shared" si="11"/>
        <v>169</v>
      </c>
      <c r="U86" s="687">
        <f t="shared" si="16"/>
        <v>190</v>
      </c>
      <c r="V86" s="687">
        <f t="shared" si="17"/>
        <v>0</v>
      </c>
      <c r="W86" s="687">
        <f t="shared" si="18"/>
        <v>1</v>
      </c>
      <c r="X86" s="346"/>
    </row>
    <row r="87" spans="1:1023 1030:2047 2054:3071 3078:4095 4102:5119 5126:6143 6150:7167 7174:8191 8198:9215 9222:10239 10246:11263 11270:12287 12294:13311 13318:14335 14342:15359 15366:16384" s="344" customFormat="1" ht="11.25" customHeight="1" x14ac:dyDescent="0.2">
      <c r="A87" s="347" t="s">
        <v>378</v>
      </c>
      <c r="B87" s="348" t="s">
        <v>1317</v>
      </c>
      <c r="C87" s="348" t="s">
        <v>185</v>
      </c>
      <c r="D87" s="348" t="s">
        <v>1351</v>
      </c>
      <c r="E87" s="348" t="s">
        <v>195</v>
      </c>
      <c r="F87" s="349" t="s">
        <v>466</v>
      </c>
      <c r="G87" s="498"/>
      <c r="H87" s="688">
        <v>98</v>
      </c>
      <c r="I87" s="684">
        <v>98</v>
      </c>
      <c r="J87" s="684">
        <v>528</v>
      </c>
      <c r="K87" s="684"/>
      <c r="L87" s="685">
        <v>1</v>
      </c>
      <c r="M87" s="683">
        <v>29</v>
      </c>
      <c r="N87" s="357">
        <v>29</v>
      </c>
      <c r="O87" s="357">
        <v>528</v>
      </c>
      <c r="P87" s="357"/>
      <c r="Q87" s="357"/>
      <c r="R87" s="686" t="s">
        <v>1640</v>
      </c>
      <c r="S87" s="687">
        <f t="shared" si="11"/>
        <v>69</v>
      </c>
      <c r="T87" s="687">
        <f t="shared" si="11"/>
        <v>69</v>
      </c>
      <c r="U87" s="687">
        <f t="shared" si="16"/>
        <v>0</v>
      </c>
      <c r="V87" s="687">
        <f t="shared" si="17"/>
        <v>0</v>
      </c>
      <c r="W87" s="687">
        <f t="shared" si="18"/>
        <v>1</v>
      </c>
      <c r="X87" s="346" t="s">
        <v>1633</v>
      </c>
    </row>
    <row r="88" spans="1:1023 1030:2047 2054:3071 3078:4095 4102:5119 5126:6143 6150:7167 7174:8191 8198:9215 9222:10239 10246:11263 11270:12287 12294:13311 13318:14335 14342:15359 15366:16384" s="344" customFormat="1" ht="11.25" customHeight="1" x14ac:dyDescent="0.2">
      <c r="A88" s="347" t="s">
        <v>378</v>
      </c>
      <c r="B88" s="348" t="s">
        <v>424</v>
      </c>
      <c r="C88" s="348" t="s">
        <v>185</v>
      </c>
      <c r="D88" s="348" t="s">
        <v>186</v>
      </c>
      <c r="E88" s="358" t="s">
        <v>184</v>
      </c>
      <c r="F88" s="349" t="s">
        <v>464</v>
      </c>
      <c r="G88" s="365" t="s">
        <v>1484</v>
      </c>
      <c r="H88" s="683">
        <v>27</v>
      </c>
      <c r="I88" s="357">
        <v>27</v>
      </c>
      <c r="J88" s="684">
        <v>20</v>
      </c>
      <c r="K88" s="684">
        <v>0</v>
      </c>
      <c r="L88" s="685">
        <v>0</v>
      </c>
      <c r="M88" s="683"/>
      <c r="N88" s="357"/>
      <c r="O88" s="357"/>
      <c r="P88" s="357"/>
      <c r="Q88" s="357"/>
      <c r="R88" s="686"/>
      <c r="S88" s="687">
        <f t="shared" si="11"/>
        <v>27</v>
      </c>
      <c r="T88" s="687">
        <f t="shared" si="11"/>
        <v>27</v>
      </c>
      <c r="U88" s="687">
        <f t="shared" si="16"/>
        <v>20</v>
      </c>
      <c r="V88" s="687">
        <f t="shared" si="17"/>
        <v>0</v>
      </c>
      <c r="W88" s="687">
        <f t="shared" si="18"/>
        <v>0</v>
      </c>
      <c r="X88" s="346"/>
    </row>
    <row r="89" spans="1:1023 1030:2047 2054:3071 3078:4095 4102:5119 5126:6143 6150:7167 7174:8191 8198:9215 9222:10239 10246:11263 11270:12287 12294:13311 13318:14335 14342:15359 15366:16384" s="344" customFormat="1" ht="11.25" customHeight="1" x14ac:dyDescent="0.2">
      <c r="A89" s="347" t="s">
        <v>378</v>
      </c>
      <c r="B89" s="348" t="s">
        <v>1311</v>
      </c>
      <c r="C89" s="348" t="s">
        <v>185</v>
      </c>
      <c r="D89" s="348" t="s">
        <v>1352</v>
      </c>
      <c r="E89" s="348" t="s">
        <v>222</v>
      </c>
      <c r="F89" s="349" t="s">
        <v>464</v>
      </c>
      <c r="G89" s="498"/>
      <c r="H89" s="688">
        <v>50</v>
      </c>
      <c r="I89" s="684">
        <v>50</v>
      </c>
      <c r="J89" s="684">
        <v>0</v>
      </c>
      <c r="K89" s="684">
        <v>0</v>
      </c>
      <c r="L89" s="685">
        <v>0</v>
      </c>
      <c r="M89" s="683">
        <v>50</v>
      </c>
      <c r="N89" s="357">
        <v>50</v>
      </c>
      <c r="O89" s="357"/>
      <c r="P89" s="357"/>
      <c r="Q89" s="357"/>
      <c r="R89" s="686" t="s">
        <v>1638</v>
      </c>
      <c r="S89" s="687">
        <f t="shared" si="11"/>
        <v>0</v>
      </c>
      <c r="T89" s="687">
        <f t="shared" si="11"/>
        <v>0</v>
      </c>
      <c r="U89" s="687">
        <f t="shared" si="16"/>
        <v>0</v>
      </c>
      <c r="V89" s="687">
        <f t="shared" si="17"/>
        <v>0</v>
      </c>
      <c r="W89" s="687">
        <f t="shared" si="18"/>
        <v>0</v>
      </c>
      <c r="X89" s="346"/>
    </row>
    <row r="90" spans="1:1023 1030:2047 2054:3071 3078:4095 4102:5119 5126:6143 6150:7167 7174:8191 8198:9215 9222:10239 10246:11263 11270:12287 12294:13311 13318:14335 14342:15359 15366:16384" s="344" customFormat="1" ht="11.25" customHeight="1" x14ac:dyDescent="0.2">
      <c r="A90" s="711" t="s">
        <v>378</v>
      </c>
      <c r="B90" s="712" t="s">
        <v>424</v>
      </c>
      <c r="C90" s="712" t="s">
        <v>185</v>
      </c>
      <c r="D90" s="718" t="s">
        <v>190</v>
      </c>
      <c r="E90" s="718" t="s">
        <v>189</v>
      </c>
      <c r="F90" s="713" t="s">
        <v>464</v>
      </c>
      <c r="G90" s="719"/>
      <c r="H90" s="707">
        <v>20</v>
      </c>
      <c r="I90" s="709">
        <v>20</v>
      </c>
      <c r="J90" s="708">
        <v>10</v>
      </c>
      <c r="K90" s="708"/>
      <c r="L90" s="714"/>
      <c r="M90" s="707"/>
      <c r="N90" s="709"/>
      <c r="O90" s="709"/>
      <c r="P90" s="709"/>
      <c r="Q90" s="709"/>
      <c r="R90" s="714"/>
      <c r="S90" s="715">
        <f t="shared" si="11"/>
        <v>20</v>
      </c>
      <c r="T90" s="715">
        <f t="shared" si="11"/>
        <v>20</v>
      </c>
      <c r="U90" s="715">
        <f t="shared" si="16"/>
        <v>10</v>
      </c>
      <c r="V90" s="715">
        <f t="shared" si="17"/>
        <v>0</v>
      </c>
      <c r="W90" s="715">
        <f t="shared" si="18"/>
        <v>0</v>
      </c>
      <c r="X90" s="716"/>
      <c r="Y90" s="717"/>
      <c r="Z90" s="717"/>
      <c r="AA90" s="717"/>
      <c r="AB90" s="717"/>
      <c r="AC90" s="717"/>
      <c r="AD90" s="717"/>
      <c r="AE90" s="717"/>
      <c r="AF90" s="717"/>
      <c r="AG90" s="717"/>
      <c r="AH90" s="717"/>
      <c r="AI90" s="717"/>
      <c r="AJ90" s="717"/>
      <c r="AK90" s="717"/>
      <c r="AL90" s="717"/>
      <c r="AM90" s="717"/>
      <c r="AN90" s="717"/>
      <c r="AO90" s="717"/>
      <c r="AP90" s="717"/>
      <c r="AQ90" s="717"/>
      <c r="AR90" s="717"/>
      <c r="AS90" s="717"/>
      <c r="AT90" s="717"/>
      <c r="AU90" s="717"/>
      <c r="AV90" s="717"/>
      <c r="AW90" s="717"/>
      <c r="AX90" s="717"/>
      <c r="AY90" s="717"/>
      <c r="AZ90" s="717"/>
      <c r="BA90" s="717"/>
      <c r="BB90" s="717"/>
      <c r="BC90" s="717"/>
      <c r="BD90" s="717"/>
      <c r="BE90" s="717"/>
      <c r="BF90" s="717"/>
      <c r="BG90" s="717"/>
      <c r="BH90" s="717"/>
      <c r="BI90" s="717"/>
      <c r="BJ90" s="717"/>
      <c r="BK90" s="717"/>
      <c r="BL90" s="717"/>
      <c r="BM90" s="717"/>
      <c r="BN90" s="717"/>
      <c r="BO90" s="717"/>
      <c r="BP90" s="717"/>
      <c r="BQ90" s="717"/>
      <c r="BR90" s="717"/>
      <c r="BS90" s="717"/>
      <c r="BT90" s="717"/>
      <c r="BU90" s="717"/>
      <c r="BV90" s="717"/>
      <c r="BW90" s="717"/>
      <c r="BX90" s="717"/>
      <c r="BY90" s="717"/>
      <c r="BZ90" s="717"/>
      <c r="CA90" s="717"/>
      <c r="CB90" s="717"/>
      <c r="CC90" s="717"/>
      <c r="CD90" s="717"/>
      <c r="CE90" s="717"/>
      <c r="CF90" s="717"/>
      <c r="CG90" s="717"/>
      <c r="CH90" s="717"/>
      <c r="CI90" s="717"/>
      <c r="CJ90" s="717"/>
      <c r="CK90" s="717"/>
      <c r="CL90" s="717"/>
      <c r="CM90" s="717"/>
      <c r="CN90" s="717"/>
      <c r="CO90" s="717"/>
      <c r="CP90" s="717"/>
      <c r="CQ90" s="717"/>
      <c r="CR90" s="717"/>
      <c r="CS90" s="717"/>
      <c r="CT90" s="717"/>
      <c r="CU90" s="717"/>
      <c r="CV90" s="717"/>
      <c r="CW90" s="717"/>
      <c r="CX90" s="717"/>
      <c r="CY90" s="717"/>
      <c r="CZ90" s="717"/>
      <c r="DA90" s="717"/>
      <c r="DB90" s="717"/>
      <c r="DC90" s="717"/>
      <c r="DD90" s="717"/>
      <c r="DE90" s="717"/>
      <c r="DF90" s="717"/>
      <c r="DG90" s="717"/>
      <c r="DH90" s="717"/>
      <c r="DI90" s="717"/>
      <c r="DJ90" s="717"/>
      <c r="DK90" s="717"/>
      <c r="DL90" s="717"/>
      <c r="DM90" s="717"/>
      <c r="DN90" s="717"/>
      <c r="DO90" s="717"/>
      <c r="DP90" s="717"/>
      <c r="DQ90" s="717"/>
      <c r="DR90" s="717"/>
      <c r="DS90" s="717"/>
      <c r="DT90" s="717"/>
      <c r="DU90" s="717"/>
      <c r="DV90" s="717"/>
      <c r="DW90" s="717"/>
      <c r="DX90" s="717"/>
      <c r="DY90" s="717"/>
      <c r="DZ90" s="717"/>
      <c r="EA90" s="717"/>
      <c r="EB90" s="717"/>
      <c r="EC90" s="717"/>
      <c r="ED90" s="717"/>
      <c r="EE90" s="717"/>
      <c r="EF90" s="717"/>
      <c r="EG90" s="717"/>
      <c r="EH90" s="717"/>
      <c r="EI90" s="717"/>
      <c r="EJ90" s="717"/>
      <c r="EK90" s="717"/>
      <c r="EL90" s="717"/>
      <c r="EM90" s="717"/>
      <c r="EN90" s="717"/>
      <c r="EO90" s="717"/>
      <c r="EP90" s="717"/>
      <c r="EQ90" s="717"/>
      <c r="ER90" s="717"/>
      <c r="ES90" s="717"/>
      <c r="ET90" s="717"/>
      <c r="EU90" s="717"/>
      <c r="EV90" s="717"/>
      <c r="EW90" s="717"/>
      <c r="EX90" s="717"/>
      <c r="EY90" s="717"/>
      <c r="EZ90" s="717"/>
      <c r="FA90" s="717"/>
      <c r="FB90" s="717"/>
      <c r="FC90" s="717"/>
      <c r="FD90" s="717"/>
      <c r="FE90" s="717"/>
      <c r="FF90" s="717"/>
      <c r="FG90" s="717"/>
      <c r="FH90" s="717"/>
      <c r="FI90" s="717"/>
      <c r="FJ90" s="717"/>
      <c r="FK90" s="717"/>
      <c r="FL90" s="717"/>
      <c r="FM90" s="717"/>
      <c r="FN90" s="717"/>
      <c r="FO90" s="717"/>
      <c r="FP90" s="717"/>
      <c r="FQ90" s="717"/>
      <c r="FR90" s="717"/>
      <c r="FS90" s="717"/>
      <c r="FT90" s="717"/>
      <c r="FU90" s="717"/>
      <c r="FV90" s="717"/>
      <c r="FW90" s="717"/>
      <c r="FX90" s="717"/>
      <c r="FY90" s="717"/>
      <c r="FZ90" s="717"/>
      <c r="GA90" s="717"/>
      <c r="GB90" s="717"/>
      <c r="GC90" s="717"/>
      <c r="GD90" s="717"/>
      <c r="GE90" s="717"/>
      <c r="GF90" s="717"/>
      <c r="GG90" s="717"/>
      <c r="GH90" s="717"/>
      <c r="GI90" s="717"/>
      <c r="GJ90" s="717"/>
      <c r="GK90" s="717"/>
      <c r="GL90" s="717"/>
      <c r="GM90" s="717"/>
      <c r="GN90" s="717"/>
      <c r="GO90" s="717"/>
      <c r="GP90" s="717"/>
      <c r="GQ90" s="717"/>
      <c r="GR90" s="717"/>
      <c r="GS90" s="717"/>
      <c r="GT90" s="717"/>
      <c r="GU90" s="717"/>
      <c r="GV90" s="717"/>
      <c r="GW90" s="717"/>
      <c r="GX90" s="717"/>
      <c r="GY90" s="717"/>
      <c r="GZ90" s="717"/>
      <c r="HA90" s="717"/>
      <c r="HB90" s="717"/>
      <c r="HC90" s="717"/>
      <c r="HD90" s="717"/>
      <c r="HE90" s="717"/>
      <c r="HF90" s="717"/>
      <c r="HG90" s="717"/>
      <c r="HH90" s="717"/>
      <c r="HI90" s="717"/>
      <c r="HJ90" s="717"/>
      <c r="HK90" s="717"/>
      <c r="HL90" s="717"/>
      <c r="HM90" s="717"/>
      <c r="HN90" s="717"/>
      <c r="HO90" s="717"/>
      <c r="HP90" s="717"/>
      <c r="HQ90" s="717"/>
      <c r="HR90" s="717"/>
      <c r="HS90" s="717"/>
      <c r="HT90" s="717"/>
      <c r="HU90" s="717"/>
      <c r="HV90" s="717"/>
      <c r="HW90" s="717"/>
      <c r="HX90" s="717"/>
      <c r="HY90" s="717"/>
      <c r="HZ90" s="717"/>
      <c r="IA90" s="717"/>
      <c r="IB90" s="717"/>
      <c r="IC90" s="717"/>
      <c r="ID90" s="717"/>
      <c r="IE90" s="717"/>
      <c r="IF90" s="717"/>
      <c r="IG90" s="717"/>
      <c r="IH90" s="717"/>
      <c r="II90" s="717"/>
      <c r="IJ90" s="717"/>
      <c r="IK90" s="717"/>
      <c r="IL90" s="717"/>
      <c r="IM90" s="717"/>
      <c r="IN90" s="717"/>
      <c r="IO90" s="717"/>
      <c r="IP90" s="717"/>
      <c r="IQ90" s="717"/>
      <c r="IR90" s="717"/>
      <c r="IS90" s="717"/>
      <c r="IT90" s="717"/>
      <c r="IU90" s="717"/>
      <c r="JB90" s="717"/>
      <c r="JC90" s="717"/>
      <c r="JD90" s="717"/>
      <c r="JE90" s="717"/>
      <c r="JF90" s="717"/>
      <c r="JG90" s="717"/>
      <c r="JH90" s="717"/>
      <c r="JI90" s="717"/>
      <c r="JJ90" s="717"/>
      <c r="JK90" s="717"/>
      <c r="JL90" s="717"/>
      <c r="JM90" s="717"/>
      <c r="JN90" s="717"/>
      <c r="JO90" s="717"/>
      <c r="JP90" s="717"/>
      <c r="JQ90" s="717"/>
      <c r="JR90" s="717"/>
      <c r="JS90" s="717"/>
      <c r="JT90" s="717"/>
      <c r="JU90" s="717"/>
      <c r="JV90" s="717"/>
      <c r="JW90" s="717"/>
      <c r="JX90" s="717"/>
      <c r="JY90" s="717"/>
      <c r="JZ90" s="717"/>
      <c r="KA90" s="717"/>
      <c r="KB90" s="717"/>
      <c r="KC90" s="717"/>
      <c r="KD90" s="717"/>
      <c r="KE90" s="717"/>
      <c r="KF90" s="717"/>
      <c r="KG90" s="717"/>
      <c r="KH90" s="717"/>
      <c r="KI90" s="717"/>
      <c r="KJ90" s="717"/>
      <c r="KK90" s="717"/>
      <c r="KL90" s="717"/>
      <c r="KM90" s="717"/>
      <c r="KN90" s="717"/>
      <c r="KO90" s="717"/>
      <c r="KP90" s="717"/>
      <c r="KQ90" s="717"/>
      <c r="KR90" s="717"/>
      <c r="KS90" s="717"/>
      <c r="KT90" s="717"/>
      <c r="KU90" s="717"/>
      <c r="KV90" s="717"/>
      <c r="KW90" s="717"/>
      <c r="KX90" s="717"/>
      <c r="KY90" s="717"/>
      <c r="KZ90" s="717"/>
      <c r="LA90" s="717"/>
      <c r="LB90" s="717"/>
      <c r="LC90" s="717"/>
      <c r="LD90" s="717"/>
      <c r="LE90" s="717"/>
      <c r="LF90" s="717"/>
      <c r="LG90" s="717"/>
      <c r="LH90" s="717"/>
      <c r="LI90" s="717"/>
      <c r="LJ90" s="717"/>
      <c r="LK90" s="717"/>
      <c r="LL90" s="717"/>
      <c r="LM90" s="717"/>
      <c r="LN90" s="717"/>
      <c r="LO90" s="717"/>
      <c r="LP90" s="717"/>
      <c r="LQ90" s="717"/>
      <c r="LR90" s="717"/>
      <c r="LS90" s="717"/>
      <c r="LT90" s="717"/>
      <c r="LU90" s="717"/>
      <c r="LV90" s="717"/>
      <c r="LW90" s="717"/>
      <c r="LX90" s="717"/>
      <c r="LY90" s="717"/>
      <c r="LZ90" s="717"/>
      <c r="MA90" s="717"/>
      <c r="MB90" s="717"/>
      <c r="MC90" s="717"/>
      <c r="MD90" s="717"/>
      <c r="ME90" s="717"/>
      <c r="MF90" s="717"/>
      <c r="MG90" s="717"/>
      <c r="MH90" s="717"/>
      <c r="MI90" s="717"/>
      <c r="MJ90" s="717"/>
      <c r="MK90" s="717"/>
      <c r="ML90" s="717"/>
      <c r="MM90" s="717"/>
      <c r="MN90" s="717"/>
      <c r="MO90" s="717"/>
      <c r="MP90" s="717"/>
      <c r="MQ90" s="717"/>
      <c r="MR90" s="717"/>
      <c r="MS90" s="717"/>
      <c r="MT90" s="717"/>
      <c r="MU90" s="717"/>
      <c r="MV90" s="717"/>
      <c r="MW90" s="717"/>
      <c r="MX90" s="717"/>
      <c r="MY90" s="717"/>
      <c r="MZ90" s="717"/>
      <c r="NA90" s="717"/>
      <c r="NB90" s="717"/>
      <c r="NC90" s="717"/>
      <c r="ND90" s="717"/>
      <c r="NE90" s="717"/>
      <c r="NF90" s="717"/>
      <c r="NG90" s="717"/>
      <c r="NH90" s="717"/>
      <c r="NI90" s="717"/>
      <c r="NJ90" s="717"/>
      <c r="NK90" s="717"/>
      <c r="NL90" s="717"/>
      <c r="NM90" s="717"/>
      <c r="NN90" s="717"/>
      <c r="NO90" s="717"/>
      <c r="NP90" s="717"/>
      <c r="NQ90" s="717"/>
      <c r="NR90" s="717"/>
      <c r="NS90" s="717"/>
      <c r="NT90" s="717"/>
      <c r="NU90" s="717"/>
      <c r="NV90" s="717"/>
      <c r="NW90" s="717"/>
      <c r="NX90" s="717"/>
      <c r="NY90" s="717"/>
      <c r="NZ90" s="717"/>
      <c r="OA90" s="717"/>
      <c r="OB90" s="717"/>
      <c r="OC90" s="717"/>
      <c r="OD90" s="717"/>
      <c r="OE90" s="717"/>
      <c r="OF90" s="717"/>
      <c r="OG90" s="717"/>
      <c r="OH90" s="717"/>
      <c r="OI90" s="717"/>
      <c r="OJ90" s="717"/>
      <c r="OK90" s="717"/>
      <c r="OL90" s="717"/>
      <c r="OM90" s="717"/>
      <c r="ON90" s="717"/>
      <c r="OO90" s="717"/>
      <c r="OP90" s="717"/>
      <c r="OQ90" s="717"/>
      <c r="OR90" s="717"/>
      <c r="OS90" s="717"/>
      <c r="OT90" s="717"/>
      <c r="OU90" s="717"/>
      <c r="OV90" s="717"/>
      <c r="OW90" s="717"/>
      <c r="OX90" s="717"/>
      <c r="OY90" s="717"/>
      <c r="OZ90" s="717"/>
      <c r="PA90" s="717"/>
      <c r="PB90" s="717"/>
      <c r="PC90" s="717"/>
      <c r="PD90" s="717"/>
      <c r="PE90" s="717"/>
      <c r="PF90" s="717"/>
      <c r="PG90" s="717"/>
      <c r="PH90" s="717"/>
      <c r="PI90" s="717"/>
      <c r="PJ90" s="717"/>
      <c r="PK90" s="717"/>
      <c r="PL90" s="717"/>
      <c r="PM90" s="717"/>
      <c r="PN90" s="717"/>
      <c r="PO90" s="717"/>
      <c r="PP90" s="717"/>
      <c r="PQ90" s="717"/>
      <c r="PR90" s="717"/>
      <c r="PS90" s="717"/>
      <c r="PT90" s="717"/>
      <c r="PU90" s="717"/>
      <c r="PV90" s="717"/>
      <c r="PW90" s="717"/>
      <c r="PX90" s="717"/>
      <c r="PY90" s="717"/>
      <c r="PZ90" s="717"/>
      <c r="QA90" s="717"/>
      <c r="QB90" s="717"/>
      <c r="QC90" s="717"/>
      <c r="QD90" s="717"/>
      <c r="QE90" s="717"/>
      <c r="QF90" s="717"/>
      <c r="QG90" s="717"/>
      <c r="QH90" s="717"/>
      <c r="QI90" s="717"/>
      <c r="QJ90" s="717"/>
      <c r="QK90" s="717"/>
      <c r="QL90" s="717"/>
      <c r="QM90" s="717"/>
      <c r="QN90" s="717"/>
      <c r="QO90" s="717"/>
      <c r="QP90" s="717"/>
      <c r="QQ90" s="717"/>
      <c r="QR90" s="717"/>
      <c r="QS90" s="717"/>
      <c r="QT90" s="717"/>
      <c r="QU90" s="717"/>
      <c r="QV90" s="717"/>
      <c r="QW90" s="717"/>
      <c r="QX90" s="717"/>
      <c r="QY90" s="717"/>
      <c r="QZ90" s="717"/>
      <c r="RA90" s="717"/>
      <c r="RB90" s="717"/>
      <c r="RC90" s="717"/>
      <c r="RD90" s="717"/>
      <c r="RE90" s="717"/>
      <c r="RF90" s="717"/>
      <c r="RG90" s="717"/>
      <c r="RH90" s="717"/>
      <c r="RI90" s="717"/>
      <c r="RJ90" s="717"/>
      <c r="RK90" s="717"/>
      <c r="RL90" s="717"/>
      <c r="RM90" s="717"/>
      <c r="RN90" s="717"/>
      <c r="RO90" s="717"/>
      <c r="RP90" s="717"/>
      <c r="RQ90" s="717"/>
      <c r="RR90" s="717"/>
      <c r="RS90" s="717"/>
      <c r="RT90" s="717"/>
      <c r="RU90" s="717"/>
      <c r="RV90" s="717"/>
      <c r="RW90" s="717"/>
      <c r="RX90" s="717"/>
      <c r="RY90" s="717"/>
      <c r="RZ90" s="717"/>
      <c r="SA90" s="717"/>
      <c r="SB90" s="717"/>
      <c r="SC90" s="717"/>
      <c r="SD90" s="717"/>
      <c r="SE90" s="717"/>
      <c r="SF90" s="717"/>
      <c r="SG90" s="717"/>
      <c r="SH90" s="717"/>
      <c r="SI90" s="717"/>
      <c r="SJ90" s="717"/>
      <c r="SK90" s="717"/>
      <c r="SL90" s="717"/>
      <c r="SM90" s="717"/>
      <c r="SN90" s="717"/>
      <c r="SO90" s="717"/>
      <c r="SP90" s="717"/>
      <c r="SQ90" s="717"/>
      <c r="SX90" s="717"/>
      <c r="SY90" s="717"/>
      <c r="SZ90" s="717"/>
      <c r="TA90" s="717"/>
      <c r="TB90" s="717"/>
      <c r="TC90" s="717"/>
      <c r="TD90" s="717"/>
      <c r="TE90" s="717"/>
      <c r="TF90" s="717"/>
      <c r="TG90" s="717"/>
      <c r="TH90" s="717"/>
      <c r="TI90" s="717"/>
      <c r="TJ90" s="717"/>
      <c r="TK90" s="717"/>
      <c r="TL90" s="717"/>
      <c r="TM90" s="717"/>
      <c r="TN90" s="717"/>
      <c r="TO90" s="717"/>
      <c r="TP90" s="717"/>
      <c r="TQ90" s="717"/>
      <c r="TR90" s="717"/>
      <c r="TS90" s="717"/>
      <c r="TT90" s="717"/>
      <c r="TU90" s="717"/>
      <c r="TV90" s="717"/>
      <c r="TW90" s="717"/>
      <c r="TX90" s="717"/>
      <c r="TY90" s="717"/>
      <c r="TZ90" s="717"/>
      <c r="UA90" s="717"/>
      <c r="UB90" s="717"/>
      <c r="UC90" s="717"/>
      <c r="UD90" s="717"/>
      <c r="UE90" s="717"/>
      <c r="UF90" s="717"/>
      <c r="UG90" s="717"/>
      <c r="UH90" s="717"/>
      <c r="UI90" s="717"/>
      <c r="UJ90" s="717"/>
      <c r="UK90" s="717"/>
      <c r="UL90" s="717"/>
      <c r="UM90" s="717"/>
      <c r="UN90" s="717"/>
      <c r="UO90" s="717"/>
      <c r="UP90" s="717"/>
      <c r="UQ90" s="717"/>
      <c r="UR90" s="717"/>
      <c r="US90" s="717"/>
      <c r="UT90" s="717"/>
      <c r="UU90" s="717"/>
      <c r="UV90" s="717"/>
      <c r="UW90" s="717"/>
      <c r="UX90" s="717"/>
      <c r="UY90" s="717"/>
      <c r="UZ90" s="717"/>
      <c r="VA90" s="717"/>
      <c r="VB90" s="717"/>
      <c r="VC90" s="717"/>
      <c r="VD90" s="717"/>
      <c r="VE90" s="717"/>
      <c r="VF90" s="717"/>
      <c r="VG90" s="717"/>
      <c r="VH90" s="717"/>
      <c r="VI90" s="717"/>
      <c r="VJ90" s="717"/>
      <c r="VK90" s="717"/>
      <c r="VL90" s="717"/>
      <c r="VM90" s="717"/>
      <c r="VN90" s="717"/>
      <c r="VO90" s="717"/>
      <c r="VP90" s="717"/>
      <c r="VQ90" s="717"/>
      <c r="VR90" s="717"/>
      <c r="VS90" s="717"/>
      <c r="VT90" s="717"/>
      <c r="VU90" s="717"/>
      <c r="VV90" s="717"/>
      <c r="VW90" s="717"/>
      <c r="VX90" s="717"/>
      <c r="VY90" s="717"/>
      <c r="VZ90" s="717"/>
      <c r="WA90" s="717"/>
      <c r="WB90" s="717"/>
      <c r="WC90" s="717"/>
      <c r="WD90" s="717"/>
      <c r="WE90" s="717"/>
      <c r="WF90" s="717"/>
      <c r="WG90" s="717"/>
      <c r="WH90" s="717"/>
      <c r="WI90" s="717"/>
      <c r="WJ90" s="717"/>
      <c r="WK90" s="717"/>
      <c r="WL90" s="717"/>
      <c r="WM90" s="717"/>
      <c r="WN90" s="717"/>
      <c r="WO90" s="717"/>
      <c r="WP90" s="717"/>
      <c r="WQ90" s="717"/>
      <c r="WR90" s="717"/>
      <c r="WS90" s="717"/>
      <c r="WT90" s="717"/>
      <c r="WU90" s="717"/>
      <c r="WV90" s="717"/>
      <c r="WW90" s="717"/>
      <c r="WX90" s="717"/>
      <c r="WY90" s="717"/>
      <c r="WZ90" s="717"/>
      <c r="XA90" s="717"/>
      <c r="XB90" s="717"/>
      <c r="XC90" s="717"/>
      <c r="XD90" s="717"/>
      <c r="XE90" s="717"/>
      <c r="XF90" s="717"/>
      <c r="XG90" s="717"/>
      <c r="XH90" s="717"/>
      <c r="XI90" s="717"/>
      <c r="XJ90" s="717"/>
      <c r="XK90" s="717"/>
      <c r="XL90" s="717"/>
      <c r="XM90" s="717"/>
      <c r="XN90" s="717"/>
      <c r="XO90" s="717"/>
      <c r="XP90" s="717"/>
      <c r="XQ90" s="717"/>
      <c r="XR90" s="717"/>
      <c r="XS90" s="717"/>
      <c r="XT90" s="717"/>
      <c r="XU90" s="717"/>
      <c r="XV90" s="717"/>
      <c r="XW90" s="717"/>
      <c r="XX90" s="717"/>
      <c r="XY90" s="717"/>
      <c r="XZ90" s="717"/>
      <c r="YA90" s="717"/>
      <c r="YB90" s="717"/>
      <c r="YC90" s="717"/>
      <c r="YD90" s="717"/>
      <c r="YE90" s="717"/>
      <c r="YF90" s="717"/>
      <c r="YG90" s="717"/>
      <c r="YH90" s="717"/>
      <c r="YI90" s="717"/>
      <c r="YJ90" s="717"/>
      <c r="YK90" s="717"/>
      <c r="YL90" s="717"/>
      <c r="YM90" s="717"/>
      <c r="YN90" s="717"/>
      <c r="YO90" s="717"/>
      <c r="YP90" s="717"/>
      <c r="YQ90" s="717"/>
      <c r="YR90" s="717"/>
      <c r="YS90" s="717"/>
      <c r="YT90" s="717"/>
      <c r="YU90" s="717"/>
      <c r="YV90" s="717"/>
      <c r="YW90" s="717"/>
      <c r="YX90" s="717"/>
      <c r="YY90" s="717"/>
      <c r="YZ90" s="717"/>
      <c r="ZA90" s="717"/>
      <c r="ZB90" s="717"/>
      <c r="ZC90" s="717"/>
      <c r="ZD90" s="717"/>
      <c r="ZE90" s="717"/>
      <c r="ZF90" s="717"/>
      <c r="ZG90" s="717"/>
      <c r="ZH90" s="717"/>
      <c r="ZI90" s="717"/>
      <c r="ZJ90" s="717"/>
      <c r="ZK90" s="717"/>
      <c r="ZL90" s="717"/>
      <c r="ZM90" s="717"/>
      <c r="ZN90" s="717"/>
      <c r="ZO90" s="717"/>
      <c r="ZP90" s="717"/>
      <c r="ZQ90" s="717"/>
      <c r="ZR90" s="717"/>
      <c r="ZS90" s="717"/>
      <c r="ZT90" s="717"/>
      <c r="ZU90" s="717"/>
      <c r="ZV90" s="717"/>
      <c r="ZW90" s="717"/>
      <c r="ZX90" s="717"/>
      <c r="ZY90" s="717"/>
      <c r="ZZ90" s="717"/>
      <c r="AAA90" s="717"/>
      <c r="AAB90" s="717"/>
      <c r="AAC90" s="717"/>
      <c r="AAD90" s="717"/>
      <c r="AAE90" s="717"/>
      <c r="AAF90" s="717"/>
      <c r="AAG90" s="717"/>
      <c r="AAH90" s="717"/>
      <c r="AAI90" s="717"/>
      <c r="AAJ90" s="717"/>
      <c r="AAK90" s="717"/>
      <c r="AAL90" s="717"/>
      <c r="AAM90" s="717"/>
      <c r="AAN90" s="717"/>
      <c r="AAO90" s="717"/>
      <c r="AAP90" s="717"/>
      <c r="AAQ90" s="717"/>
      <c r="AAR90" s="717"/>
      <c r="AAS90" s="717"/>
      <c r="AAT90" s="717"/>
      <c r="AAU90" s="717"/>
      <c r="AAV90" s="717"/>
      <c r="AAW90" s="717"/>
      <c r="AAX90" s="717"/>
      <c r="AAY90" s="717"/>
      <c r="AAZ90" s="717"/>
      <c r="ABA90" s="717"/>
      <c r="ABB90" s="717"/>
      <c r="ABC90" s="717"/>
      <c r="ABD90" s="717"/>
      <c r="ABE90" s="717"/>
      <c r="ABF90" s="717"/>
      <c r="ABG90" s="717"/>
      <c r="ABH90" s="717"/>
      <c r="ABI90" s="717"/>
      <c r="ABJ90" s="717"/>
      <c r="ABK90" s="717"/>
      <c r="ABL90" s="717"/>
      <c r="ABM90" s="717"/>
      <c r="ABN90" s="717"/>
      <c r="ABO90" s="717"/>
      <c r="ABP90" s="717"/>
      <c r="ABQ90" s="717"/>
      <c r="ABR90" s="717"/>
      <c r="ABS90" s="717"/>
      <c r="ABT90" s="717"/>
      <c r="ABU90" s="717"/>
      <c r="ABV90" s="717"/>
      <c r="ABW90" s="717"/>
      <c r="ABX90" s="717"/>
      <c r="ABY90" s="717"/>
      <c r="ABZ90" s="717"/>
      <c r="ACA90" s="717"/>
      <c r="ACB90" s="717"/>
      <c r="ACC90" s="717"/>
      <c r="ACD90" s="717"/>
      <c r="ACE90" s="717"/>
      <c r="ACF90" s="717"/>
      <c r="ACG90" s="717"/>
      <c r="ACH90" s="717"/>
      <c r="ACI90" s="717"/>
      <c r="ACJ90" s="717"/>
      <c r="ACK90" s="717"/>
      <c r="ACL90" s="717"/>
      <c r="ACM90" s="717"/>
      <c r="ACT90" s="717"/>
      <c r="ACU90" s="717"/>
      <c r="ACV90" s="717"/>
      <c r="ACW90" s="717"/>
      <c r="ACX90" s="717"/>
      <c r="ACY90" s="717"/>
      <c r="ACZ90" s="717"/>
      <c r="ADA90" s="717"/>
      <c r="ADB90" s="717"/>
      <c r="ADC90" s="717"/>
      <c r="ADD90" s="717"/>
      <c r="ADE90" s="717"/>
      <c r="ADF90" s="717"/>
      <c r="ADG90" s="717"/>
      <c r="ADH90" s="717"/>
      <c r="ADI90" s="717"/>
      <c r="ADJ90" s="717"/>
      <c r="ADK90" s="717"/>
      <c r="ADL90" s="717"/>
      <c r="ADM90" s="717"/>
      <c r="ADN90" s="717"/>
      <c r="ADO90" s="717"/>
      <c r="ADP90" s="717"/>
      <c r="ADQ90" s="717"/>
      <c r="ADR90" s="717"/>
      <c r="ADS90" s="717"/>
      <c r="ADT90" s="717"/>
      <c r="ADU90" s="717"/>
      <c r="ADV90" s="717"/>
      <c r="ADW90" s="717"/>
      <c r="ADX90" s="717"/>
      <c r="ADY90" s="717"/>
      <c r="ADZ90" s="717"/>
      <c r="AEA90" s="717"/>
      <c r="AEB90" s="717"/>
      <c r="AEC90" s="717"/>
      <c r="AED90" s="717"/>
      <c r="AEE90" s="717"/>
      <c r="AEF90" s="717"/>
      <c r="AEG90" s="717"/>
      <c r="AEH90" s="717"/>
      <c r="AEI90" s="717"/>
      <c r="AEJ90" s="717"/>
      <c r="AEK90" s="717"/>
      <c r="AEL90" s="717"/>
      <c r="AEM90" s="717"/>
      <c r="AEN90" s="717"/>
      <c r="AEO90" s="717"/>
      <c r="AEP90" s="717"/>
      <c r="AEQ90" s="717"/>
      <c r="AER90" s="717"/>
      <c r="AES90" s="717"/>
      <c r="AET90" s="717"/>
      <c r="AEU90" s="717"/>
      <c r="AEV90" s="717"/>
      <c r="AEW90" s="717"/>
      <c r="AEX90" s="717"/>
      <c r="AEY90" s="717"/>
      <c r="AEZ90" s="717"/>
      <c r="AFA90" s="717"/>
      <c r="AFB90" s="717"/>
      <c r="AFC90" s="717"/>
      <c r="AFD90" s="717"/>
      <c r="AFE90" s="717"/>
      <c r="AFF90" s="717"/>
      <c r="AFG90" s="717"/>
      <c r="AFH90" s="717"/>
      <c r="AFI90" s="717"/>
      <c r="AFJ90" s="717"/>
      <c r="AFK90" s="717"/>
      <c r="AFL90" s="717"/>
      <c r="AFM90" s="717"/>
      <c r="AFN90" s="717"/>
      <c r="AFO90" s="717"/>
      <c r="AFP90" s="717"/>
      <c r="AFQ90" s="717"/>
      <c r="AFR90" s="717"/>
      <c r="AFS90" s="717"/>
      <c r="AFT90" s="717"/>
      <c r="AFU90" s="717"/>
      <c r="AFV90" s="717"/>
      <c r="AFW90" s="717"/>
      <c r="AFX90" s="717"/>
      <c r="AFY90" s="717"/>
      <c r="AFZ90" s="717"/>
      <c r="AGA90" s="717"/>
      <c r="AGB90" s="717"/>
      <c r="AGC90" s="717"/>
      <c r="AGD90" s="717"/>
      <c r="AGE90" s="717"/>
      <c r="AGF90" s="717"/>
      <c r="AGG90" s="717"/>
      <c r="AGH90" s="717"/>
      <c r="AGI90" s="717"/>
      <c r="AGJ90" s="717"/>
      <c r="AGK90" s="717"/>
      <c r="AGL90" s="717"/>
      <c r="AGM90" s="717"/>
      <c r="AGN90" s="717"/>
      <c r="AGO90" s="717"/>
      <c r="AGP90" s="717"/>
      <c r="AGQ90" s="717"/>
      <c r="AGR90" s="717"/>
      <c r="AGS90" s="717"/>
      <c r="AGT90" s="717"/>
      <c r="AGU90" s="717"/>
      <c r="AGV90" s="717"/>
      <c r="AGW90" s="717"/>
      <c r="AGX90" s="717"/>
      <c r="AGY90" s="717"/>
      <c r="AGZ90" s="717"/>
      <c r="AHA90" s="717"/>
      <c r="AHB90" s="717"/>
      <c r="AHC90" s="717"/>
      <c r="AHD90" s="717"/>
      <c r="AHE90" s="717"/>
      <c r="AHF90" s="717"/>
      <c r="AHG90" s="717"/>
      <c r="AHH90" s="717"/>
      <c r="AHI90" s="717"/>
      <c r="AHJ90" s="717"/>
      <c r="AHK90" s="717"/>
      <c r="AHL90" s="717"/>
      <c r="AHM90" s="717"/>
      <c r="AHN90" s="717"/>
      <c r="AHO90" s="717"/>
      <c r="AHP90" s="717"/>
      <c r="AHQ90" s="717"/>
      <c r="AHR90" s="717"/>
      <c r="AHS90" s="717"/>
      <c r="AHT90" s="717"/>
      <c r="AHU90" s="717"/>
      <c r="AHV90" s="717"/>
      <c r="AHW90" s="717"/>
      <c r="AHX90" s="717"/>
      <c r="AHY90" s="717"/>
      <c r="AHZ90" s="717"/>
      <c r="AIA90" s="717"/>
      <c r="AIB90" s="717"/>
      <c r="AIC90" s="717"/>
      <c r="AID90" s="717"/>
      <c r="AIE90" s="717"/>
      <c r="AIF90" s="717"/>
      <c r="AIG90" s="717"/>
      <c r="AIH90" s="717"/>
      <c r="AII90" s="717"/>
      <c r="AIJ90" s="717"/>
      <c r="AIK90" s="717"/>
      <c r="AIL90" s="717"/>
      <c r="AIM90" s="717"/>
      <c r="AIN90" s="717"/>
      <c r="AIO90" s="717"/>
      <c r="AIP90" s="717"/>
      <c r="AIQ90" s="717"/>
      <c r="AIR90" s="717"/>
      <c r="AIS90" s="717"/>
      <c r="AIT90" s="717"/>
      <c r="AIU90" s="717"/>
      <c r="AIV90" s="717"/>
      <c r="AIW90" s="717"/>
      <c r="AIX90" s="717"/>
      <c r="AIY90" s="717"/>
      <c r="AIZ90" s="717"/>
      <c r="AJA90" s="717"/>
      <c r="AJB90" s="717"/>
      <c r="AJC90" s="717"/>
      <c r="AJD90" s="717"/>
      <c r="AJE90" s="717"/>
      <c r="AJF90" s="717"/>
      <c r="AJG90" s="717"/>
      <c r="AJH90" s="717"/>
      <c r="AJI90" s="717"/>
      <c r="AJJ90" s="717"/>
      <c r="AJK90" s="717"/>
      <c r="AJL90" s="717"/>
      <c r="AJM90" s="717"/>
      <c r="AJN90" s="717"/>
      <c r="AJO90" s="717"/>
      <c r="AJP90" s="717"/>
      <c r="AJQ90" s="717"/>
      <c r="AJR90" s="717"/>
      <c r="AJS90" s="717"/>
      <c r="AJT90" s="717"/>
      <c r="AJU90" s="717"/>
      <c r="AJV90" s="717"/>
      <c r="AJW90" s="717"/>
      <c r="AJX90" s="717"/>
      <c r="AJY90" s="717"/>
      <c r="AJZ90" s="717"/>
      <c r="AKA90" s="717"/>
      <c r="AKB90" s="717"/>
      <c r="AKC90" s="717"/>
      <c r="AKD90" s="717"/>
      <c r="AKE90" s="717"/>
      <c r="AKF90" s="717"/>
      <c r="AKG90" s="717"/>
      <c r="AKH90" s="717"/>
      <c r="AKI90" s="717"/>
      <c r="AKJ90" s="717"/>
      <c r="AKK90" s="717"/>
      <c r="AKL90" s="717"/>
      <c r="AKM90" s="717"/>
      <c r="AKN90" s="717"/>
      <c r="AKO90" s="717"/>
      <c r="AKP90" s="717"/>
      <c r="AKQ90" s="717"/>
      <c r="AKR90" s="717"/>
      <c r="AKS90" s="717"/>
      <c r="AKT90" s="717"/>
      <c r="AKU90" s="717"/>
      <c r="AKV90" s="717"/>
      <c r="AKW90" s="717"/>
      <c r="AKX90" s="717"/>
      <c r="AKY90" s="717"/>
      <c r="AKZ90" s="717"/>
      <c r="ALA90" s="717"/>
      <c r="ALB90" s="717"/>
      <c r="ALC90" s="717"/>
      <c r="ALD90" s="717"/>
      <c r="ALE90" s="717"/>
      <c r="ALF90" s="717"/>
      <c r="ALG90" s="717"/>
      <c r="ALH90" s="717"/>
      <c r="ALI90" s="717"/>
      <c r="ALJ90" s="717"/>
      <c r="ALK90" s="717"/>
      <c r="ALL90" s="717"/>
      <c r="ALM90" s="717"/>
      <c r="ALN90" s="717"/>
      <c r="ALO90" s="717"/>
      <c r="ALP90" s="717"/>
      <c r="ALQ90" s="717"/>
      <c r="ALR90" s="717"/>
      <c r="ALS90" s="717"/>
      <c r="ALT90" s="717"/>
      <c r="ALU90" s="717"/>
      <c r="ALV90" s="717"/>
      <c r="ALW90" s="717"/>
      <c r="ALX90" s="717"/>
      <c r="ALY90" s="717"/>
      <c r="ALZ90" s="717"/>
      <c r="AMA90" s="717"/>
      <c r="AMB90" s="717"/>
      <c r="AMC90" s="717"/>
      <c r="AMD90" s="717"/>
      <c r="AME90" s="717"/>
      <c r="AMF90" s="717"/>
      <c r="AMG90" s="717"/>
      <c r="AMH90" s="717"/>
      <c r="AMI90" s="717"/>
      <c r="AMP90" s="717"/>
      <c r="AMQ90" s="717"/>
      <c r="AMR90" s="717"/>
      <c r="AMS90" s="717"/>
      <c r="AMT90" s="717"/>
      <c r="AMU90" s="717"/>
      <c r="AMV90" s="717"/>
      <c r="AMW90" s="717"/>
      <c r="AMX90" s="717"/>
      <c r="AMY90" s="717"/>
      <c r="AMZ90" s="717"/>
      <c r="ANA90" s="717"/>
      <c r="ANB90" s="717"/>
      <c r="ANC90" s="717"/>
      <c r="AND90" s="717"/>
      <c r="ANE90" s="717"/>
      <c r="ANF90" s="717"/>
      <c r="ANG90" s="717"/>
      <c r="ANH90" s="717"/>
      <c r="ANI90" s="717"/>
      <c r="ANJ90" s="717"/>
      <c r="ANK90" s="717"/>
      <c r="ANL90" s="717"/>
      <c r="ANM90" s="717"/>
      <c r="ANN90" s="717"/>
      <c r="ANO90" s="717"/>
      <c r="ANP90" s="717"/>
      <c r="ANQ90" s="717"/>
      <c r="ANR90" s="717"/>
      <c r="ANS90" s="717"/>
      <c r="ANT90" s="717"/>
      <c r="ANU90" s="717"/>
      <c r="ANV90" s="717"/>
      <c r="ANW90" s="717"/>
      <c r="ANX90" s="717"/>
      <c r="ANY90" s="717"/>
      <c r="ANZ90" s="717"/>
      <c r="AOA90" s="717"/>
      <c r="AOB90" s="717"/>
      <c r="AOC90" s="717"/>
      <c r="AOD90" s="717"/>
      <c r="AOE90" s="717"/>
      <c r="AOF90" s="717"/>
      <c r="AOG90" s="717"/>
      <c r="AOH90" s="717"/>
      <c r="AOI90" s="717"/>
      <c r="AOJ90" s="717"/>
      <c r="AOK90" s="717"/>
      <c r="AOL90" s="717"/>
      <c r="AOM90" s="717"/>
      <c r="AON90" s="717"/>
      <c r="AOO90" s="717"/>
      <c r="AOP90" s="717"/>
      <c r="AOQ90" s="717"/>
      <c r="AOR90" s="717"/>
      <c r="AOS90" s="717"/>
      <c r="AOT90" s="717"/>
      <c r="AOU90" s="717"/>
      <c r="AOV90" s="717"/>
      <c r="AOW90" s="717"/>
      <c r="AOX90" s="717"/>
      <c r="AOY90" s="717"/>
      <c r="AOZ90" s="717"/>
      <c r="APA90" s="717"/>
      <c r="APB90" s="717"/>
      <c r="APC90" s="717"/>
      <c r="APD90" s="717"/>
      <c r="APE90" s="717"/>
      <c r="APF90" s="717"/>
      <c r="APG90" s="717"/>
      <c r="APH90" s="717"/>
      <c r="API90" s="717"/>
      <c r="APJ90" s="717"/>
      <c r="APK90" s="717"/>
      <c r="APL90" s="717"/>
      <c r="APM90" s="717"/>
      <c r="APN90" s="717"/>
      <c r="APO90" s="717"/>
      <c r="APP90" s="717"/>
      <c r="APQ90" s="717"/>
      <c r="APR90" s="717"/>
      <c r="APS90" s="717"/>
      <c r="APT90" s="717"/>
      <c r="APU90" s="717"/>
      <c r="APV90" s="717"/>
      <c r="APW90" s="717"/>
      <c r="APX90" s="717"/>
      <c r="APY90" s="717"/>
      <c r="APZ90" s="717"/>
      <c r="AQA90" s="717"/>
      <c r="AQB90" s="717"/>
      <c r="AQC90" s="717"/>
      <c r="AQD90" s="717"/>
      <c r="AQE90" s="717"/>
      <c r="AQF90" s="717"/>
      <c r="AQG90" s="717"/>
      <c r="AQH90" s="717"/>
      <c r="AQI90" s="717"/>
      <c r="AQJ90" s="717"/>
      <c r="AQK90" s="717"/>
      <c r="AQL90" s="717"/>
      <c r="AQM90" s="717"/>
      <c r="AQN90" s="717"/>
      <c r="AQO90" s="717"/>
      <c r="AQP90" s="717"/>
      <c r="AQQ90" s="717"/>
      <c r="AQR90" s="717"/>
      <c r="AQS90" s="717"/>
      <c r="AQT90" s="717"/>
      <c r="AQU90" s="717"/>
      <c r="AQV90" s="717"/>
      <c r="AQW90" s="717"/>
      <c r="AQX90" s="717"/>
      <c r="AQY90" s="717"/>
      <c r="AQZ90" s="717"/>
      <c r="ARA90" s="717"/>
      <c r="ARB90" s="717"/>
      <c r="ARC90" s="717"/>
      <c r="ARD90" s="717"/>
      <c r="ARE90" s="717"/>
      <c r="ARF90" s="717"/>
      <c r="ARG90" s="717"/>
      <c r="ARH90" s="717"/>
      <c r="ARI90" s="717"/>
      <c r="ARJ90" s="717"/>
      <c r="ARK90" s="717"/>
      <c r="ARL90" s="717"/>
      <c r="ARM90" s="717"/>
      <c r="ARN90" s="717"/>
      <c r="ARO90" s="717"/>
      <c r="ARP90" s="717"/>
      <c r="ARQ90" s="717"/>
      <c r="ARR90" s="717"/>
      <c r="ARS90" s="717"/>
      <c r="ART90" s="717"/>
      <c r="ARU90" s="717"/>
      <c r="ARV90" s="717"/>
      <c r="ARW90" s="717"/>
      <c r="ARX90" s="717"/>
      <c r="ARY90" s="717"/>
      <c r="ARZ90" s="717"/>
      <c r="ASA90" s="717"/>
      <c r="ASB90" s="717"/>
      <c r="ASC90" s="717"/>
      <c r="ASD90" s="717"/>
      <c r="ASE90" s="717"/>
      <c r="ASF90" s="717"/>
      <c r="ASG90" s="717"/>
      <c r="ASH90" s="717"/>
      <c r="ASI90" s="717"/>
      <c r="ASJ90" s="717"/>
      <c r="ASK90" s="717"/>
      <c r="ASL90" s="717"/>
      <c r="ASM90" s="717"/>
      <c r="ASN90" s="717"/>
      <c r="ASO90" s="717"/>
      <c r="ASP90" s="717"/>
      <c r="ASQ90" s="717"/>
      <c r="ASR90" s="717"/>
      <c r="ASS90" s="717"/>
      <c r="AST90" s="717"/>
      <c r="ASU90" s="717"/>
      <c r="ASV90" s="717"/>
      <c r="ASW90" s="717"/>
      <c r="ASX90" s="717"/>
      <c r="ASY90" s="717"/>
      <c r="ASZ90" s="717"/>
      <c r="ATA90" s="717"/>
      <c r="ATB90" s="717"/>
      <c r="ATC90" s="717"/>
      <c r="ATD90" s="717"/>
      <c r="ATE90" s="717"/>
      <c r="ATF90" s="717"/>
      <c r="ATG90" s="717"/>
      <c r="ATH90" s="717"/>
      <c r="ATI90" s="717"/>
      <c r="ATJ90" s="717"/>
      <c r="ATK90" s="717"/>
      <c r="ATL90" s="717"/>
      <c r="ATM90" s="717"/>
      <c r="ATN90" s="717"/>
      <c r="ATO90" s="717"/>
      <c r="ATP90" s="717"/>
      <c r="ATQ90" s="717"/>
      <c r="ATR90" s="717"/>
      <c r="ATS90" s="717"/>
      <c r="ATT90" s="717"/>
      <c r="ATU90" s="717"/>
      <c r="ATV90" s="717"/>
      <c r="ATW90" s="717"/>
      <c r="ATX90" s="717"/>
      <c r="ATY90" s="717"/>
      <c r="ATZ90" s="717"/>
      <c r="AUA90" s="717"/>
      <c r="AUB90" s="717"/>
      <c r="AUC90" s="717"/>
      <c r="AUD90" s="717"/>
      <c r="AUE90" s="717"/>
      <c r="AUF90" s="717"/>
      <c r="AUG90" s="717"/>
      <c r="AUH90" s="717"/>
      <c r="AUI90" s="717"/>
      <c r="AUJ90" s="717"/>
      <c r="AUK90" s="717"/>
      <c r="AUL90" s="717"/>
      <c r="AUM90" s="717"/>
      <c r="AUN90" s="717"/>
      <c r="AUO90" s="717"/>
      <c r="AUP90" s="717"/>
      <c r="AUQ90" s="717"/>
      <c r="AUR90" s="717"/>
      <c r="AUS90" s="717"/>
      <c r="AUT90" s="717"/>
      <c r="AUU90" s="717"/>
      <c r="AUV90" s="717"/>
      <c r="AUW90" s="717"/>
      <c r="AUX90" s="717"/>
      <c r="AUY90" s="717"/>
      <c r="AUZ90" s="717"/>
      <c r="AVA90" s="717"/>
      <c r="AVB90" s="717"/>
      <c r="AVC90" s="717"/>
      <c r="AVD90" s="717"/>
      <c r="AVE90" s="717"/>
      <c r="AVF90" s="717"/>
      <c r="AVG90" s="717"/>
      <c r="AVH90" s="717"/>
      <c r="AVI90" s="717"/>
      <c r="AVJ90" s="717"/>
      <c r="AVK90" s="717"/>
      <c r="AVL90" s="717"/>
      <c r="AVM90" s="717"/>
      <c r="AVN90" s="717"/>
      <c r="AVO90" s="717"/>
      <c r="AVP90" s="717"/>
      <c r="AVQ90" s="717"/>
      <c r="AVR90" s="717"/>
      <c r="AVS90" s="717"/>
      <c r="AVT90" s="717"/>
      <c r="AVU90" s="717"/>
      <c r="AVV90" s="717"/>
      <c r="AVW90" s="717"/>
      <c r="AVX90" s="717"/>
      <c r="AVY90" s="717"/>
      <c r="AVZ90" s="717"/>
      <c r="AWA90" s="717"/>
      <c r="AWB90" s="717"/>
      <c r="AWC90" s="717"/>
      <c r="AWD90" s="717"/>
      <c r="AWE90" s="717"/>
      <c r="AWL90" s="717"/>
      <c r="AWM90" s="717"/>
      <c r="AWN90" s="717"/>
      <c r="AWO90" s="717"/>
      <c r="AWP90" s="717"/>
      <c r="AWQ90" s="717"/>
      <c r="AWR90" s="717"/>
      <c r="AWS90" s="717"/>
      <c r="AWT90" s="717"/>
      <c r="AWU90" s="717"/>
      <c r="AWV90" s="717"/>
      <c r="AWW90" s="717"/>
      <c r="AWX90" s="717"/>
      <c r="AWY90" s="717"/>
      <c r="AWZ90" s="717"/>
      <c r="AXA90" s="717"/>
      <c r="AXB90" s="717"/>
      <c r="AXC90" s="717"/>
      <c r="AXD90" s="717"/>
      <c r="AXE90" s="717"/>
      <c r="AXF90" s="717"/>
      <c r="AXG90" s="717"/>
      <c r="AXH90" s="717"/>
      <c r="AXI90" s="717"/>
      <c r="AXJ90" s="717"/>
      <c r="AXK90" s="717"/>
      <c r="AXL90" s="717"/>
      <c r="AXM90" s="717"/>
      <c r="AXN90" s="717"/>
      <c r="AXO90" s="717"/>
      <c r="AXP90" s="717"/>
      <c r="AXQ90" s="717"/>
      <c r="AXR90" s="717"/>
      <c r="AXS90" s="717"/>
      <c r="AXT90" s="717"/>
      <c r="AXU90" s="717"/>
      <c r="AXV90" s="717"/>
      <c r="AXW90" s="717"/>
      <c r="AXX90" s="717"/>
      <c r="AXY90" s="717"/>
      <c r="AXZ90" s="717"/>
      <c r="AYA90" s="717"/>
      <c r="AYB90" s="717"/>
      <c r="AYC90" s="717"/>
      <c r="AYD90" s="717"/>
      <c r="AYE90" s="717"/>
      <c r="AYF90" s="717"/>
      <c r="AYG90" s="717"/>
      <c r="AYH90" s="717"/>
      <c r="AYI90" s="717"/>
      <c r="AYJ90" s="717"/>
      <c r="AYK90" s="717"/>
      <c r="AYL90" s="717"/>
      <c r="AYM90" s="717"/>
      <c r="AYN90" s="717"/>
      <c r="AYO90" s="717"/>
      <c r="AYP90" s="717"/>
      <c r="AYQ90" s="717"/>
      <c r="AYR90" s="717"/>
      <c r="AYS90" s="717"/>
      <c r="AYT90" s="717"/>
      <c r="AYU90" s="717"/>
      <c r="AYV90" s="717"/>
      <c r="AYW90" s="717"/>
      <c r="AYX90" s="717"/>
      <c r="AYY90" s="717"/>
      <c r="AYZ90" s="717"/>
      <c r="AZA90" s="717"/>
      <c r="AZB90" s="717"/>
      <c r="AZC90" s="717"/>
      <c r="AZD90" s="717"/>
      <c r="AZE90" s="717"/>
      <c r="AZF90" s="717"/>
      <c r="AZG90" s="717"/>
      <c r="AZH90" s="717"/>
      <c r="AZI90" s="717"/>
      <c r="AZJ90" s="717"/>
      <c r="AZK90" s="717"/>
      <c r="AZL90" s="717"/>
      <c r="AZM90" s="717"/>
      <c r="AZN90" s="717"/>
      <c r="AZO90" s="717"/>
      <c r="AZP90" s="717"/>
      <c r="AZQ90" s="717"/>
      <c r="AZR90" s="717"/>
      <c r="AZS90" s="717"/>
      <c r="AZT90" s="717"/>
      <c r="AZU90" s="717"/>
      <c r="AZV90" s="717"/>
      <c r="AZW90" s="717"/>
      <c r="AZX90" s="717"/>
      <c r="AZY90" s="717"/>
      <c r="AZZ90" s="717"/>
      <c r="BAA90" s="717"/>
      <c r="BAB90" s="717"/>
      <c r="BAC90" s="717"/>
      <c r="BAD90" s="717"/>
      <c r="BAE90" s="717"/>
      <c r="BAF90" s="717"/>
      <c r="BAG90" s="717"/>
      <c r="BAH90" s="717"/>
      <c r="BAI90" s="717"/>
      <c r="BAJ90" s="717"/>
      <c r="BAK90" s="717"/>
      <c r="BAL90" s="717"/>
      <c r="BAM90" s="717"/>
      <c r="BAN90" s="717"/>
      <c r="BAO90" s="717"/>
      <c r="BAP90" s="717"/>
      <c r="BAQ90" s="717"/>
      <c r="BAR90" s="717"/>
      <c r="BAS90" s="717"/>
      <c r="BAT90" s="717"/>
      <c r="BAU90" s="717"/>
      <c r="BAV90" s="717"/>
      <c r="BAW90" s="717"/>
      <c r="BAX90" s="717"/>
      <c r="BAY90" s="717"/>
      <c r="BAZ90" s="717"/>
      <c r="BBA90" s="717"/>
      <c r="BBB90" s="717"/>
      <c r="BBC90" s="717"/>
      <c r="BBD90" s="717"/>
      <c r="BBE90" s="717"/>
      <c r="BBF90" s="717"/>
      <c r="BBG90" s="717"/>
      <c r="BBH90" s="717"/>
      <c r="BBI90" s="717"/>
      <c r="BBJ90" s="717"/>
      <c r="BBK90" s="717"/>
      <c r="BBL90" s="717"/>
      <c r="BBM90" s="717"/>
      <c r="BBN90" s="717"/>
      <c r="BBO90" s="717"/>
      <c r="BBP90" s="717"/>
      <c r="BBQ90" s="717"/>
      <c r="BBR90" s="717"/>
      <c r="BBS90" s="717"/>
      <c r="BBT90" s="717"/>
      <c r="BBU90" s="717"/>
      <c r="BBV90" s="717"/>
      <c r="BBW90" s="717"/>
      <c r="BBX90" s="717"/>
      <c r="BBY90" s="717"/>
      <c r="BBZ90" s="717"/>
      <c r="BCA90" s="717"/>
      <c r="BCB90" s="717"/>
      <c r="BCC90" s="717"/>
      <c r="BCD90" s="717"/>
      <c r="BCE90" s="717"/>
      <c r="BCF90" s="717"/>
      <c r="BCG90" s="717"/>
      <c r="BCH90" s="717"/>
      <c r="BCI90" s="717"/>
      <c r="BCJ90" s="717"/>
      <c r="BCK90" s="717"/>
      <c r="BCL90" s="717"/>
      <c r="BCM90" s="717"/>
      <c r="BCN90" s="717"/>
      <c r="BCO90" s="717"/>
      <c r="BCP90" s="717"/>
      <c r="BCQ90" s="717"/>
      <c r="BCR90" s="717"/>
      <c r="BCS90" s="717"/>
      <c r="BCT90" s="717"/>
      <c r="BCU90" s="717"/>
      <c r="BCV90" s="717"/>
      <c r="BCW90" s="717"/>
      <c r="BCX90" s="717"/>
      <c r="BCY90" s="717"/>
      <c r="BCZ90" s="717"/>
      <c r="BDA90" s="717"/>
      <c r="BDB90" s="717"/>
      <c r="BDC90" s="717"/>
      <c r="BDD90" s="717"/>
      <c r="BDE90" s="717"/>
      <c r="BDF90" s="717"/>
      <c r="BDG90" s="717"/>
      <c r="BDH90" s="717"/>
      <c r="BDI90" s="717"/>
      <c r="BDJ90" s="717"/>
      <c r="BDK90" s="717"/>
      <c r="BDL90" s="717"/>
      <c r="BDM90" s="717"/>
      <c r="BDN90" s="717"/>
      <c r="BDO90" s="717"/>
      <c r="BDP90" s="717"/>
      <c r="BDQ90" s="717"/>
      <c r="BDR90" s="717"/>
      <c r="BDS90" s="717"/>
      <c r="BDT90" s="717"/>
      <c r="BDU90" s="717"/>
      <c r="BDV90" s="717"/>
      <c r="BDW90" s="717"/>
      <c r="BDX90" s="717"/>
      <c r="BDY90" s="717"/>
      <c r="BDZ90" s="717"/>
      <c r="BEA90" s="717"/>
      <c r="BEB90" s="717"/>
      <c r="BEC90" s="717"/>
      <c r="BED90" s="717"/>
      <c r="BEE90" s="717"/>
      <c r="BEF90" s="717"/>
      <c r="BEG90" s="717"/>
      <c r="BEH90" s="717"/>
      <c r="BEI90" s="717"/>
      <c r="BEJ90" s="717"/>
      <c r="BEK90" s="717"/>
      <c r="BEL90" s="717"/>
      <c r="BEM90" s="717"/>
      <c r="BEN90" s="717"/>
      <c r="BEO90" s="717"/>
      <c r="BEP90" s="717"/>
      <c r="BEQ90" s="717"/>
      <c r="BER90" s="717"/>
      <c r="BES90" s="717"/>
      <c r="BET90" s="717"/>
      <c r="BEU90" s="717"/>
      <c r="BEV90" s="717"/>
      <c r="BEW90" s="717"/>
      <c r="BEX90" s="717"/>
      <c r="BEY90" s="717"/>
      <c r="BEZ90" s="717"/>
      <c r="BFA90" s="717"/>
      <c r="BFB90" s="717"/>
      <c r="BFC90" s="717"/>
      <c r="BFD90" s="717"/>
      <c r="BFE90" s="717"/>
      <c r="BFF90" s="717"/>
      <c r="BFG90" s="717"/>
      <c r="BFH90" s="717"/>
      <c r="BFI90" s="717"/>
      <c r="BFJ90" s="717"/>
      <c r="BFK90" s="717"/>
      <c r="BFL90" s="717"/>
      <c r="BFM90" s="717"/>
      <c r="BFN90" s="717"/>
      <c r="BFO90" s="717"/>
      <c r="BFP90" s="717"/>
      <c r="BFQ90" s="717"/>
      <c r="BFR90" s="717"/>
      <c r="BFS90" s="717"/>
      <c r="BFT90" s="717"/>
      <c r="BFU90" s="717"/>
      <c r="BFV90" s="717"/>
      <c r="BFW90" s="717"/>
      <c r="BFX90" s="717"/>
      <c r="BFY90" s="717"/>
      <c r="BFZ90" s="717"/>
      <c r="BGA90" s="717"/>
      <c r="BGH90" s="717"/>
      <c r="BGI90" s="717"/>
      <c r="BGJ90" s="717"/>
      <c r="BGK90" s="717"/>
      <c r="BGL90" s="717"/>
      <c r="BGM90" s="717"/>
      <c r="BGN90" s="717"/>
      <c r="BGO90" s="717"/>
      <c r="BGP90" s="717"/>
      <c r="BGQ90" s="717"/>
      <c r="BGR90" s="717"/>
      <c r="BGS90" s="717"/>
      <c r="BGT90" s="717"/>
      <c r="BGU90" s="717"/>
      <c r="BGV90" s="717"/>
      <c r="BGW90" s="717"/>
      <c r="BGX90" s="717"/>
      <c r="BGY90" s="717"/>
      <c r="BGZ90" s="717"/>
      <c r="BHA90" s="717"/>
      <c r="BHB90" s="717"/>
      <c r="BHC90" s="717"/>
      <c r="BHD90" s="717"/>
      <c r="BHE90" s="717"/>
      <c r="BHF90" s="717"/>
      <c r="BHG90" s="717"/>
      <c r="BHH90" s="717"/>
      <c r="BHI90" s="717"/>
      <c r="BHJ90" s="717"/>
      <c r="BHK90" s="717"/>
      <c r="BHL90" s="717"/>
      <c r="BHM90" s="717"/>
      <c r="BHN90" s="717"/>
      <c r="BHO90" s="717"/>
      <c r="BHP90" s="717"/>
      <c r="BHQ90" s="717"/>
      <c r="BHR90" s="717"/>
      <c r="BHS90" s="717"/>
      <c r="BHT90" s="717"/>
      <c r="BHU90" s="717"/>
      <c r="BHV90" s="717"/>
      <c r="BHW90" s="717"/>
      <c r="BHX90" s="717"/>
      <c r="BHY90" s="717"/>
      <c r="BHZ90" s="717"/>
      <c r="BIA90" s="717"/>
      <c r="BIB90" s="717"/>
      <c r="BIC90" s="717"/>
      <c r="BID90" s="717"/>
      <c r="BIE90" s="717"/>
      <c r="BIF90" s="717"/>
      <c r="BIG90" s="717"/>
      <c r="BIH90" s="717"/>
      <c r="BII90" s="717"/>
      <c r="BIJ90" s="717"/>
      <c r="BIK90" s="717"/>
      <c r="BIL90" s="717"/>
      <c r="BIM90" s="717"/>
      <c r="BIN90" s="717"/>
      <c r="BIO90" s="717"/>
      <c r="BIP90" s="717"/>
      <c r="BIQ90" s="717"/>
      <c r="BIR90" s="717"/>
      <c r="BIS90" s="717"/>
      <c r="BIT90" s="717"/>
      <c r="BIU90" s="717"/>
      <c r="BIV90" s="717"/>
      <c r="BIW90" s="717"/>
      <c r="BIX90" s="717"/>
      <c r="BIY90" s="717"/>
      <c r="BIZ90" s="717"/>
      <c r="BJA90" s="717"/>
      <c r="BJB90" s="717"/>
      <c r="BJC90" s="717"/>
      <c r="BJD90" s="717"/>
      <c r="BJE90" s="717"/>
      <c r="BJF90" s="717"/>
      <c r="BJG90" s="717"/>
      <c r="BJH90" s="717"/>
      <c r="BJI90" s="717"/>
      <c r="BJJ90" s="717"/>
      <c r="BJK90" s="717"/>
      <c r="BJL90" s="717"/>
      <c r="BJM90" s="717"/>
      <c r="BJN90" s="717"/>
      <c r="BJO90" s="717"/>
      <c r="BJP90" s="717"/>
      <c r="BJQ90" s="717"/>
      <c r="BJR90" s="717"/>
      <c r="BJS90" s="717"/>
      <c r="BJT90" s="717"/>
      <c r="BJU90" s="717"/>
      <c r="BJV90" s="717"/>
      <c r="BJW90" s="717"/>
      <c r="BJX90" s="717"/>
      <c r="BJY90" s="717"/>
      <c r="BJZ90" s="717"/>
      <c r="BKA90" s="717"/>
      <c r="BKB90" s="717"/>
      <c r="BKC90" s="717"/>
      <c r="BKD90" s="717"/>
      <c r="BKE90" s="717"/>
      <c r="BKF90" s="717"/>
      <c r="BKG90" s="717"/>
      <c r="BKH90" s="717"/>
      <c r="BKI90" s="717"/>
      <c r="BKJ90" s="717"/>
      <c r="BKK90" s="717"/>
      <c r="BKL90" s="717"/>
      <c r="BKM90" s="717"/>
      <c r="BKN90" s="717"/>
      <c r="BKO90" s="717"/>
      <c r="BKP90" s="717"/>
      <c r="BKQ90" s="717"/>
      <c r="BKR90" s="717"/>
      <c r="BKS90" s="717"/>
      <c r="BKT90" s="717"/>
      <c r="BKU90" s="717"/>
      <c r="BKV90" s="717"/>
      <c r="BKW90" s="717"/>
      <c r="BKX90" s="717"/>
      <c r="BKY90" s="717"/>
      <c r="BKZ90" s="717"/>
      <c r="BLA90" s="717"/>
      <c r="BLB90" s="717"/>
      <c r="BLC90" s="717"/>
      <c r="BLD90" s="717"/>
      <c r="BLE90" s="717"/>
      <c r="BLF90" s="717"/>
      <c r="BLG90" s="717"/>
      <c r="BLH90" s="717"/>
      <c r="BLI90" s="717"/>
      <c r="BLJ90" s="717"/>
      <c r="BLK90" s="717"/>
      <c r="BLL90" s="717"/>
      <c r="BLM90" s="717"/>
      <c r="BLN90" s="717"/>
      <c r="BLO90" s="717"/>
      <c r="BLP90" s="717"/>
      <c r="BLQ90" s="717"/>
      <c r="BLR90" s="717"/>
      <c r="BLS90" s="717"/>
      <c r="BLT90" s="717"/>
      <c r="BLU90" s="717"/>
      <c r="BLV90" s="717"/>
      <c r="BLW90" s="717"/>
      <c r="BLX90" s="717"/>
      <c r="BLY90" s="717"/>
      <c r="BLZ90" s="717"/>
      <c r="BMA90" s="717"/>
      <c r="BMB90" s="717"/>
      <c r="BMC90" s="717"/>
      <c r="BMD90" s="717"/>
      <c r="BME90" s="717"/>
      <c r="BMF90" s="717"/>
      <c r="BMG90" s="717"/>
      <c r="BMH90" s="717"/>
      <c r="BMI90" s="717"/>
      <c r="BMJ90" s="717"/>
      <c r="BMK90" s="717"/>
      <c r="BML90" s="717"/>
      <c r="BMM90" s="717"/>
      <c r="BMN90" s="717"/>
      <c r="BMO90" s="717"/>
      <c r="BMP90" s="717"/>
      <c r="BMQ90" s="717"/>
      <c r="BMR90" s="717"/>
      <c r="BMS90" s="717"/>
      <c r="BMT90" s="717"/>
      <c r="BMU90" s="717"/>
      <c r="BMV90" s="717"/>
      <c r="BMW90" s="717"/>
      <c r="BMX90" s="717"/>
      <c r="BMY90" s="717"/>
      <c r="BMZ90" s="717"/>
      <c r="BNA90" s="717"/>
      <c r="BNB90" s="717"/>
      <c r="BNC90" s="717"/>
      <c r="BND90" s="717"/>
      <c r="BNE90" s="717"/>
      <c r="BNF90" s="717"/>
      <c r="BNG90" s="717"/>
      <c r="BNH90" s="717"/>
      <c r="BNI90" s="717"/>
      <c r="BNJ90" s="717"/>
      <c r="BNK90" s="717"/>
      <c r="BNL90" s="717"/>
      <c r="BNM90" s="717"/>
      <c r="BNN90" s="717"/>
      <c r="BNO90" s="717"/>
      <c r="BNP90" s="717"/>
      <c r="BNQ90" s="717"/>
      <c r="BNR90" s="717"/>
      <c r="BNS90" s="717"/>
      <c r="BNT90" s="717"/>
      <c r="BNU90" s="717"/>
      <c r="BNV90" s="717"/>
      <c r="BNW90" s="717"/>
      <c r="BNX90" s="717"/>
      <c r="BNY90" s="717"/>
      <c r="BNZ90" s="717"/>
      <c r="BOA90" s="717"/>
      <c r="BOB90" s="717"/>
      <c r="BOC90" s="717"/>
      <c r="BOD90" s="717"/>
      <c r="BOE90" s="717"/>
      <c r="BOF90" s="717"/>
      <c r="BOG90" s="717"/>
      <c r="BOH90" s="717"/>
      <c r="BOI90" s="717"/>
      <c r="BOJ90" s="717"/>
      <c r="BOK90" s="717"/>
      <c r="BOL90" s="717"/>
      <c r="BOM90" s="717"/>
      <c r="BON90" s="717"/>
      <c r="BOO90" s="717"/>
      <c r="BOP90" s="717"/>
      <c r="BOQ90" s="717"/>
      <c r="BOR90" s="717"/>
      <c r="BOS90" s="717"/>
      <c r="BOT90" s="717"/>
      <c r="BOU90" s="717"/>
      <c r="BOV90" s="717"/>
      <c r="BOW90" s="717"/>
      <c r="BOX90" s="717"/>
      <c r="BOY90" s="717"/>
      <c r="BOZ90" s="717"/>
      <c r="BPA90" s="717"/>
      <c r="BPB90" s="717"/>
      <c r="BPC90" s="717"/>
      <c r="BPD90" s="717"/>
      <c r="BPE90" s="717"/>
      <c r="BPF90" s="717"/>
      <c r="BPG90" s="717"/>
      <c r="BPH90" s="717"/>
      <c r="BPI90" s="717"/>
      <c r="BPJ90" s="717"/>
      <c r="BPK90" s="717"/>
      <c r="BPL90" s="717"/>
      <c r="BPM90" s="717"/>
      <c r="BPN90" s="717"/>
      <c r="BPO90" s="717"/>
      <c r="BPP90" s="717"/>
      <c r="BPQ90" s="717"/>
      <c r="BPR90" s="717"/>
      <c r="BPS90" s="717"/>
      <c r="BPT90" s="717"/>
      <c r="BPU90" s="717"/>
      <c r="BPV90" s="717"/>
      <c r="BPW90" s="717"/>
      <c r="BQD90" s="717"/>
      <c r="BQE90" s="717"/>
      <c r="BQF90" s="717"/>
      <c r="BQG90" s="717"/>
      <c r="BQH90" s="717"/>
      <c r="BQI90" s="717"/>
      <c r="BQJ90" s="717"/>
      <c r="BQK90" s="717"/>
      <c r="BQL90" s="717"/>
      <c r="BQM90" s="717"/>
      <c r="BQN90" s="717"/>
      <c r="BQO90" s="717"/>
      <c r="BQP90" s="717"/>
      <c r="BQQ90" s="717"/>
      <c r="BQR90" s="717"/>
      <c r="BQS90" s="717"/>
      <c r="BQT90" s="717"/>
      <c r="BQU90" s="717"/>
      <c r="BQV90" s="717"/>
      <c r="BQW90" s="717"/>
      <c r="BQX90" s="717"/>
      <c r="BQY90" s="717"/>
      <c r="BQZ90" s="717"/>
      <c r="BRA90" s="717"/>
      <c r="BRB90" s="717"/>
      <c r="BRC90" s="717"/>
      <c r="BRD90" s="717"/>
      <c r="BRE90" s="717"/>
      <c r="BRF90" s="717"/>
      <c r="BRG90" s="717"/>
      <c r="BRH90" s="717"/>
      <c r="BRI90" s="717"/>
      <c r="BRJ90" s="717"/>
      <c r="BRK90" s="717"/>
      <c r="BRL90" s="717"/>
      <c r="BRM90" s="717"/>
      <c r="BRN90" s="717"/>
      <c r="BRO90" s="717"/>
      <c r="BRP90" s="717"/>
      <c r="BRQ90" s="717"/>
      <c r="BRR90" s="717"/>
      <c r="BRS90" s="717"/>
      <c r="BRT90" s="717"/>
      <c r="BRU90" s="717"/>
      <c r="BRV90" s="717"/>
      <c r="BRW90" s="717"/>
      <c r="BRX90" s="717"/>
      <c r="BRY90" s="717"/>
      <c r="BRZ90" s="717"/>
      <c r="BSA90" s="717"/>
      <c r="BSB90" s="717"/>
      <c r="BSC90" s="717"/>
      <c r="BSD90" s="717"/>
      <c r="BSE90" s="717"/>
      <c r="BSF90" s="717"/>
      <c r="BSG90" s="717"/>
      <c r="BSH90" s="717"/>
      <c r="BSI90" s="717"/>
      <c r="BSJ90" s="717"/>
      <c r="BSK90" s="717"/>
      <c r="BSL90" s="717"/>
      <c r="BSM90" s="717"/>
      <c r="BSN90" s="717"/>
      <c r="BSO90" s="717"/>
      <c r="BSP90" s="717"/>
      <c r="BSQ90" s="717"/>
      <c r="BSR90" s="717"/>
      <c r="BSS90" s="717"/>
      <c r="BST90" s="717"/>
      <c r="BSU90" s="717"/>
      <c r="BSV90" s="717"/>
      <c r="BSW90" s="717"/>
      <c r="BSX90" s="717"/>
      <c r="BSY90" s="717"/>
      <c r="BSZ90" s="717"/>
      <c r="BTA90" s="717"/>
      <c r="BTB90" s="717"/>
      <c r="BTC90" s="717"/>
      <c r="BTD90" s="717"/>
      <c r="BTE90" s="717"/>
      <c r="BTF90" s="717"/>
      <c r="BTG90" s="717"/>
      <c r="BTH90" s="717"/>
      <c r="BTI90" s="717"/>
      <c r="BTJ90" s="717"/>
      <c r="BTK90" s="717"/>
      <c r="BTL90" s="717"/>
      <c r="BTM90" s="717"/>
      <c r="BTN90" s="717"/>
      <c r="BTO90" s="717"/>
      <c r="BTP90" s="717"/>
      <c r="BTQ90" s="717"/>
      <c r="BTR90" s="717"/>
      <c r="BTS90" s="717"/>
      <c r="BTT90" s="717"/>
      <c r="BTU90" s="717"/>
      <c r="BTV90" s="717"/>
      <c r="BTW90" s="717"/>
      <c r="BTX90" s="717"/>
      <c r="BTY90" s="717"/>
      <c r="BTZ90" s="717"/>
      <c r="BUA90" s="717"/>
      <c r="BUB90" s="717"/>
      <c r="BUC90" s="717"/>
      <c r="BUD90" s="717"/>
      <c r="BUE90" s="717"/>
      <c r="BUF90" s="717"/>
      <c r="BUG90" s="717"/>
      <c r="BUH90" s="717"/>
      <c r="BUI90" s="717"/>
      <c r="BUJ90" s="717"/>
      <c r="BUK90" s="717"/>
      <c r="BUL90" s="717"/>
      <c r="BUM90" s="717"/>
      <c r="BUN90" s="717"/>
      <c r="BUO90" s="717"/>
      <c r="BUP90" s="717"/>
      <c r="BUQ90" s="717"/>
      <c r="BUR90" s="717"/>
      <c r="BUS90" s="717"/>
      <c r="BUT90" s="717"/>
      <c r="BUU90" s="717"/>
      <c r="BUV90" s="717"/>
      <c r="BUW90" s="717"/>
      <c r="BUX90" s="717"/>
      <c r="BUY90" s="717"/>
      <c r="BUZ90" s="717"/>
      <c r="BVA90" s="717"/>
      <c r="BVB90" s="717"/>
      <c r="BVC90" s="717"/>
      <c r="BVD90" s="717"/>
      <c r="BVE90" s="717"/>
      <c r="BVF90" s="717"/>
      <c r="BVG90" s="717"/>
      <c r="BVH90" s="717"/>
      <c r="BVI90" s="717"/>
      <c r="BVJ90" s="717"/>
      <c r="BVK90" s="717"/>
      <c r="BVL90" s="717"/>
      <c r="BVM90" s="717"/>
      <c r="BVN90" s="717"/>
      <c r="BVO90" s="717"/>
      <c r="BVP90" s="717"/>
      <c r="BVQ90" s="717"/>
      <c r="BVR90" s="717"/>
      <c r="BVS90" s="717"/>
      <c r="BVT90" s="717"/>
      <c r="BVU90" s="717"/>
      <c r="BVV90" s="717"/>
      <c r="BVW90" s="717"/>
      <c r="BVX90" s="717"/>
      <c r="BVY90" s="717"/>
      <c r="BVZ90" s="717"/>
      <c r="BWA90" s="717"/>
      <c r="BWB90" s="717"/>
      <c r="BWC90" s="717"/>
      <c r="BWD90" s="717"/>
      <c r="BWE90" s="717"/>
      <c r="BWF90" s="717"/>
      <c r="BWG90" s="717"/>
      <c r="BWH90" s="717"/>
      <c r="BWI90" s="717"/>
      <c r="BWJ90" s="717"/>
      <c r="BWK90" s="717"/>
      <c r="BWL90" s="717"/>
      <c r="BWM90" s="717"/>
      <c r="BWN90" s="717"/>
      <c r="BWO90" s="717"/>
      <c r="BWP90" s="717"/>
      <c r="BWQ90" s="717"/>
      <c r="BWR90" s="717"/>
      <c r="BWS90" s="717"/>
      <c r="BWT90" s="717"/>
      <c r="BWU90" s="717"/>
      <c r="BWV90" s="717"/>
      <c r="BWW90" s="717"/>
      <c r="BWX90" s="717"/>
      <c r="BWY90" s="717"/>
      <c r="BWZ90" s="717"/>
      <c r="BXA90" s="717"/>
      <c r="BXB90" s="717"/>
      <c r="BXC90" s="717"/>
      <c r="BXD90" s="717"/>
      <c r="BXE90" s="717"/>
      <c r="BXF90" s="717"/>
      <c r="BXG90" s="717"/>
      <c r="BXH90" s="717"/>
      <c r="BXI90" s="717"/>
      <c r="BXJ90" s="717"/>
      <c r="BXK90" s="717"/>
      <c r="BXL90" s="717"/>
      <c r="BXM90" s="717"/>
      <c r="BXN90" s="717"/>
      <c r="BXO90" s="717"/>
      <c r="BXP90" s="717"/>
      <c r="BXQ90" s="717"/>
      <c r="BXR90" s="717"/>
      <c r="BXS90" s="717"/>
      <c r="BXT90" s="717"/>
      <c r="BXU90" s="717"/>
      <c r="BXV90" s="717"/>
      <c r="BXW90" s="717"/>
      <c r="BXX90" s="717"/>
      <c r="BXY90" s="717"/>
      <c r="BXZ90" s="717"/>
      <c r="BYA90" s="717"/>
      <c r="BYB90" s="717"/>
      <c r="BYC90" s="717"/>
      <c r="BYD90" s="717"/>
      <c r="BYE90" s="717"/>
      <c r="BYF90" s="717"/>
      <c r="BYG90" s="717"/>
      <c r="BYH90" s="717"/>
      <c r="BYI90" s="717"/>
      <c r="BYJ90" s="717"/>
      <c r="BYK90" s="717"/>
      <c r="BYL90" s="717"/>
      <c r="BYM90" s="717"/>
      <c r="BYN90" s="717"/>
      <c r="BYO90" s="717"/>
      <c r="BYP90" s="717"/>
      <c r="BYQ90" s="717"/>
      <c r="BYR90" s="717"/>
      <c r="BYS90" s="717"/>
      <c r="BYT90" s="717"/>
      <c r="BYU90" s="717"/>
      <c r="BYV90" s="717"/>
      <c r="BYW90" s="717"/>
      <c r="BYX90" s="717"/>
      <c r="BYY90" s="717"/>
      <c r="BYZ90" s="717"/>
      <c r="BZA90" s="717"/>
      <c r="BZB90" s="717"/>
      <c r="BZC90" s="717"/>
      <c r="BZD90" s="717"/>
      <c r="BZE90" s="717"/>
      <c r="BZF90" s="717"/>
      <c r="BZG90" s="717"/>
      <c r="BZH90" s="717"/>
      <c r="BZI90" s="717"/>
      <c r="BZJ90" s="717"/>
      <c r="BZK90" s="717"/>
      <c r="BZL90" s="717"/>
      <c r="BZM90" s="717"/>
      <c r="BZN90" s="717"/>
      <c r="BZO90" s="717"/>
      <c r="BZP90" s="717"/>
      <c r="BZQ90" s="717"/>
      <c r="BZR90" s="717"/>
      <c r="BZS90" s="717"/>
      <c r="BZZ90" s="717"/>
      <c r="CAA90" s="717"/>
      <c r="CAB90" s="717"/>
      <c r="CAC90" s="717"/>
      <c r="CAD90" s="717"/>
      <c r="CAE90" s="717"/>
      <c r="CAF90" s="717"/>
      <c r="CAG90" s="717"/>
      <c r="CAH90" s="717"/>
      <c r="CAI90" s="717"/>
      <c r="CAJ90" s="717"/>
      <c r="CAK90" s="717"/>
      <c r="CAL90" s="717"/>
      <c r="CAM90" s="717"/>
      <c r="CAN90" s="717"/>
      <c r="CAO90" s="717"/>
      <c r="CAP90" s="717"/>
      <c r="CAQ90" s="717"/>
      <c r="CAR90" s="717"/>
      <c r="CAS90" s="717"/>
      <c r="CAT90" s="717"/>
      <c r="CAU90" s="717"/>
      <c r="CAV90" s="717"/>
      <c r="CAW90" s="717"/>
      <c r="CAX90" s="717"/>
      <c r="CAY90" s="717"/>
      <c r="CAZ90" s="717"/>
      <c r="CBA90" s="717"/>
      <c r="CBB90" s="717"/>
      <c r="CBC90" s="717"/>
      <c r="CBD90" s="717"/>
      <c r="CBE90" s="717"/>
      <c r="CBF90" s="717"/>
      <c r="CBG90" s="717"/>
      <c r="CBH90" s="717"/>
      <c r="CBI90" s="717"/>
      <c r="CBJ90" s="717"/>
      <c r="CBK90" s="717"/>
      <c r="CBL90" s="717"/>
      <c r="CBM90" s="717"/>
      <c r="CBN90" s="717"/>
      <c r="CBO90" s="717"/>
      <c r="CBP90" s="717"/>
      <c r="CBQ90" s="717"/>
      <c r="CBR90" s="717"/>
      <c r="CBS90" s="717"/>
      <c r="CBT90" s="717"/>
      <c r="CBU90" s="717"/>
      <c r="CBV90" s="717"/>
      <c r="CBW90" s="717"/>
      <c r="CBX90" s="717"/>
      <c r="CBY90" s="717"/>
      <c r="CBZ90" s="717"/>
      <c r="CCA90" s="717"/>
      <c r="CCB90" s="717"/>
      <c r="CCC90" s="717"/>
      <c r="CCD90" s="717"/>
      <c r="CCE90" s="717"/>
      <c r="CCF90" s="717"/>
      <c r="CCG90" s="717"/>
      <c r="CCH90" s="717"/>
      <c r="CCI90" s="717"/>
      <c r="CCJ90" s="717"/>
      <c r="CCK90" s="717"/>
      <c r="CCL90" s="717"/>
      <c r="CCM90" s="717"/>
      <c r="CCN90" s="717"/>
      <c r="CCO90" s="717"/>
      <c r="CCP90" s="717"/>
      <c r="CCQ90" s="717"/>
      <c r="CCR90" s="717"/>
      <c r="CCS90" s="717"/>
      <c r="CCT90" s="717"/>
      <c r="CCU90" s="717"/>
      <c r="CCV90" s="717"/>
      <c r="CCW90" s="717"/>
      <c r="CCX90" s="717"/>
      <c r="CCY90" s="717"/>
      <c r="CCZ90" s="717"/>
      <c r="CDA90" s="717"/>
      <c r="CDB90" s="717"/>
      <c r="CDC90" s="717"/>
      <c r="CDD90" s="717"/>
      <c r="CDE90" s="717"/>
      <c r="CDF90" s="717"/>
      <c r="CDG90" s="717"/>
      <c r="CDH90" s="717"/>
      <c r="CDI90" s="717"/>
      <c r="CDJ90" s="717"/>
      <c r="CDK90" s="717"/>
      <c r="CDL90" s="717"/>
      <c r="CDM90" s="717"/>
      <c r="CDN90" s="717"/>
      <c r="CDO90" s="717"/>
      <c r="CDP90" s="717"/>
      <c r="CDQ90" s="717"/>
      <c r="CDR90" s="717"/>
      <c r="CDS90" s="717"/>
      <c r="CDT90" s="717"/>
      <c r="CDU90" s="717"/>
      <c r="CDV90" s="717"/>
      <c r="CDW90" s="717"/>
      <c r="CDX90" s="717"/>
      <c r="CDY90" s="717"/>
      <c r="CDZ90" s="717"/>
      <c r="CEA90" s="717"/>
      <c r="CEB90" s="717"/>
      <c r="CEC90" s="717"/>
      <c r="CED90" s="717"/>
      <c r="CEE90" s="717"/>
      <c r="CEF90" s="717"/>
      <c r="CEG90" s="717"/>
      <c r="CEH90" s="717"/>
      <c r="CEI90" s="717"/>
      <c r="CEJ90" s="717"/>
      <c r="CEK90" s="717"/>
      <c r="CEL90" s="717"/>
      <c r="CEM90" s="717"/>
      <c r="CEN90" s="717"/>
      <c r="CEO90" s="717"/>
      <c r="CEP90" s="717"/>
      <c r="CEQ90" s="717"/>
      <c r="CER90" s="717"/>
      <c r="CES90" s="717"/>
      <c r="CET90" s="717"/>
      <c r="CEU90" s="717"/>
      <c r="CEV90" s="717"/>
      <c r="CEW90" s="717"/>
      <c r="CEX90" s="717"/>
      <c r="CEY90" s="717"/>
      <c r="CEZ90" s="717"/>
      <c r="CFA90" s="717"/>
      <c r="CFB90" s="717"/>
      <c r="CFC90" s="717"/>
      <c r="CFD90" s="717"/>
      <c r="CFE90" s="717"/>
      <c r="CFF90" s="717"/>
      <c r="CFG90" s="717"/>
      <c r="CFH90" s="717"/>
      <c r="CFI90" s="717"/>
      <c r="CFJ90" s="717"/>
      <c r="CFK90" s="717"/>
      <c r="CFL90" s="717"/>
      <c r="CFM90" s="717"/>
      <c r="CFN90" s="717"/>
      <c r="CFO90" s="717"/>
      <c r="CFP90" s="717"/>
      <c r="CFQ90" s="717"/>
      <c r="CFR90" s="717"/>
      <c r="CFS90" s="717"/>
      <c r="CFT90" s="717"/>
      <c r="CFU90" s="717"/>
      <c r="CFV90" s="717"/>
      <c r="CFW90" s="717"/>
      <c r="CFX90" s="717"/>
      <c r="CFY90" s="717"/>
      <c r="CFZ90" s="717"/>
      <c r="CGA90" s="717"/>
      <c r="CGB90" s="717"/>
      <c r="CGC90" s="717"/>
      <c r="CGD90" s="717"/>
      <c r="CGE90" s="717"/>
      <c r="CGF90" s="717"/>
      <c r="CGG90" s="717"/>
      <c r="CGH90" s="717"/>
      <c r="CGI90" s="717"/>
      <c r="CGJ90" s="717"/>
      <c r="CGK90" s="717"/>
      <c r="CGL90" s="717"/>
      <c r="CGM90" s="717"/>
      <c r="CGN90" s="717"/>
      <c r="CGO90" s="717"/>
      <c r="CGP90" s="717"/>
      <c r="CGQ90" s="717"/>
      <c r="CGR90" s="717"/>
      <c r="CGS90" s="717"/>
      <c r="CGT90" s="717"/>
      <c r="CGU90" s="717"/>
      <c r="CGV90" s="717"/>
      <c r="CGW90" s="717"/>
      <c r="CGX90" s="717"/>
      <c r="CGY90" s="717"/>
      <c r="CGZ90" s="717"/>
      <c r="CHA90" s="717"/>
      <c r="CHB90" s="717"/>
      <c r="CHC90" s="717"/>
      <c r="CHD90" s="717"/>
      <c r="CHE90" s="717"/>
      <c r="CHF90" s="717"/>
      <c r="CHG90" s="717"/>
      <c r="CHH90" s="717"/>
      <c r="CHI90" s="717"/>
      <c r="CHJ90" s="717"/>
      <c r="CHK90" s="717"/>
      <c r="CHL90" s="717"/>
      <c r="CHM90" s="717"/>
      <c r="CHN90" s="717"/>
      <c r="CHO90" s="717"/>
      <c r="CHP90" s="717"/>
      <c r="CHQ90" s="717"/>
      <c r="CHR90" s="717"/>
      <c r="CHS90" s="717"/>
      <c r="CHT90" s="717"/>
      <c r="CHU90" s="717"/>
      <c r="CHV90" s="717"/>
      <c r="CHW90" s="717"/>
      <c r="CHX90" s="717"/>
      <c r="CHY90" s="717"/>
      <c r="CHZ90" s="717"/>
      <c r="CIA90" s="717"/>
      <c r="CIB90" s="717"/>
      <c r="CIC90" s="717"/>
      <c r="CID90" s="717"/>
      <c r="CIE90" s="717"/>
      <c r="CIF90" s="717"/>
      <c r="CIG90" s="717"/>
      <c r="CIH90" s="717"/>
      <c r="CII90" s="717"/>
      <c r="CIJ90" s="717"/>
      <c r="CIK90" s="717"/>
      <c r="CIL90" s="717"/>
      <c r="CIM90" s="717"/>
      <c r="CIN90" s="717"/>
      <c r="CIO90" s="717"/>
      <c r="CIP90" s="717"/>
      <c r="CIQ90" s="717"/>
      <c r="CIR90" s="717"/>
      <c r="CIS90" s="717"/>
      <c r="CIT90" s="717"/>
      <c r="CIU90" s="717"/>
      <c r="CIV90" s="717"/>
      <c r="CIW90" s="717"/>
      <c r="CIX90" s="717"/>
      <c r="CIY90" s="717"/>
      <c r="CIZ90" s="717"/>
      <c r="CJA90" s="717"/>
      <c r="CJB90" s="717"/>
      <c r="CJC90" s="717"/>
      <c r="CJD90" s="717"/>
      <c r="CJE90" s="717"/>
      <c r="CJF90" s="717"/>
      <c r="CJG90" s="717"/>
      <c r="CJH90" s="717"/>
      <c r="CJI90" s="717"/>
      <c r="CJJ90" s="717"/>
      <c r="CJK90" s="717"/>
      <c r="CJL90" s="717"/>
      <c r="CJM90" s="717"/>
      <c r="CJN90" s="717"/>
      <c r="CJO90" s="717"/>
      <c r="CJV90" s="717"/>
      <c r="CJW90" s="717"/>
      <c r="CJX90" s="717"/>
      <c r="CJY90" s="717"/>
      <c r="CJZ90" s="717"/>
      <c r="CKA90" s="717"/>
      <c r="CKB90" s="717"/>
      <c r="CKC90" s="717"/>
      <c r="CKD90" s="717"/>
      <c r="CKE90" s="717"/>
      <c r="CKF90" s="717"/>
      <c r="CKG90" s="717"/>
      <c r="CKH90" s="717"/>
      <c r="CKI90" s="717"/>
      <c r="CKJ90" s="717"/>
      <c r="CKK90" s="717"/>
      <c r="CKL90" s="717"/>
      <c r="CKM90" s="717"/>
      <c r="CKN90" s="717"/>
      <c r="CKO90" s="717"/>
      <c r="CKP90" s="717"/>
      <c r="CKQ90" s="717"/>
      <c r="CKR90" s="717"/>
      <c r="CKS90" s="717"/>
      <c r="CKT90" s="717"/>
      <c r="CKU90" s="717"/>
      <c r="CKV90" s="717"/>
      <c r="CKW90" s="717"/>
      <c r="CKX90" s="717"/>
      <c r="CKY90" s="717"/>
      <c r="CKZ90" s="717"/>
      <c r="CLA90" s="717"/>
      <c r="CLB90" s="717"/>
      <c r="CLC90" s="717"/>
      <c r="CLD90" s="717"/>
      <c r="CLE90" s="717"/>
      <c r="CLF90" s="717"/>
      <c r="CLG90" s="717"/>
      <c r="CLH90" s="717"/>
      <c r="CLI90" s="717"/>
      <c r="CLJ90" s="717"/>
      <c r="CLK90" s="717"/>
      <c r="CLL90" s="717"/>
      <c r="CLM90" s="717"/>
      <c r="CLN90" s="717"/>
      <c r="CLO90" s="717"/>
      <c r="CLP90" s="717"/>
      <c r="CLQ90" s="717"/>
      <c r="CLR90" s="717"/>
      <c r="CLS90" s="717"/>
      <c r="CLT90" s="717"/>
      <c r="CLU90" s="717"/>
      <c r="CLV90" s="717"/>
      <c r="CLW90" s="717"/>
      <c r="CLX90" s="717"/>
      <c r="CLY90" s="717"/>
      <c r="CLZ90" s="717"/>
      <c r="CMA90" s="717"/>
      <c r="CMB90" s="717"/>
      <c r="CMC90" s="717"/>
      <c r="CMD90" s="717"/>
      <c r="CME90" s="717"/>
      <c r="CMF90" s="717"/>
      <c r="CMG90" s="717"/>
      <c r="CMH90" s="717"/>
      <c r="CMI90" s="717"/>
      <c r="CMJ90" s="717"/>
      <c r="CMK90" s="717"/>
      <c r="CML90" s="717"/>
      <c r="CMM90" s="717"/>
      <c r="CMN90" s="717"/>
      <c r="CMO90" s="717"/>
      <c r="CMP90" s="717"/>
      <c r="CMQ90" s="717"/>
      <c r="CMR90" s="717"/>
      <c r="CMS90" s="717"/>
      <c r="CMT90" s="717"/>
      <c r="CMU90" s="717"/>
      <c r="CMV90" s="717"/>
      <c r="CMW90" s="717"/>
      <c r="CMX90" s="717"/>
      <c r="CMY90" s="717"/>
      <c r="CMZ90" s="717"/>
      <c r="CNA90" s="717"/>
      <c r="CNB90" s="717"/>
      <c r="CNC90" s="717"/>
      <c r="CND90" s="717"/>
      <c r="CNE90" s="717"/>
      <c r="CNF90" s="717"/>
      <c r="CNG90" s="717"/>
      <c r="CNH90" s="717"/>
      <c r="CNI90" s="717"/>
      <c r="CNJ90" s="717"/>
      <c r="CNK90" s="717"/>
      <c r="CNL90" s="717"/>
      <c r="CNM90" s="717"/>
      <c r="CNN90" s="717"/>
      <c r="CNO90" s="717"/>
      <c r="CNP90" s="717"/>
      <c r="CNQ90" s="717"/>
      <c r="CNR90" s="717"/>
      <c r="CNS90" s="717"/>
      <c r="CNT90" s="717"/>
      <c r="CNU90" s="717"/>
      <c r="CNV90" s="717"/>
      <c r="CNW90" s="717"/>
      <c r="CNX90" s="717"/>
      <c r="CNY90" s="717"/>
      <c r="CNZ90" s="717"/>
      <c r="COA90" s="717"/>
      <c r="COB90" s="717"/>
      <c r="COC90" s="717"/>
      <c r="COD90" s="717"/>
      <c r="COE90" s="717"/>
      <c r="COF90" s="717"/>
      <c r="COG90" s="717"/>
      <c r="COH90" s="717"/>
      <c r="COI90" s="717"/>
      <c r="COJ90" s="717"/>
      <c r="COK90" s="717"/>
      <c r="COL90" s="717"/>
      <c r="COM90" s="717"/>
      <c r="CON90" s="717"/>
      <c r="COO90" s="717"/>
      <c r="COP90" s="717"/>
      <c r="COQ90" s="717"/>
      <c r="COR90" s="717"/>
      <c r="COS90" s="717"/>
      <c r="COT90" s="717"/>
      <c r="COU90" s="717"/>
      <c r="COV90" s="717"/>
      <c r="COW90" s="717"/>
      <c r="COX90" s="717"/>
      <c r="COY90" s="717"/>
      <c r="COZ90" s="717"/>
      <c r="CPA90" s="717"/>
      <c r="CPB90" s="717"/>
      <c r="CPC90" s="717"/>
      <c r="CPD90" s="717"/>
      <c r="CPE90" s="717"/>
      <c r="CPF90" s="717"/>
      <c r="CPG90" s="717"/>
      <c r="CPH90" s="717"/>
      <c r="CPI90" s="717"/>
      <c r="CPJ90" s="717"/>
      <c r="CPK90" s="717"/>
      <c r="CPL90" s="717"/>
      <c r="CPM90" s="717"/>
      <c r="CPN90" s="717"/>
      <c r="CPO90" s="717"/>
      <c r="CPP90" s="717"/>
      <c r="CPQ90" s="717"/>
      <c r="CPR90" s="717"/>
      <c r="CPS90" s="717"/>
      <c r="CPT90" s="717"/>
      <c r="CPU90" s="717"/>
      <c r="CPV90" s="717"/>
      <c r="CPW90" s="717"/>
      <c r="CPX90" s="717"/>
      <c r="CPY90" s="717"/>
      <c r="CPZ90" s="717"/>
      <c r="CQA90" s="717"/>
      <c r="CQB90" s="717"/>
      <c r="CQC90" s="717"/>
      <c r="CQD90" s="717"/>
      <c r="CQE90" s="717"/>
      <c r="CQF90" s="717"/>
      <c r="CQG90" s="717"/>
      <c r="CQH90" s="717"/>
      <c r="CQI90" s="717"/>
      <c r="CQJ90" s="717"/>
      <c r="CQK90" s="717"/>
      <c r="CQL90" s="717"/>
      <c r="CQM90" s="717"/>
      <c r="CQN90" s="717"/>
      <c r="CQO90" s="717"/>
      <c r="CQP90" s="717"/>
      <c r="CQQ90" s="717"/>
      <c r="CQR90" s="717"/>
      <c r="CQS90" s="717"/>
      <c r="CQT90" s="717"/>
      <c r="CQU90" s="717"/>
      <c r="CQV90" s="717"/>
      <c r="CQW90" s="717"/>
      <c r="CQX90" s="717"/>
      <c r="CQY90" s="717"/>
      <c r="CQZ90" s="717"/>
      <c r="CRA90" s="717"/>
      <c r="CRB90" s="717"/>
      <c r="CRC90" s="717"/>
      <c r="CRD90" s="717"/>
      <c r="CRE90" s="717"/>
      <c r="CRF90" s="717"/>
      <c r="CRG90" s="717"/>
      <c r="CRH90" s="717"/>
      <c r="CRI90" s="717"/>
      <c r="CRJ90" s="717"/>
      <c r="CRK90" s="717"/>
      <c r="CRL90" s="717"/>
      <c r="CRM90" s="717"/>
      <c r="CRN90" s="717"/>
      <c r="CRO90" s="717"/>
      <c r="CRP90" s="717"/>
      <c r="CRQ90" s="717"/>
      <c r="CRR90" s="717"/>
      <c r="CRS90" s="717"/>
      <c r="CRT90" s="717"/>
      <c r="CRU90" s="717"/>
      <c r="CRV90" s="717"/>
      <c r="CRW90" s="717"/>
      <c r="CRX90" s="717"/>
      <c r="CRY90" s="717"/>
      <c r="CRZ90" s="717"/>
      <c r="CSA90" s="717"/>
      <c r="CSB90" s="717"/>
      <c r="CSC90" s="717"/>
      <c r="CSD90" s="717"/>
      <c r="CSE90" s="717"/>
      <c r="CSF90" s="717"/>
      <c r="CSG90" s="717"/>
      <c r="CSH90" s="717"/>
      <c r="CSI90" s="717"/>
      <c r="CSJ90" s="717"/>
      <c r="CSK90" s="717"/>
      <c r="CSL90" s="717"/>
      <c r="CSM90" s="717"/>
      <c r="CSN90" s="717"/>
      <c r="CSO90" s="717"/>
      <c r="CSP90" s="717"/>
      <c r="CSQ90" s="717"/>
      <c r="CSR90" s="717"/>
      <c r="CSS90" s="717"/>
      <c r="CST90" s="717"/>
      <c r="CSU90" s="717"/>
      <c r="CSV90" s="717"/>
      <c r="CSW90" s="717"/>
      <c r="CSX90" s="717"/>
      <c r="CSY90" s="717"/>
      <c r="CSZ90" s="717"/>
      <c r="CTA90" s="717"/>
      <c r="CTB90" s="717"/>
      <c r="CTC90" s="717"/>
      <c r="CTD90" s="717"/>
      <c r="CTE90" s="717"/>
      <c r="CTF90" s="717"/>
      <c r="CTG90" s="717"/>
      <c r="CTH90" s="717"/>
      <c r="CTI90" s="717"/>
      <c r="CTJ90" s="717"/>
      <c r="CTK90" s="717"/>
      <c r="CTR90" s="717"/>
      <c r="CTS90" s="717"/>
      <c r="CTT90" s="717"/>
      <c r="CTU90" s="717"/>
      <c r="CTV90" s="717"/>
      <c r="CTW90" s="717"/>
      <c r="CTX90" s="717"/>
      <c r="CTY90" s="717"/>
      <c r="CTZ90" s="717"/>
      <c r="CUA90" s="717"/>
      <c r="CUB90" s="717"/>
      <c r="CUC90" s="717"/>
      <c r="CUD90" s="717"/>
      <c r="CUE90" s="717"/>
      <c r="CUF90" s="717"/>
      <c r="CUG90" s="717"/>
      <c r="CUH90" s="717"/>
      <c r="CUI90" s="717"/>
      <c r="CUJ90" s="717"/>
      <c r="CUK90" s="717"/>
      <c r="CUL90" s="717"/>
      <c r="CUM90" s="717"/>
      <c r="CUN90" s="717"/>
      <c r="CUO90" s="717"/>
      <c r="CUP90" s="717"/>
      <c r="CUQ90" s="717"/>
      <c r="CUR90" s="717"/>
      <c r="CUS90" s="717"/>
      <c r="CUT90" s="717"/>
      <c r="CUU90" s="717"/>
      <c r="CUV90" s="717"/>
      <c r="CUW90" s="717"/>
      <c r="CUX90" s="717"/>
      <c r="CUY90" s="717"/>
      <c r="CUZ90" s="717"/>
      <c r="CVA90" s="717"/>
      <c r="CVB90" s="717"/>
      <c r="CVC90" s="717"/>
      <c r="CVD90" s="717"/>
      <c r="CVE90" s="717"/>
      <c r="CVF90" s="717"/>
      <c r="CVG90" s="717"/>
      <c r="CVH90" s="717"/>
      <c r="CVI90" s="717"/>
      <c r="CVJ90" s="717"/>
      <c r="CVK90" s="717"/>
      <c r="CVL90" s="717"/>
      <c r="CVM90" s="717"/>
      <c r="CVN90" s="717"/>
      <c r="CVO90" s="717"/>
      <c r="CVP90" s="717"/>
      <c r="CVQ90" s="717"/>
      <c r="CVR90" s="717"/>
      <c r="CVS90" s="717"/>
      <c r="CVT90" s="717"/>
      <c r="CVU90" s="717"/>
      <c r="CVV90" s="717"/>
      <c r="CVW90" s="717"/>
      <c r="CVX90" s="717"/>
      <c r="CVY90" s="717"/>
      <c r="CVZ90" s="717"/>
      <c r="CWA90" s="717"/>
      <c r="CWB90" s="717"/>
      <c r="CWC90" s="717"/>
      <c r="CWD90" s="717"/>
      <c r="CWE90" s="717"/>
      <c r="CWF90" s="717"/>
      <c r="CWG90" s="717"/>
      <c r="CWH90" s="717"/>
      <c r="CWI90" s="717"/>
      <c r="CWJ90" s="717"/>
      <c r="CWK90" s="717"/>
      <c r="CWL90" s="717"/>
      <c r="CWM90" s="717"/>
      <c r="CWN90" s="717"/>
      <c r="CWO90" s="717"/>
      <c r="CWP90" s="717"/>
      <c r="CWQ90" s="717"/>
      <c r="CWR90" s="717"/>
      <c r="CWS90" s="717"/>
      <c r="CWT90" s="717"/>
      <c r="CWU90" s="717"/>
      <c r="CWV90" s="717"/>
      <c r="CWW90" s="717"/>
      <c r="CWX90" s="717"/>
      <c r="CWY90" s="717"/>
      <c r="CWZ90" s="717"/>
      <c r="CXA90" s="717"/>
      <c r="CXB90" s="717"/>
      <c r="CXC90" s="717"/>
      <c r="CXD90" s="717"/>
      <c r="CXE90" s="717"/>
      <c r="CXF90" s="717"/>
      <c r="CXG90" s="717"/>
      <c r="CXH90" s="717"/>
      <c r="CXI90" s="717"/>
      <c r="CXJ90" s="717"/>
      <c r="CXK90" s="717"/>
      <c r="CXL90" s="717"/>
      <c r="CXM90" s="717"/>
      <c r="CXN90" s="717"/>
      <c r="CXO90" s="717"/>
      <c r="CXP90" s="717"/>
      <c r="CXQ90" s="717"/>
      <c r="CXR90" s="717"/>
      <c r="CXS90" s="717"/>
      <c r="CXT90" s="717"/>
      <c r="CXU90" s="717"/>
      <c r="CXV90" s="717"/>
      <c r="CXW90" s="717"/>
      <c r="CXX90" s="717"/>
      <c r="CXY90" s="717"/>
      <c r="CXZ90" s="717"/>
      <c r="CYA90" s="717"/>
      <c r="CYB90" s="717"/>
      <c r="CYC90" s="717"/>
      <c r="CYD90" s="717"/>
      <c r="CYE90" s="717"/>
      <c r="CYF90" s="717"/>
      <c r="CYG90" s="717"/>
      <c r="CYH90" s="717"/>
      <c r="CYI90" s="717"/>
      <c r="CYJ90" s="717"/>
      <c r="CYK90" s="717"/>
      <c r="CYL90" s="717"/>
      <c r="CYM90" s="717"/>
      <c r="CYN90" s="717"/>
      <c r="CYO90" s="717"/>
      <c r="CYP90" s="717"/>
      <c r="CYQ90" s="717"/>
      <c r="CYR90" s="717"/>
      <c r="CYS90" s="717"/>
      <c r="CYT90" s="717"/>
      <c r="CYU90" s="717"/>
      <c r="CYV90" s="717"/>
      <c r="CYW90" s="717"/>
      <c r="CYX90" s="717"/>
      <c r="CYY90" s="717"/>
      <c r="CYZ90" s="717"/>
      <c r="CZA90" s="717"/>
      <c r="CZB90" s="717"/>
      <c r="CZC90" s="717"/>
      <c r="CZD90" s="717"/>
      <c r="CZE90" s="717"/>
      <c r="CZF90" s="717"/>
      <c r="CZG90" s="717"/>
      <c r="CZH90" s="717"/>
      <c r="CZI90" s="717"/>
      <c r="CZJ90" s="717"/>
      <c r="CZK90" s="717"/>
      <c r="CZL90" s="717"/>
      <c r="CZM90" s="717"/>
      <c r="CZN90" s="717"/>
      <c r="CZO90" s="717"/>
      <c r="CZP90" s="717"/>
      <c r="CZQ90" s="717"/>
      <c r="CZR90" s="717"/>
      <c r="CZS90" s="717"/>
      <c r="CZT90" s="717"/>
      <c r="CZU90" s="717"/>
      <c r="CZV90" s="717"/>
      <c r="CZW90" s="717"/>
      <c r="CZX90" s="717"/>
      <c r="CZY90" s="717"/>
      <c r="CZZ90" s="717"/>
      <c r="DAA90" s="717"/>
      <c r="DAB90" s="717"/>
      <c r="DAC90" s="717"/>
      <c r="DAD90" s="717"/>
      <c r="DAE90" s="717"/>
      <c r="DAF90" s="717"/>
      <c r="DAG90" s="717"/>
      <c r="DAH90" s="717"/>
      <c r="DAI90" s="717"/>
      <c r="DAJ90" s="717"/>
      <c r="DAK90" s="717"/>
      <c r="DAL90" s="717"/>
      <c r="DAM90" s="717"/>
      <c r="DAN90" s="717"/>
      <c r="DAO90" s="717"/>
      <c r="DAP90" s="717"/>
      <c r="DAQ90" s="717"/>
      <c r="DAR90" s="717"/>
      <c r="DAS90" s="717"/>
      <c r="DAT90" s="717"/>
      <c r="DAU90" s="717"/>
      <c r="DAV90" s="717"/>
      <c r="DAW90" s="717"/>
      <c r="DAX90" s="717"/>
      <c r="DAY90" s="717"/>
      <c r="DAZ90" s="717"/>
      <c r="DBA90" s="717"/>
      <c r="DBB90" s="717"/>
      <c r="DBC90" s="717"/>
      <c r="DBD90" s="717"/>
      <c r="DBE90" s="717"/>
      <c r="DBF90" s="717"/>
      <c r="DBG90" s="717"/>
      <c r="DBH90" s="717"/>
      <c r="DBI90" s="717"/>
      <c r="DBJ90" s="717"/>
      <c r="DBK90" s="717"/>
      <c r="DBL90" s="717"/>
      <c r="DBM90" s="717"/>
      <c r="DBN90" s="717"/>
      <c r="DBO90" s="717"/>
      <c r="DBP90" s="717"/>
      <c r="DBQ90" s="717"/>
      <c r="DBR90" s="717"/>
      <c r="DBS90" s="717"/>
      <c r="DBT90" s="717"/>
      <c r="DBU90" s="717"/>
      <c r="DBV90" s="717"/>
      <c r="DBW90" s="717"/>
      <c r="DBX90" s="717"/>
      <c r="DBY90" s="717"/>
      <c r="DBZ90" s="717"/>
      <c r="DCA90" s="717"/>
      <c r="DCB90" s="717"/>
      <c r="DCC90" s="717"/>
      <c r="DCD90" s="717"/>
      <c r="DCE90" s="717"/>
      <c r="DCF90" s="717"/>
      <c r="DCG90" s="717"/>
      <c r="DCH90" s="717"/>
      <c r="DCI90" s="717"/>
      <c r="DCJ90" s="717"/>
      <c r="DCK90" s="717"/>
      <c r="DCL90" s="717"/>
      <c r="DCM90" s="717"/>
      <c r="DCN90" s="717"/>
      <c r="DCO90" s="717"/>
      <c r="DCP90" s="717"/>
      <c r="DCQ90" s="717"/>
      <c r="DCR90" s="717"/>
      <c r="DCS90" s="717"/>
      <c r="DCT90" s="717"/>
      <c r="DCU90" s="717"/>
      <c r="DCV90" s="717"/>
      <c r="DCW90" s="717"/>
      <c r="DCX90" s="717"/>
      <c r="DCY90" s="717"/>
      <c r="DCZ90" s="717"/>
      <c r="DDA90" s="717"/>
      <c r="DDB90" s="717"/>
      <c r="DDC90" s="717"/>
      <c r="DDD90" s="717"/>
      <c r="DDE90" s="717"/>
      <c r="DDF90" s="717"/>
      <c r="DDG90" s="717"/>
      <c r="DDN90" s="717"/>
      <c r="DDO90" s="717"/>
      <c r="DDP90" s="717"/>
      <c r="DDQ90" s="717"/>
      <c r="DDR90" s="717"/>
      <c r="DDS90" s="717"/>
      <c r="DDT90" s="717"/>
      <c r="DDU90" s="717"/>
      <c r="DDV90" s="717"/>
      <c r="DDW90" s="717"/>
      <c r="DDX90" s="717"/>
      <c r="DDY90" s="717"/>
      <c r="DDZ90" s="717"/>
      <c r="DEA90" s="717"/>
      <c r="DEB90" s="717"/>
      <c r="DEC90" s="717"/>
      <c r="DED90" s="717"/>
      <c r="DEE90" s="717"/>
      <c r="DEF90" s="717"/>
      <c r="DEG90" s="717"/>
      <c r="DEH90" s="717"/>
      <c r="DEI90" s="717"/>
      <c r="DEJ90" s="717"/>
      <c r="DEK90" s="717"/>
      <c r="DEL90" s="717"/>
      <c r="DEM90" s="717"/>
      <c r="DEN90" s="717"/>
      <c r="DEO90" s="717"/>
      <c r="DEP90" s="717"/>
      <c r="DEQ90" s="717"/>
      <c r="DER90" s="717"/>
      <c r="DES90" s="717"/>
      <c r="DET90" s="717"/>
      <c r="DEU90" s="717"/>
      <c r="DEV90" s="717"/>
      <c r="DEW90" s="717"/>
      <c r="DEX90" s="717"/>
      <c r="DEY90" s="717"/>
      <c r="DEZ90" s="717"/>
      <c r="DFA90" s="717"/>
      <c r="DFB90" s="717"/>
      <c r="DFC90" s="717"/>
      <c r="DFD90" s="717"/>
      <c r="DFE90" s="717"/>
      <c r="DFF90" s="717"/>
      <c r="DFG90" s="717"/>
      <c r="DFH90" s="717"/>
      <c r="DFI90" s="717"/>
      <c r="DFJ90" s="717"/>
      <c r="DFK90" s="717"/>
      <c r="DFL90" s="717"/>
      <c r="DFM90" s="717"/>
      <c r="DFN90" s="717"/>
      <c r="DFO90" s="717"/>
      <c r="DFP90" s="717"/>
      <c r="DFQ90" s="717"/>
      <c r="DFR90" s="717"/>
      <c r="DFS90" s="717"/>
      <c r="DFT90" s="717"/>
      <c r="DFU90" s="717"/>
      <c r="DFV90" s="717"/>
      <c r="DFW90" s="717"/>
      <c r="DFX90" s="717"/>
      <c r="DFY90" s="717"/>
      <c r="DFZ90" s="717"/>
      <c r="DGA90" s="717"/>
      <c r="DGB90" s="717"/>
      <c r="DGC90" s="717"/>
      <c r="DGD90" s="717"/>
      <c r="DGE90" s="717"/>
      <c r="DGF90" s="717"/>
      <c r="DGG90" s="717"/>
      <c r="DGH90" s="717"/>
      <c r="DGI90" s="717"/>
      <c r="DGJ90" s="717"/>
      <c r="DGK90" s="717"/>
      <c r="DGL90" s="717"/>
      <c r="DGM90" s="717"/>
      <c r="DGN90" s="717"/>
      <c r="DGO90" s="717"/>
      <c r="DGP90" s="717"/>
      <c r="DGQ90" s="717"/>
      <c r="DGR90" s="717"/>
      <c r="DGS90" s="717"/>
      <c r="DGT90" s="717"/>
      <c r="DGU90" s="717"/>
      <c r="DGV90" s="717"/>
      <c r="DGW90" s="717"/>
      <c r="DGX90" s="717"/>
      <c r="DGY90" s="717"/>
      <c r="DGZ90" s="717"/>
      <c r="DHA90" s="717"/>
      <c r="DHB90" s="717"/>
      <c r="DHC90" s="717"/>
      <c r="DHD90" s="717"/>
      <c r="DHE90" s="717"/>
      <c r="DHF90" s="717"/>
      <c r="DHG90" s="717"/>
      <c r="DHH90" s="717"/>
      <c r="DHI90" s="717"/>
      <c r="DHJ90" s="717"/>
      <c r="DHK90" s="717"/>
      <c r="DHL90" s="717"/>
      <c r="DHM90" s="717"/>
      <c r="DHN90" s="717"/>
      <c r="DHO90" s="717"/>
      <c r="DHP90" s="717"/>
      <c r="DHQ90" s="717"/>
      <c r="DHR90" s="717"/>
      <c r="DHS90" s="717"/>
      <c r="DHT90" s="717"/>
      <c r="DHU90" s="717"/>
      <c r="DHV90" s="717"/>
      <c r="DHW90" s="717"/>
      <c r="DHX90" s="717"/>
      <c r="DHY90" s="717"/>
      <c r="DHZ90" s="717"/>
      <c r="DIA90" s="717"/>
      <c r="DIB90" s="717"/>
      <c r="DIC90" s="717"/>
      <c r="DID90" s="717"/>
      <c r="DIE90" s="717"/>
      <c r="DIF90" s="717"/>
      <c r="DIG90" s="717"/>
      <c r="DIH90" s="717"/>
      <c r="DII90" s="717"/>
      <c r="DIJ90" s="717"/>
      <c r="DIK90" s="717"/>
      <c r="DIL90" s="717"/>
      <c r="DIM90" s="717"/>
      <c r="DIN90" s="717"/>
      <c r="DIO90" s="717"/>
      <c r="DIP90" s="717"/>
      <c r="DIQ90" s="717"/>
      <c r="DIR90" s="717"/>
      <c r="DIS90" s="717"/>
      <c r="DIT90" s="717"/>
      <c r="DIU90" s="717"/>
      <c r="DIV90" s="717"/>
      <c r="DIW90" s="717"/>
      <c r="DIX90" s="717"/>
      <c r="DIY90" s="717"/>
      <c r="DIZ90" s="717"/>
      <c r="DJA90" s="717"/>
      <c r="DJB90" s="717"/>
      <c r="DJC90" s="717"/>
      <c r="DJD90" s="717"/>
      <c r="DJE90" s="717"/>
      <c r="DJF90" s="717"/>
      <c r="DJG90" s="717"/>
      <c r="DJH90" s="717"/>
      <c r="DJI90" s="717"/>
      <c r="DJJ90" s="717"/>
      <c r="DJK90" s="717"/>
      <c r="DJL90" s="717"/>
      <c r="DJM90" s="717"/>
      <c r="DJN90" s="717"/>
      <c r="DJO90" s="717"/>
      <c r="DJP90" s="717"/>
      <c r="DJQ90" s="717"/>
      <c r="DJR90" s="717"/>
      <c r="DJS90" s="717"/>
      <c r="DJT90" s="717"/>
      <c r="DJU90" s="717"/>
      <c r="DJV90" s="717"/>
      <c r="DJW90" s="717"/>
      <c r="DJX90" s="717"/>
      <c r="DJY90" s="717"/>
      <c r="DJZ90" s="717"/>
      <c r="DKA90" s="717"/>
      <c r="DKB90" s="717"/>
      <c r="DKC90" s="717"/>
      <c r="DKD90" s="717"/>
      <c r="DKE90" s="717"/>
      <c r="DKF90" s="717"/>
      <c r="DKG90" s="717"/>
      <c r="DKH90" s="717"/>
      <c r="DKI90" s="717"/>
      <c r="DKJ90" s="717"/>
      <c r="DKK90" s="717"/>
      <c r="DKL90" s="717"/>
      <c r="DKM90" s="717"/>
      <c r="DKN90" s="717"/>
      <c r="DKO90" s="717"/>
      <c r="DKP90" s="717"/>
      <c r="DKQ90" s="717"/>
      <c r="DKR90" s="717"/>
      <c r="DKS90" s="717"/>
      <c r="DKT90" s="717"/>
      <c r="DKU90" s="717"/>
      <c r="DKV90" s="717"/>
      <c r="DKW90" s="717"/>
      <c r="DKX90" s="717"/>
      <c r="DKY90" s="717"/>
      <c r="DKZ90" s="717"/>
      <c r="DLA90" s="717"/>
      <c r="DLB90" s="717"/>
      <c r="DLC90" s="717"/>
      <c r="DLD90" s="717"/>
      <c r="DLE90" s="717"/>
      <c r="DLF90" s="717"/>
      <c r="DLG90" s="717"/>
      <c r="DLH90" s="717"/>
      <c r="DLI90" s="717"/>
      <c r="DLJ90" s="717"/>
      <c r="DLK90" s="717"/>
      <c r="DLL90" s="717"/>
      <c r="DLM90" s="717"/>
      <c r="DLN90" s="717"/>
      <c r="DLO90" s="717"/>
      <c r="DLP90" s="717"/>
      <c r="DLQ90" s="717"/>
      <c r="DLR90" s="717"/>
      <c r="DLS90" s="717"/>
      <c r="DLT90" s="717"/>
      <c r="DLU90" s="717"/>
      <c r="DLV90" s="717"/>
      <c r="DLW90" s="717"/>
      <c r="DLX90" s="717"/>
      <c r="DLY90" s="717"/>
      <c r="DLZ90" s="717"/>
      <c r="DMA90" s="717"/>
      <c r="DMB90" s="717"/>
      <c r="DMC90" s="717"/>
      <c r="DMD90" s="717"/>
      <c r="DME90" s="717"/>
      <c r="DMF90" s="717"/>
      <c r="DMG90" s="717"/>
      <c r="DMH90" s="717"/>
      <c r="DMI90" s="717"/>
      <c r="DMJ90" s="717"/>
      <c r="DMK90" s="717"/>
      <c r="DML90" s="717"/>
      <c r="DMM90" s="717"/>
      <c r="DMN90" s="717"/>
      <c r="DMO90" s="717"/>
      <c r="DMP90" s="717"/>
      <c r="DMQ90" s="717"/>
      <c r="DMR90" s="717"/>
      <c r="DMS90" s="717"/>
      <c r="DMT90" s="717"/>
      <c r="DMU90" s="717"/>
      <c r="DMV90" s="717"/>
      <c r="DMW90" s="717"/>
      <c r="DMX90" s="717"/>
      <c r="DMY90" s="717"/>
      <c r="DMZ90" s="717"/>
      <c r="DNA90" s="717"/>
      <c r="DNB90" s="717"/>
      <c r="DNC90" s="717"/>
      <c r="DNJ90" s="717"/>
      <c r="DNK90" s="717"/>
      <c r="DNL90" s="717"/>
      <c r="DNM90" s="717"/>
      <c r="DNN90" s="717"/>
      <c r="DNO90" s="717"/>
      <c r="DNP90" s="717"/>
      <c r="DNQ90" s="717"/>
      <c r="DNR90" s="717"/>
      <c r="DNS90" s="717"/>
      <c r="DNT90" s="717"/>
      <c r="DNU90" s="717"/>
      <c r="DNV90" s="717"/>
      <c r="DNW90" s="717"/>
      <c r="DNX90" s="717"/>
      <c r="DNY90" s="717"/>
      <c r="DNZ90" s="717"/>
      <c r="DOA90" s="717"/>
      <c r="DOB90" s="717"/>
      <c r="DOC90" s="717"/>
      <c r="DOD90" s="717"/>
      <c r="DOE90" s="717"/>
      <c r="DOF90" s="717"/>
      <c r="DOG90" s="717"/>
      <c r="DOH90" s="717"/>
      <c r="DOI90" s="717"/>
      <c r="DOJ90" s="717"/>
      <c r="DOK90" s="717"/>
      <c r="DOL90" s="717"/>
      <c r="DOM90" s="717"/>
      <c r="DON90" s="717"/>
      <c r="DOO90" s="717"/>
      <c r="DOP90" s="717"/>
      <c r="DOQ90" s="717"/>
      <c r="DOR90" s="717"/>
      <c r="DOS90" s="717"/>
      <c r="DOT90" s="717"/>
      <c r="DOU90" s="717"/>
      <c r="DOV90" s="717"/>
      <c r="DOW90" s="717"/>
      <c r="DOX90" s="717"/>
      <c r="DOY90" s="717"/>
      <c r="DOZ90" s="717"/>
      <c r="DPA90" s="717"/>
      <c r="DPB90" s="717"/>
      <c r="DPC90" s="717"/>
      <c r="DPD90" s="717"/>
      <c r="DPE90" s="717"/>
      <c r="DPF90" s="717"/>
      <c r="DPG90" s="717"/>
      <c r="DPH90" s="717"/>
      <c r="DPI90" s="717"/>
      <c r="DPJ90" s="717"/>
      <c r="DPK90" s="717"/>
      <c r="DPL90" s="717"/>
      <c r="DPM90" s="717"/>
      <c r="DPN90" s="717"/>
      <c r="DPO90" s="717"/>
      <c r="DPP90" s="717"/>
      <c r="DPQ90" s="717"/>
      <c r="DPR90" s="717"/>
      <c r="DPS90" s="717"/>
      <c r="DPT90" s="717"/>
      <c r="DPU90" s="717"/>
      <c r="DPV90" s="717"/>
      <c r="DPW90" s="717"/>
      <c r="DPX90" s="717"/>
      <c r="DPY90" s="717"/>
      <c r="DPZ90" s="717"/>
      <c r="DQA90" s="717"/>
      <c r="DQB90" s="717"/>
      <c r="DQC90" s="717"/>
      <c r="DQD90" s="717"/>
      <c r="DQE90" s="717"/>
      <c r="DQF90" s="717"/>
      <c r="DQG90" s="717"/>
      <c r="DQH90" s="717"/>
      <c r="DQI90" s="717"/>
      <c r="DQJ90" s="717"/>
      <c r="DQK90" s="717"/>
      <c r="DQL90" s="717"/>
      <c r="DQM90" s="717"/>
      <c r="DQN90" s="717"/>
      <c r="DQO90" s="717"/>
      <c r="DQP90" s="717"/>
      <c r="DQQ90" s="717"/>
      <c r="DQR90" s="717"/>
      <c r="DQS90" s="717"/>
      <c r="DQT90" s="717"/>
      <c r="DQU90" s="717"/>
      <c r="DQV90" s="717"/>
      <c r="DQW90" s="717"/>
      <c r="DQX90" s="717"/>
      <c r="DQY90" s="717"/>
      <c r="DQZ90" s="717"/>
      <c r="DRA90" s="717"/>
      <c r="DRB90" s="717"/>
      <c r="DRC90" s="717"/>
      <c r="DRD90" s="717"/>
      <c r="DRE90" s="717"/>
      <c r="DRF90" s="717"/>
      <c r="DRG90" s="717"/>
      <c r="DRH90" s="717"/>
      <c r="DRI90" s="717"/>
      <c r="DRJ90" s="717"/>
      <c r="DRK90" s="717"/>
      <c r="DRL90" s="717"/>
      <c r="DRM90" s="717"/>
      <c r="DRN90" s="717"/>
      <c r="DRO90" s="717"/>
      <c r="DRP90" s="717"/>
      <c r="DRQ90" s="717"/>
      <c r="DRR90" s="717"/>
      <c r="DRS90" s="717"/>
      <c r="DRT90" s="717"/>
      <c r="DRU90" s="717"/>
      <c r="DRV90" s="717"/>
      <c r="DRW90" s="717"/>
      <c r="DRX90" s="717"/>
      <c r="DRY90" s="717"/>
      <c r="DRZ90" s="717"/>
      <c r="DSA90" s="717"/>
      <c r="DSB90" s="717"/>
      <c r="DSC90" s="717"/>
      <c r="DSD90" s="717"/>
      <c r="DSE90" s="717"/>
      <c r="DSF90" s="717"/>
      <c r="DSG90" s="717"/>
      <c r="DSH90" s="717"/>
      <c r="DSI90" s="717"/>
      <c r="DSJ90" s="717"/>
      <c r="DSK90" s="717"/>
      <c r="DSL90" s="717"/>
      <c r="DSM90" s="717"/>
      <c r="DSN90" s="717"/>
      <c r="DSO90" s="717"/>
      <c r="DSP90" s="717"/>
      <c r="DSQ90" s="717"/>
      <c r="DSR90" s="717"/>
      <c r="DSS90" s="717"/>
      <c r="DST90" s="717"/>
      <c r="DSU90" s="717"/>
      <c r="DSV90" s="717"/>
      <c r="DSW90" s="717"/>
      <c r="DSX90" s="717"/>
      <c r="DSY90" s="717"/>
      <c r="DSZ90" s="717"/>
      <c r="DTA90" s="717"/>
      <c r="DTB90" s="717"/>
      <c r="DTC90" s="717"/>
      <c r="DTD90" s="717"/>
      <c r="DTE90" s="717"/>
      <c r="DTF90" s="717"/>
      <c r="DTG90" s="717"/>
      <c r="DTH90" s="717"/>
      <c r="DTI90" s="717"/>
      <c r="DTJ90" s="717"/>
      <c r="DTK90" s="717"/>
      <c r="DTL90" s="717"/>
      <c r="DTM90" s="717"/>
      <c r="DTN90" s="717"/>
      <c r="DTO90" s="717"/>
      <c r="DTP90" s="717"/>
      <c r="DTQ90" s="717"/>
      <c r="DTR90" s="717"/>
      <c r="DTS90" s="717"/>
      <c r="DTT90" s="717"/>
      <c r="DTU90" s="717"/>
      <c r="DTV90" s="717"/>
      <c r="DTW90" s="717"/>
      <c r="DTX90" s="717"/>
      <c r="DTY90" s="717"/>
      <c r="DTZ90" s="717"/>
      <c r="DUA90" s="717"/>
      <c r="DUB90" s="717"/>
      <c r="DUC90" s="717"/>
      <c r="DUD90" s="717"/>
      <c r="DUE90" s="717"/>
      <c r="DUF90" s="717"/>
      <c r="DUG90" s="717"/>
      <c r="DUH90" s="717"/>
      <c r="DUI90" s="717"/>
      <c r="DUJ90" s="717"/>
      <c r="DUK90" s="717"/>
      <c r="DUL90" s="717"/>
      <c r="DUM90" s="717"/>
      <c r="DUN90" s="717"/>
      <c r="DUO90" s="717"/>
      <c r="DUP90" s="717"/>
      <c r="DUQ90" s="717"/>
      <c r="DUR90" s="717"/>
      <c r="DUS90" s="717"/>
      <c r="DUT90" s="717"/>
      <c r="DUU90" s="717"/>
      <c r="DUV90" s="717"/>
      <c r="DUW90" s="717"/>
      <c r="DUX90" s="717"/>
      <c r="DUY90" s="717"/>
      <c r="DUZ90" s="717"/>
      <c r="DVA90" s="717"/>
      <c r="DVB90" s="717"/>
      <c r="DVC90" s="717"/>
      <c r="DVD90" s="717"/>
      <c r="DVE90" s="717"/>
      <c r="DVF90" s="717"/>
      <c r="DVG90" s="717"/>
      <c r="DVH90" s="717"/>
      <c r="DVI90" s="717"/>
      <c r="DVJ90" s="717"/>
      <c r="DVK90" s="717"/>
      <c r="DVL90" s="717"/>
      <c r="DVM90" s="717"/>
      <c r="DVN90" s="717"/>
      <c r="DVO90" s="717"/>
      <c r="DVP90" s="717"/>
      <c r="DVQ90" s="717"/>
      <c r="DVR90" s="717"/>
      <c r="DVS90" s="717"/>
      <c r="DVT90" s="717"/>
      <c r="DVU90" s="717"/>
      <c r="DVV90" s="717"/>
      <c r="DVW90" s="717"/>
      <c r="DVX90" s="717"/>
      <c r="DVY90" s="717"/>
      <c r="DVZ90" s="717"/>
      <c r="DWA90" s="717"/>
      <c r="DWB90" s="717"/>
      <c r="DWC90" s="717"/>
      <c r="DWD90" s="717"/>
      <c r="DWE90" s="717"/>
      <c r="DWF90" s="717"/>
      <c r="DWG90" s="717"/>
      <c r="DWH90" s="717"/>
      <c r="DWI90" s="717"/>
      <c r="DWJ90" s="717"/>
      <c r="DWK90" s="717"/>
      <c r="DWL90" s="717"/>
      <c r="DWM90" s="717"/>
      <c r="DWN90" s="717"/>
      <c r="DWO90" s="717"/>
      <c r="DWP90" s="717"/>
      <c r="DWQ90" s="717"/>
      <c r="DWR90" s="717"/>
      <c r="DWS90" s="717"/>
      <c r="DWT90" s="717"/>
      <c r="DWU90" s="717"/>
      <c r="DWV90" s="717"/>
      <c r="DWW90" s="717"/>
      <c r="DWX90" s="717"/>
      <c r="DWY90" s="717"/>
      <c r="DXF90" s="717"/>
      <c r="DXG90" s="717"/>
      <c r="DXH90" s="717"/>
      <c r="DXI90" s="717"/>
      <c r="DXJ90" s="717"/>
      <c r="DXK90" s="717"/>
      <c r="DXL90" s="717"/>
      <c r="DXM90" s="717"/>
      <c r="DXN90" s="717"/>
      <c r="DXO90" s="717"/>
      <c r="DXP90" s="717"/>
      <c r="DXQ90" s="717"/>
      <c r="DXR90" s="717"/>
      <c r="DXS90" s="717"/>
      <c r="DXT90" s="717"/>
      <c r="DXU90" s="717"/>
      <c r="DXV90" s="717"/>
      <c r="DXW90" s="717"/>
      <c r="DXX90" s="717"/>
      <c r="DXY90" s="717"/>
      <c r="DXZ90" s="717"/>
      <c r="DYA90" s="717"/>
      <c r="DYB90" s="717"/>
      <c r="DYC90" s="717"/>
      <c r="DYD90" s="717"/>
      <c r="DYE90" s="717"/>
      <c r="DYF90" s="717"/>
      <c r="DYG90" s="717"/>
      <c r="DYH90" s="717"/>
      <c r="DYI90" s="717"/>
      <c r="DYJ90" s="717"/>
      <c r="DYK90" s="717"/>
      <c r="DYL90" s="717"/>
      <c r="DYM90" s="717"/>
      <c r="DYN90" s="717"/>
      <c r="DYO90" s="717"/>
      <c r="DYP90" s="717"/>
      <c r="DYQ90" s="717"/>
      <c r="DYR90" s="717"/>
      <c r="DYS90" s="717"/>
      <c r="DYT90" s="717"/>
      <c r="DYU90" s="717"/>
      <c r="DYV90" s="717"/>
      <c r="DYW90" s="717"/>
      <c r="DYX90" s="717"/>
      <c r="DYY90" s="717"/>
      <c r="DYZ90" s="717"/>
      <c r="DZA90" s="717"/>
      <c r="DZB90" s="717"/>
      <c r="DZC90" s="717"/>
      <c r="DZD90" s="717"/>
      <c r="DZE90" s="717"/>
      <c r="DZF90" s="717"/>
      <c r="DZG90" s="717"/>
      <c r="DZH90" s="717"/>
      <c r="DZI90" s="717"/>
      <c r="DZJ90" s="717"/>
      <c r="DZK90" s="717"/>
      <c r="DZL90" s="717"/>
      <c r="DZM90" s="717"/>
      <c r="DZN90" s="717"/>
      <c r="DZO90" s="717"/>
      <c r="DZP90" s="717"/>
      <c r="DZQ90" s="717"/>
      <c r="DZR90" s="717"/>
      <c r="DZS90" s="717"/>
      <c r="DZT90" s="717"/>
      <c r="DZU90" s="717"/>
      <c r="DZV90" s="717"/>
      <c r="DZW90" s="717"/>
      <c r="DZX90" s="717"/>
      <c r="DZY90" s="717"/>
      <c r="DZZ90" s="717"/>
      <c r="EAA90" s="717"/>
      <c r="EAB90" s="717"/>
      <c r="EAC90" s="717"/>
      <c r="EAD90" s="717"/>
      <c r="EAE90" s="717"/>
      <c r="EAF90" s="717"/>
      <c r="EAG90" s="717"/>
      <c r="EAH90" s="717"/>
      <c r="EAI90" s="717"/>
      <c r="EAJ90" s="717"/>
      <c r="EAK90" s="717"/>
      <c r="EAL90" s="717"/>
      <c r="EAM90" s="717"/>
      <c r="EAN90" s="717"/>
      <c r="EAO90" s="717"/>
      <c r="EAP90" s="717"/>
      <c r="EAQ90" s="717"/>
      <c r="EAR90" s="717"/>
      <c r="EAS90" s="717"/>
      <c r="EAT90" s="717"/>
      <c r="EAU90" s="717"/>
      <c r="EAV90" s="717"/>
      <c r="EAW90" s="717"/>
      <c r="EAX90" s="717"/>
      <c r="EAY90" s="717"/>
      <c r="EAZ90" s="717"/>
      <c r="EBA90" s="717"/>
      <c r="EBB90" s="717"/>
      <c r="EBC90" s="717"/>
      <c r="EBD90" s="717"/>
      <c r="EBE90" s="717"/>
      <c r="EBF90" s="717"/>
      <c r="EBG90" s="717"/>
      <c r="EBH90" s="717"/>
      <c r="EBI90" s="717"/>
      <c r="EBJ90" s="717"/>
      <c r="EBK90" s="717"/>
      <c r="EBL90" s="717"/>
      <c r="EBM90" s="717"/>
      <c r="EBN90" s="717"/>
      <c r="EBO90" s="717"/>
      <c r="EBP90" s="717"/>
      <c r="EBQ90" s="717"/>
      <c r="EBR90" s="717"/>
      <c r="EBS90" s="717"/>
      <c r="EBT90" s="717"/>
      <c r="EBU90" s="717"/>
      <c r="EBV90" s="717"/>
      <c r="EBW90" s="717"/>
      <c r="EBX90" s="717"/>
      <c r="EBY90" s="717"/>
      <c r="EBZ90" s="717"/>
      <c r="ECA90" s="717"/>
      <c r="ECB90" s="717"/>
      <c r="ECC90" s="717"/>
      <c r="ECD90" s="717"/>
      <c r="ECE90" s="717"/>
      <c r="ECF90" s="717"/>
      <c r="ECG90" s="717"/>
      <c r="ECH90" s="717"/>
      <c r="ECI90" s="717"/>
      <c r="ECJ90" s="717"/>
      <c r="ECK90" s="717"/>
      <c r="ECL90" s="717"/>
      <c r="ECM90" s="717"/>
      <c r="ECN90" s="717"/>
      <c r="ECO90" s="717"/>
      <c r="ECP90" s="717"/>
      <c r="ECQ90" s="717"/>
      <c r="ECR90" s="717"/>
      <c r="ECS90" s="717"/>
      <c r="ECT90" s="717"/>
      <c r="ECU90" s="717"/>
      <c r="ECV90" s="717"/>
      <c r="ECW90" s="717"/>
      <c r="ECX90" s="717"/>
      <c r="ECY90" s="717"/>
      <c r="ECZ90" s="717"/>
      <c r="EDA90" s="717"/>
      <c r="EDB90" s="717"/>
      <c r="EDC90" s="717"/>
      <c r="EDD90" s="717"/>
      <c r="EDE90" s="717"/>
      <c r="EDF90" s="717"/>
      <c r="EDG90" s="717"/>
      <c r="EDH90" s="717"/>
      <c r="EDI90" s="717"/>
      <c r="EDJ90" s="717"/>
      <c r="EDK90" s="717"/>
      <c r="EDL90" s="717"/>
      <c r="EDM90" s="717"/>
      <c r="EDN90" s="717"/>
      <c r="EDO90" s="717"/>
      <c r="EDP90" s="717"/>
      <c r="EDQ90" s="717"/>
      <c r="EDR90" s="717"/>
      <c r="EDS90" s="717"/>
      <c r="EDT90" s="717"/>
      <c r="EDU90" s="717"/>
      <c r="EDV90" s="717"/>
      <c r="EDW90" s="717"/>
      <c r="EDX90" s="717"/>
      <c r="EDY90" s="717"/>
      <c r="EDZ90" s="717"/>
      <c r="EEA90" s="717"/>
      <c r="EEB90" s="717"/>
      <c r="EEC90" s="717"/>
      <c r="EED90" s="717"/>
      <c r="EEE90" s="717"/>
      <c r="EEF90" s="717"/>
      <c r="EEG90" s="717"/>
      <c r="EEH90" s="717"/>
      <c r="EEI90" s="717"/>
      <c r="EEJ90" s="717"/>
      <c r="EEK90" s="717"/>
      <c r="EEL90" s="717"/>
      <c r="EEM90" s="717"/>
      <c r="EEN90" s="717"/>
      <c r="EEO90" s="717"/>
      <c r="EEP90" s="717"/>
      <c r="EEQ90" s="717"/>
      <c r="EER90" s="717"/>
      <c r="EES90" s="717"/>
      <c r="EET90" s="717"/>
      <c r="EEU90" s="717"/>
      <c r="EEV90" s="717"/>
      <c r="EEW90" s="717"/>
      <c r="EEX90" s="717"/>
      <c r="EEY90" s="717"/>
      <c r="EEZ90" s="717"/>
      <c r="EFA90" s="717"/>
      <c r="EFB90" s="717"/>
      <c r="EFC90" s="717"/>
      <c r="EFD90" s="717"/>
      <c r="EFE90" s="717"/>
      <c r="EFF90" s="717"/>
      <c r="EFG90" s="717"/>
      <c r="EFH90" s="717"/>
      <c r="EFI90" s="717"/>
      <c r="EFJ90" s="717"/>
      <c r="EFK90" s="717"/>
      <c r="EFL90" s="717"/>
      <c r="EFM90" s="717"/>
      <c r="EFN90" s="717"/>
      <c r="EFO90" s="717"/>
      <c r="EFP90" s="717"/>
      <c r="EFQ90" s="717"/>
      <c r="EFR90" s="717"/>
      <c r="EFS90" s="717"/>
      <c r="EFT90" s="717"/>
      <c r="EFU90" s="717"/>
      <c r="EFV90" s="717"/>
      <c r="EFW90" s="717"/>
      <c r="EFX90" s="717"/>
      <c r="EFY90" s="717"/>
      <c r="EFZ90" s="717"/>
      <c r="EGA90" s="717"/>
      <c r="EGB90" s="717"/>
      <c r="EGC90" s="717"/>
      <c r="EGD90" s="717"/>
      <c r="EGE90" s="717"/>
      <c r="EGF90" s="717"/>
      <c r="EGG90" s="717"/>
      <c r="EGH90" s="717"/>
      <c r="EGI90" s="717"/>
      <c r="EGJ90" s="717"/>
      <c r="EGK90" s="717"/>
      <c r="EGL90" s="717"/>
      <c r="EGM90" s="717"/>
      <c r="EGN90" s="717"/>
      <c r="EGO90" s="717"/>
      <c r="EGP90" s="717"/>
      <c r="EGQ90" s="717"/>
      <c r="EGR90" s="717"/>
      <c r="EGS90" s="717"/>
      <c r="EGT90" s="717"/>
      <c r="EGU90" s="717"/>
      <c r="EHB90" s="717"/>
      <c r="EHC90" s="717"/>
      <c r="EHD90" s="717"/>
      <c r="EHE90" s="717"/>
      <c r="EHF90" s="717"/>
      <c r="EHG90" s="717"/>
      <c r="EHH90" s="717"/>
      <c r="EHI90" s="717"/>
      <c r="EHJ90" s="717"/>
      <c r="EHK90" s="717"/>
      <c r="EHL90" s="717"/>
      <c r="EHM90" s="717"/>
      <c r="EHN90" s="717"/>
      <c r="EHO90" s="717"/>
      <c r="EHP90" s="717"/>
      <c r="EHQ90" s="717"/>
      <c r="EHR90" s="717"/>
      <c r="EHS90" s="717"/>
      <c r="EHT90" s="717"/>
      <c r="EHU90" s="717"/>
      <c r="EHV90" s="717"/>
      <c r="EHW90" s="717"/>
      <c r="EHX90" s="717"/>
      <c r="EHY90" s="717"/>
      <c r="EHZ90" s="717"/>
      <c r="EIA90" s="717"/>
      <c r="EIB90" s="717"/>
      <c r="EIC90" s="717"/>
      <c r="EID90" s="717"/>
      <c r="EIE90" s="717"/>
      <c r="EIF90" s="717"/>
      <c r="EIG90" s="717"/>
      <c r="EIH90" s="717"/>
      <c r="EII90" s="717"/>
      <c r="EIJ90" s="717"/>
      <c r="EIK90" s="717"/>
      <c r="EIL90" s="717"/>
      <c r="EIM90" s="717"/>
      <c r="EIN90" s="717"/>
      <c r="EIO90" s="717"/>
      <c r="EIP90" s="717"/>
      <c r="EIQ90" s="717"/>
      <c r="EIR90" s="717"/>
      <c r="EIS90" s="717"/>
      <c r="EIT90" s="717"/>
      <c r="EIU90" s="717"/>
      <c r="EIV90" s="717"/>
      <c r="EIW90" s="717"/>
      <c r="EIX90" s="717"/>
      <c r="EIY90" s="717"/>
      <c r="EIZ90" s="717"/>
      <c r="EJA90" s="717"/>
      <c r="EJB90" s="717"/>
      <c r="EJC90" s="717"/>
      <c r="EJD90" s="717"/>
      <c r="EJE90" s="717"/>
      <c r="EJF90" s="717"/>
      <c r="EJG90" s="717"/>
      <c r="EJH90" s="717"/>
      <c r="EJI90" s="717"/>
      <c r="EJJ90" s="717"/>
      <c r="EJK90" s="717"/>
      <c r="EJL90" s="717"/>
      <c r="EJM90" s="717"/>
      <c r="EJN90" s="717"/>
      <c r="EJO90" s="717"/>
      <c r="EJP90" s="717"/>
      <c r="EJQ90" s="717"/>
      <c r="EJR90" s="717"/>
      <c r="EJS90" s="717"/>
      <c r="EJT90" s="717"/>
      <c r="EJU90" s="717"/>
      <c r="EJV90" s="717"/>
      <c r="EJW90" s="717"/>
      <c r="EJX90" s="717"/>
      <c r="EJY90" s="717"/>
      <c r="EJZ90" s="717"/>
      <c r="EKA90" s="717"/>
      <c r="EKB90" s="717"/>
      <c r="EKC90" s="717"/>
      <c r="EKD90" s="717"/>
      <c r="EKE90" s="717"/>
      <c r="EKF90" s="717"/>
      <c r="EKG90" s="717"/>
      <c r="EKH90" s="717"/>
      <c r="EKI90" s="717"/>
      <c r="EKJ90" s="717"/>
      <c r="EKK90" s="717"/>
      <c r="EKL90" s="717"/>
      <c r="EKM90" s="717"/>
      <c r="EKN90" s="717"/>
      <c r="EKO90" s="717"/>
      <c r="EKP90" s="717"/>
      <c r="EKQ90" s="717"/>
      <c r="EKR90" s="717"/>
      <c r="EKS90" s="717"/>
      <c r="EKT90" s="717"/>
      <c r="EKU90" s="717"/>
      <c r="EKV90" s="717"/>
      <c r="EKW90" s="717"/>
      <c r="EKX90" s="717"/>
      <c r="EKY90" s="717"/>
      <c r="EKZ90" s="717"/>
      <c r="ELA90" s="717"/>
      <c r="ELB90" s="717"/>
      <c r="ELC90" s="717"/>
      <c r="ELD90" s="717"/>
      <c r="ELE90" s="717"/>
      <c r="ELF90" s="717"/>
      <c r="ELG90" s="717"/>
      <c r="ELH90" s="717"/>
      <c r="ELI90" s="717"/>
      <c r="ELJ90" s="717"/>
      <c r="ELK90" s="717"/>
      <c r="ELL90" s="717"/>
      <c r="ELM90" s="717"/>
      <c r="ELN90" s="717"/>
      <c r="ELO90" s="717"/>
      <c r="ELP90" s="717"/>
      <c r="ELQ90" s="717"/>
      <c r="ELR90" s="717"/>
      <c r="ELS90" s="717"/>
      <c r="ELT90" s="717"/>
      <c r="ELU90" s="717"/>
      <c r="ELV90" s="717"/>
      <c r="ELW90" s="717"/>
      <c r="ELX90" s="717"/>
      <c r="ELY90" s="717"/>
      <c r="ELZ90" s="717"/>
      <c r="EMA90" s="717"/>
      <c r="EMB90" s="717"/>
      <c r="EMC90" s="717"/>
      <c r="EMD90" s="717"/>
      <c r="EME90" s="717"/>
      <c r="EMF90" s="717"/>
      <c r="EMG90" s="717"/>
      <c r="EMH90" s="717"/>
      <c r="EMI90" s="717"/>
      <c r="EMJ90" s="717"/>
      <c r="EMK90" s="717"/>
      <c r="EML90" s="717"/>
      <c r="EMM90" s="717"/>
      <c r="EMN90" s="717"/>
      <c r="EMO90" s="717"/>
      <c r="EMP90" s="717"/>
      <c r="EMQ90" s="717"/>
      <c r="EMR90" s="717"/>
      <c r="EMS90" s="717"/>
      <c r="EMT90" s="717"/>
      <c r="EMU90" s="717"/>
      <c r="EMV90" s="717"/>
      <c r="EMW90" s="717"/>
      <c r="EMX90" s="717"/>
      <c r="EMY90" s="717"/>
      <c r="EMZ90" s="717"/>
      <c r="ENA90" s="717"/>
      <c r="ENB90" s="717"/>
      <c r="ENC90" s="717"/>
      <c r="END90" s="717"/>
      <c r="ENE90" s="717"/>
      <c r="ENF90" s="717"/>
      <c r="ENG90" s="717"/>
      <c r="ENH90" s="717"/>
      <c r="ENI90" s="717"/>
      <c r="ENJ90" s="717"/>
      <c r="ENK90" s="717"/>
      <c r="ENL90" s="717"/>
      <c r="ENM90" s="717"/>
      <c r="ENN90" s="717"/>
      <c r="ENO90" s="717"/>
      <c r="ENP90" s="717"/>
      <c r="ENQ90" s="717"/>
      <c r="ENR90" s="717"/>
      <c r="ENS90" s="717"/>
      <c r="ENT90" s="717"/>
      <c r="ENU90" s="717"/>
      <c r="ENV90" s="717"/>
      <c r="ENW90" s="717"/>
      <c r="ENX90" s="717"/>
      <c r="ENY90" s="717"/>
      <c r="ENZ90" s="717"/>
      <c r="EOA90" s="717"/>
      <c r="EOB90" s="717"/>
      <c r="EOC90" s="717"/>
      <c r="EOD90" s="717"/>
      <c r="EOE90" s="717"/>
      <c r="EOF90" s="717"/>
      <c r="EOG90" s="717"/>
      <c r="EOH90" s="717"/>
      <c r="EOI90" s="717"/>
      <c r="EOJ90" s="717"/>
      <c r="EOK90" s="717"/>
      <c r="EOL90" s="717"/>
      <c r="EOM90" s="717"/>
      <c r="EON90" s="717"/>
      <c r="EOO90" s="717"/>
      <c r="EOP90" s="717"/>
      <c r="EOQ90" s="717"/>
      <c r="EOR90" s="717"/>
      <c r="EOS90" s="717"/>
      <c r="EOT90" s="717"/>
      <c r="EOU90" s="717"/>
      <c r="EOV90" s="717"/>
      <c r="EOW90" s="717"/>
      <c r="EOX90" s="717"/>
      <c r="EOY90" s="717"/>
      <c r="EOZ90" s="717"/>
      <c r="EPA90" s="717"/>
      <c r="EPB90" s="717"/>
      <c r="EPC90" s="717"/>
      <c r="EPD90" s="717"/>
      <c r="EPE90" s="717"/>
      <c r="EPF90" s="717"/>
      <c r="EPG90" s="717"/>
      <c r="EPH90" s="717"/>
      <c r="EPI90" s="717"/>
      <c r="EPJ90" s="717"/>
      <c r="EPK90" s="717"/>
      <c r="EPL90" s="717"/>
      <c r="EPM90" s="717"/>
      <c r="EPN90" s="717"/>
      <c r="EPO90" s="717"/>
      <c r="EPP90" s="717"/>
      <c r="EPQ90" s="717"/>
      <c r="EPR90" s="717"/>
      <c r="EPS90" s="717"/>
      <c r="EPT90" s="717"/>
      <c r="EPU90" s="717"/>
      <c r="EPV90" s="717"/>
      <c r="EPW90" s="717"/>
      <c r="EPX90" s="717"/>
      <c r="EPY90" s="717"/>
      <c r="EPZ90" s="717"/>
      <c r="EQA90" s="717"/>
      <c r="EQB90" s="717"/>
      <c r="EQC90" s="717"/>
      <c r="EQD90" s="717"/>
      <c r="EQE90" s="717"/>
      <c r="EQF90" s="717"/>
      <c r="EQG90" s="717"/>
      <c r="EQH90" s="717"/>
      <c r="EQI90" s="717"/>
      <c r="EQJ90" s="717"/>
      <c r="EQK90" s="717"/>
      <c r="EQL90" s="717"/>
      <c r="EQM90" s="717"/>
      <c r="EQN90" s="717"/>
      <c r="EQO90" s="717"/>
      <c r="EQP90" s="717"/>
      <c r="EQQ90" s="717"/>
      <c r="EQX90" s="717"/>
      <c r="EQY90" s="717"/>
      <c r="EQZ90" s="717"/>
      <c r="ERA90" s="717"/>
      <c r="ERB90" s="717"/>
      <c r="ERC90" s="717"/>
      <c r="ERD90" s="717"/>
      <c r="ERE90" s="717"/>
      <c r="ERF90" s="717"/>
      <c r="ERG90" s="717"/>
      <c r="ERH90" s="717"/>
      <c r="ERI90" s="717"/>
      <c r="ERJ90" s="717"/>
      <c r="ERK90" s="717"/>
      <c r="ERL90" s="717"/>
      <c r="ERM90" s="717"/>
      <c r="ERN90" s="717"/>
      <c r="ERO90" s="717"/>
      <c r="ERP90" s="717"/>
      <c r="ERQ90" s="717"/>
      <c r="ERR90" s="717"/>
      <c r="ERS90" s="717"/>
      <c r="ERT90" s="717"/>
      <c r="ERU90" s="717"/>
      <c r="ERV90" s="717"/>
      <c r="ERW90" s="717"/>
      <c r="ERX90" s="717"/>
      <c r="ERY90" s="717"/>
      <c r="ERZ90" s="717"/>
      <c r="ESA90" s="717"/>
      <c r="ESB90" s="717"/>
      <c r="ESC90" s="717"/>
      <c r="ESD90" s="717"/>
      <c r="ESE90" s="717"/>
      <c r="ESF90" s="717"/>
      <c r="ESG90" s="717"/>
      <c r="ESH90" s="717"/>
      <c r="ESI90" s="717"/>
      <c r="ESJ90" s="717"/>
      <c r="ESK90" s="717"/>
      <c r="ESL90" s="717"/>
      <c r="ESM90" s="717"/>
      <c r="ESN90" s="717"/>
      <c r="ESO90" s="717"/>
      <c r="ESP90" s="717"/>
      <c r="ESQ90" s="717"/>
      <c r="ESR90" s="717"/>
      <c r="ESS90" s="717"/>
      <c r="EST90" s="717"/>
      <c r="ESU90" s="717"/>
      <c r="ESV90" s="717"/>
      <c r="ESW90" s="717"/>
      <c r="ESX90" s="717"/>
      <c r="ESY90" s="717"/>
      <c r="ESZ90" s="717"/>
      <c r="ETA90" s="717"/>
      <c r="ETB90" s="717"/>
      <c r="ETC90" s="717"/>
      <c r="ETD90" s="717"/>
      <c r="ETE90" s="717"/>
      <c r="ETF90" s="717"/>
      <c r="ETG90" s="717"/>
      <c r="ETH90" s="717"/>
      <c r="ETI90" s="717"/>
      <c r="ETJ90" s="717"/>
      <c r="ETK90" s="717"/>
      <c r="ETL90" s="717"/>
      <c r="ETM90" s="717"/>
      <c r="ETN90" s="717"/>
      <c r="ETO90" s="717"/>
      <c r="ETP90" s="717"/>
      <c r="ETQ90" s="717"/>
      <c r="ETR90" s="717"/>
      <c r="ETS90" s="717"/>
      <c r="ETT90" s="717"/>
      <c r="ETU90" s="717"/>
      <c r="ETV90" s="717"/>
      <c r="ETW90" s="717"/>
      <c r="ETX90" s="717"/>
      <c r="ETY90" s="717"/>
      <c r="ETZ90" s="717"/>
      <c r="EUA90" s="717"/>
      <c r="EUB90" s="717"/>
      <c r="EUC90" s="717"/>
      <c r="EUD90" s="717"/>
      <c r="EUE90" s="717"/>
      <c r="EUF90" s="717"/>
      <c r="EUG90" s="717"/>
      <c r="EUH90" s="717"/>
      <c r="EUI90" s="717"/>
      <c r="EUJ90" s="717"/>
      <c r="EUK90" s="717"/>
      <c r="EUL90" s="717"/>
      <c r="EUM90" s="717"/>
      <c r="EUN90" s="717"/>
      <c r="EUO90" s="717"/>
      <c r="EUP90" s="717"/>
      <c r="EUQ90" s="717"/>
      <c r="EUR90" s="717"/>
      <c r="EUS90" s="717"/>
      <c r="EUT90" s="717"/>
      <c r="EUU90" s="717"/>
      <c r="EUV90" s="717"/>
      <c r="EUW90" s="717"/>
      <c r="EUX90" s="717"/>
      <c r="EUY90" s="717"/>
      <c r="EUZ90" s="717"/>
      <c r="EVA90" s="717"/>
      <c r="EVB90" s="717"/>
      <c r="EVC90" s="717"/>
      <c r="EVD90" s="717"/>
      <c r="EVE90" s="717"/>
      <c r="EVF90" s="717"/>
      <c r="EVG90" s="717"/>
      <c r="EVH90" s="717"/>
      <c r="EVI90" s="717"/>
      <c r="EVJ90" s="717"/>
      <c r="EVK90" s="717"/>
      <c r="EVL90" s="717"/>
      <c r="EVM90" s="717"/>
      <c r="EVN90" s="717"/>
      <c r="EVO90" s="717"/>
      <c r="EVP90" s="717"/>
      <c r="EVQ90" s="717"/>
      <c r="EVR90" s="717"/>
      <c r="EVS90" s="717"/>
      <c r="EVT90" s="717"/>
      <c r="EVU90" s="717"/>
      <c r="EVV90" s="717"/>
      <c r="EVW90" s="717"/>
      <c r="EVX90" s="717"/>
      <c r="EVY90" s="717"/>
      <c r="EVZ90" s="717"/>
      <c r="EWA90" s="717"/>
      <c r="EWB90" s="717"/>
      <c r="EWC90" s="717"/>
      <c r="EWD90" s="717"/>
      <c r="EWE90" s="717"/>
      <c r="EWF90" s="717"/>
      <c r="EWG90" s="717"/>
      <c r="EWH90" s="717"/>
      <c r="EWI90" s="717"/>
      <c r="EWJ90" s="717"/>
      <c r="EWK90" s="717"/>
      <c r="EWL90" s="717"/>
      <c r="EWM90" s="717"/>
      <c r="EWN90" s="717"/>
      <c r="EWO90" s="717"/>
      <c r="EWP90" s="717"/>
      <c r="EWQ90" s="717"/>
      <c r="EWR90" s="717"/>
      <c r="EWS90" s="717"/>
      <c r="EWT90" s="717"/>
      <c r="EWU90" s="717"/>
      <c r="EWV90" s="717"/>
      <c r="EWW90" s="717"/>
      <c r="EWX90" s="717"/>
      <c r="EWY90" s="717"/>
      <c r="EWZ90" s="717"/>
      <c r="EXA90" s="717"/>
      <c r="EXB90" s="717"/>
      <c r="EXC90" s="717"/>
      <c r="EXD90" s="717"/>
      <c r="EXE90" s="717"/>
      <c r="EXF90" s="717"/>
      <c r="EXG90" s="717"/>
      <c r="EXH90" s="717"/>
      <c r="EXI90" s="717"/>
      <c r="EXJ90" s="717"/>
      <c r="EXK90" s="717"/>
      <c r="EXL90" s="717"/>
      <c r="EXM90" s="717"/>
      <c r="EXN90" s="717"/>
      <c r="EXO90" s="717"/>
      <c r="EXP90" s="717"/>
      <c r="EXQ90" s="717"/>
      <c r="EXR90" s="717"/>
      <c r="EXS90" s="717"/>
      <c r="EXT90" s="717"/>
      <c r="EXU90" s="717"/>
      <c r="EXV90" s="717"/>
      <c r="EXW90" s="717"/>
      <c r="EXX90" s="717"/>
      <c r="EXY90" s="717"/>
      <c r="EXZ90" s="717"/>
      <c r="EYA90" s="717"/>
      <c r="EYB90" s="717"/>
      <c r="EYC90" s="717"/>
      <c r="EYD90" s="717"/>
      <c r="EYE90" s="717"/>
      <c r="EYF90" s="717"/>
      <c r="EYG90" s="717"/>
      <c r="EYH90" s="717"/>
      <c r="EYI90" s="717"/>
      <c r="EYJ90" s="717"/>
      <c r="EYK90" s="717"/>
      <c r="EYL90" s="717"/>
      <c r="EYM90" s="717"/>
      <c r="EYN90" s="717"/>
      <c r="EYO90" s="717"/>
      <c r="EYP90" s="717"/>
      <c r="EYQ90" s="717"/>
      <c r="EYR90" s="717"/>
      <c r="EYS90" s="717"/>
      <c r="EYT90" s="717"/>
      <c r="EYU90" s="717"/>
      <c r="EYV90" s="717"/>
      <c r="EYW90" s="717"/>
      <c r="EYX90" s="717"/>
      <c r="EYY90" s="717"/>
      <c r="EYZ90" s="717"/>
      <c r="EZA90" s="717"/>
      <c r="EZB90" s="717"/>
      <c r="EZC90" s="717"/>
      <c r="EZD90" s="717"/>
      <c r="EZE90" s="717"/>
      <c r="EZF90" s="717"/>
      <c r="EZG90" s="717"/>
      <c r="EZH90" s="717"/>
      <c r="EZI90" s="717"/>
      <c r="EZJ90" s="717"/>
      <c r="EZK90" s="717"/>
      <c r="EZL90" s="717"/>
      <c r="EZM90" s="717"/>
      <c r="EZN90" s="717"/>
      <c r="EZO90" s="717"/>
      <c r="EZP90" s="717"/>
      <c r="EZQ90" s="717"/>
      <c r="EZR90" s="717"/>
      <c r="EZS90" s="717"/>
      <c r="EZT90" s="717"/>
      <c r="EZU90" s="717"/>
      <c r="EZV90" s="717"/>
      <c r="EZW90" s="717"/>
      <c r="EZX90" s="717"/>
      <c r="EZY90" s="717"/>
      <c r="EZZ90" s="717"/>
      <c r="FAA90" s="717"/>
      <c r="FAB90" s="717"/>
      <c r="FAC90" s="717"/>
      <c r="FAD90" s="717"/>
      <c r="FAE90" s="717"/>
      <c r="FAF90" s="717"/>
      <c r="FAG90" s="717"/>
      <c r="FAH90" s="717"/>
      <c r="FAI90" s="717"/>
      <c r="FAJ90" s="717"/>
      <c r="FAK90" s="717"/>
      <c r="FAL90" s="717"/>
      <c r="FAM90" s="717"/>
      <c r="FAT90" s="717"/>
      <c r="FAU90" s="717"/>
      <c r="FAV90" s="717"/>
      <c r="FAW90" s="717"/>
      <c r="FAX90" s="717"/>
      <c r="FAY90" s="717"/>
      <c r="FAZ90" s="717"/>
      <c r="FBA90" s="717"/>
      <c r="FBB90" s="717"/>
      <c r="FBC90" s="717"/>
      <c r="FBD90" s="717"/>
      <c r="FBE90" s="717"/>
      <c r="FBF90" s="717"/>
      <c r="FBG90" s="717"/>
      <c r="FBH90" s="717"/>
      <c r="FBI90" s="717"/>
      <c r="FBJ90" s="717"/>
      <c r="FBK90" s="717"/>
      <c r="FBL90" s="717"/>
      <c r="FBM90" s="717"/>
      <c r="FBN90" s="717"/>
      <c r="FBO90" s="717"/>
      <c r="FBP90" s="717"/>
      <c r="FBQ90" s="717"/>
      <c r="FBR90" s="717"/>
      <c r="FBS90" s="717"/>
      <c r="FBT90" s="717"/>
      <c r="FBU90" s="717"/>
      <c r="FBV90" s="717"/>
      <c r="FBW90" s="717"/>
      <c r="FBX90" s="717"/>
      <c r="FBY90" s="717"/>
      <c r="FBZ90" s="717"/>
      <c r="FCA90" s="717"/>
      <c r="FCB90" s="717"/>
      <c r="FCC90" s="717"/>
      <c r="FCD90" s="717"/>
      <c r="FCE90" s="717"/>
      <c r="FCF90" s="717"/>
      <c r="FCG90" s="717"/>
      <c r="FCH90" s="717"/>
      <c r="FCI90" s="717"/>
      <c r="FCJ90" s="717"/>
      <c r="FCK90" s="717"/>
      <c r="FCL90" s="717"/>
      <c r="FCM90" s="717"/>
      <c r="FCN90" s="717"/>
      <c r="FCO90" s="717"/>
      <c r="FCP90" s="717"/>
      <c r="FCQ90" s="717"/>
      <c r="FCR90" s="717"/>
      <c r="FCS90" s="717"/>
      <c r="FCT90" s="717"/>
      <c r="FCU90" s="717"/>
      <c r="FCV90" s="717"/>
      <c r="FCW90" s="717"/>
      <c r="FCX90" s="717"/>
      <c r="FCY90" s="717"/>
      <c r="FCZ90" s="717"/>
      <c r="FDA90" s="717"/>
      <c r="FDB90" s="717"/>
      <c r="FDC90" s="717"/>
      <c r="FDD90" s="717"/>
      <c r="FDE90" s="717"/>
      <c r="FDF90" s="717"/>
      <c r="FDG90" s="717"/>
      <c r="FDH90" s="717"/>
      <c r="FDI90" s="717"/>
      <c r="FDJ90" s="717"/>
      <c r="FDK90" s="717"/>
      <c r="FDL90" s="717"/>
      <c r="FDM90" s="717"/>
      <c r="FDN90" s="717"/>
      <c r="FDO90" s="717"/>
      <c r="FDP90" s="717"/>
      <c r="FDQ90" s="717"/>
      <c r="FDR90" s="717"/>
      <c r="FDS90" s="717"/>
      <c r="FDT90" s="717"/>
      <c r="FDU90" s="717"/>
      <c r="FDV90" s="717"/>
      <c r="FDW90" s="717"/>
      <c r="FDX90" s="717"/>
      <c r="FDY90" s="717"/>
      <c r="FDZ90" s="717"/>
      <c r="FEA90" s="717"/>
      <c r="FEB90" s="717"/>
      <c r="FEC90" s="717"/>
      <c r="FED90" s="717"/>
      <c r="FEE90" s="717"/>
      <c r="FEF90" s="717"/>
      <c r="FEG90" s="717"/>
      <c r="FEH90" s="717"/>
      <c r="FEI90" s="717"/>
      <c r="FEJ90" s="717"/>
      <c r="FEK90" s="717"/>
      <c r="FEL90" s="717"/>
      <c r="FEM90" s="717"/>
      <c r="FEN90" s="717"/>
      <c r="FEO90" s="717"/>
      <c r="FEP90" s="717"/>
      <c r="FEQ90" s="717"/>
      <c r="FER90" s="717"/>
      <c r="FES90" s="717"/>
      <c r="FET90" s="717"/>
      <c r="FEU90" s="717"/>
      <c r="FEV90" s="717"/>
      <c r="FEW90" s="717"/>
      <c r="FEX90" s="717"/>
      <c r="FEY90" s="717"/>
      <c r="FEZ90" s="717"/>
      <c r="FFA90" s="717"/>
      <c r="FFB90" s="717"/>
      <c r="FFC90" s="717"/>
      <c r="FFD90" s="717"/>
      <c r="FFE90" s="717"/>
      <c r="FFF90" s="717"/>
      <c r="FFG90" s="717"/>
      <c r="FFH90" s="717"/>
      <c r="FFI90" s="717"/>
      <c r="FFJ90" s="717"/>
      <c r="FFK90" s="717"/>
      <c r="FFL90" s="717"/>
      <c r="FFM90" s="717"/>
      <c r="FFN90" s="717"/>
      <c r="FFO90" s="717"/>
      <c r="FFP90" s="717"/>
      <c r="FFQ90" s="717"/>
      <c r="FFR90" s="717"/>
      <c r="FFS90" s="717"/>
      <c r="FFT90" s="717"/>
      <c r="FFU90" s="717"/>
      <c r="FFV90" s="717"/>
      <c r="FFW90" s="717"/>
      <c r="FFX90" s="717"/>
      <c r="FFY90" s="717"/>
      <c r="FFZ90" s="717"/>
      <c r="FGA90" s="717"/>
      <c r="FGB90" s="717"/>
      <c r="FGC90" s="717"/>
      <c r="FGD90" s="717"/>
      <c r="FGE90" s="717"/>
      <c r="FGF90" s="717"/>
      <c r="FGG90" s="717"/>
      <c r="FGH90" s="717"/>
      <c r="FGI90" s="717"/>
      <c r="FGJ90" s="717"/>
      <c r="FGK90" s="717"/>
      <c r="FGL90" s="717"/>
      <c r="FGM90" s="717"/>
      <c r="FGN90" s="717"/>
      <c r="FGO90" s="717"/>
      <c r="FGP90" s="717"/>
      <c r="FGQ90" s="717"/>
      <c r="FGR90" s="717"/>
      <c r="FGS90" s="717"/>
      <c r="FGT90" s="717"/>
      <c r="FGU90" s="717"/>
      <c r="FGV90" s="717"/>
      <c r="FGW90" s="717"/>
      <c r="FGX90" s="717"/>
      <c r="FGY90" s="717"/>
      <c r="FGZ90" s="717"/>
      <c r="FHA90" s="717"/>
      <c r="FHB90" s="717"/>
      <c r="FHC90" s="717"/>
      <c r="FHD90" s="717"/>
      <c r="FHE90" s="717"/>
      <c r="FHF90" s="717"/>
      <c r="FHG90" s="717"/>
      <c r="FHH90" s="717"/>
      <c r="FHI90" s="717"/>
      <c r="FHJ90" s="717"/>
      <c r="FHK90" s="717"/>
      <c r="FHL90" s="717"/>
      <c r="FHM90" s="717"/>
      <c r="FHN90" s="717"/>
      <c r="FHO90" s="717"/>
      <c r="FHP90" s="717"/>
      <c r="FHQ90" s="717"/>
      <c r="FHR90" s="717"/>
      <c r="FHS90" s="717"/>
      <c r="FHT90" s="717"/>
      <c r="FHU90" s="717"/>
      <c r="FHV90" s="717"/>
      <c r="FHW90" s="717"/>
      <c r="FHX90" s="717"/>
      <c r="FHY90" s="717"/>
      <c r="FHZ90" s="717"/>
      <c r="FIA90" s="717"/>
      <c r="FIB90" s="717"/>
      <c r="FIC90" s="717"/>
      <c r="FID90" s="717"/>
      <c r="FIE90" s="717"/>
      <c r="FIF90" s="717"/>
      <c r="FIG90" s="717"/>
      <c r="FIH90" s="717"/>
      <c r="FII90" s="717"/>
      <c r="FIJ90" s="717"/>
      <c r="FIK90" s="717"/>
      <c r="FIL90" s="717"/>
      <c r="FIM90" s="717"/>
      <c r="FIN90" s="717"/>
      <c r="FIO90" s="717"/>
      <c r="FIP90" s="717"/>
      <c r="FIQ90" s="717"/>
      <c r="FIR90" s="717"/>
      <c r="FIS90" s="717"/>
      <c r="FIT90" s="717"/>
      <c r="FIU90" s="717"/>
      <c r="FIV90" s="717"/>
      <c r="FIW90" s="717"/>
      <c r="FIX90" s="717"/>
      <c r="FIY90" s="717"/>
      <c r="FIZ90" s="717"/>
      <c r="FJA90" s="717"/>
      <c r="FJB90" s="717"/>
      <c r="FJC90" s="717"/>
      <c r="FJD90" s="717"/>
      <c r="FJE90" s="717"/>
      <c r="FJF90" s="717"/>
      <c r="FJG90" s="717"/>
      <c r="FJH90" s="717"/>
      <c r="FJI90" s="717"/>
      <c r="FJJ90" s="717"/>
      <c r="FJK90" s="717"/>
      <c r="FJL90" s="717"/>
      <c r="FJM90" s="717"/>
      <c r="FJN90" s="717"/>
      <c r="FJO90" s="717"/>
      <c r="FJP90" s="717"/>
      <c r="FJQ90" s="717"/>
      <c r="FJR90" s="717"/>
      <c r="FJS90" s="717"/>
      <c r="FJT90" s="717"/>
      <c r="FJU90" s="717"/>
      <c r="FJV90" s="717"/>
      <c r="FJW90" s="717"/>
      <c r="FJX90" s="717"/>
      <c r="FJY90" s="717"/>
      <c r="FJZ90" s="717"/>
      <c r="FKA90" s="717"/>
      <c r="FKB90" s="717"/>
      <c r="FKC90" s="717"/>
      <c r="FKD90" s="717"/>
      <c r="FKE90" s="717"/>
      <c r="FKF90" s="717"/>
      <c r="FKG90" s="717"/>
      <c r="FKH90" s="717"/>
      <c r="FKI90" s="717"/>
      <c r="FKP90" s="717"/>
      <c r="FKQ90" s="717"/>
      <c r="FKR90" s="717"/>
      <c r="FKS90" s="717"/>
      <c r="FKT90" s="717"/>
      <c r="FKU90" s="717"/>
      <c r="FKV90" s="717"/>
      <c r="FKW90" s="717"/>
      <c r="FKX90" s="717"/>
      <c r="FKY90" s="717"/>
      <c r="FKZ90" s="717"/>
      <c r="FLA90" s="717"/>
      <c r="FLB90" s="717"/>
      <c r="FLC90" s="717"/>
      <c r="FLD90" s="717"/>
      <c r="FLE90" s="717"/>
      <c r="FLF90" s="717"/>
      <c r="FLG90" s="717"/>
      <c r="FLH90" s="717"/>
      <c r="FLI90" s="717"/>
      <c r="FLJ90" s="717"/>
      <c r="FLK90" s="717"/>
      <c r="FLL90" s="717"/>
      <c r="FLM90" s="717"/>
      <c r="FLN90" s="717"/>
      <c r="FLO90" s="717"/>
      <c r="FLP90" s="717"/>
      <c r="FLQ90" s="717"/>
      <c r="FLR90" s="717"/>
      <c r="FLS90" s="717"/>
      <c r="FLT90" s="717"/>
      <c r="FLU90" s="717"/>
      <c r="FLV90" s="717"/>
      <c r="FLW90" s="717"/>
      <c r="FLX90" s="717"/>
      <c r="FLY90" s="717"/>
      <c r="FLZ90" s="717"/>
      <c r="FMA90" s="717"/>
      <c r="FMB90" s="717"/>
      <c r="FMC90" s="717"/>
      <c r="FMD90" s="717"/>
      <c r="FME90" s="717"/>
      <c r="FMF90" s="717"/>
      <c r="FMG90" s="717"/>
      <c r="FMH90" s="717"/>
      <c r="FMI90" s="717"/>
      <c r="FMJ90" s="717"/>
      <c r="FMK90" s="717"/>
      <c r="FML90" s="717"/>
      <c r="FMM90" s="717"/>
      <c r="FMN90" s="717"/>
      <c r="FMO90" s="717"/>
      <c r="FMP90" s="717"/>
      <c r="FMQ90" s="717"/>
      <c r="FMR90" s="717"/>
      <c r="FMS90" s="717"/>
      <c r="FMT90" s="717"/>
      <c r="FMU90" s="717"/>
      <c r="FMV90" s="717"/>
      <c r="FMW90" s="717"/>
      <c r="FMX90" s="717"/>
      <c r="FMY90" s="717"/>
      <c r="FMZ90" s="717"/>
      <c r="FNA90" s="717"/>
      <c r="FNB90" s="717"/>
      <c r="FNC90" s="717"/>
      <c r="FND90" s="717"/>
      <c r="FNE90" s="717"/>
      <c r="FNF90" s="717"/>
      <c r="FNG90" s="717"/>
      <c r="FNH90" s="717"/>
      <c r="FNI90" s="717"/>
      <c r="FNJ90" s="717"/>
      <c r="FNK90" s="717"/>
      <c r="FNL90" s="717"/>
      <c r="FNM90" s="717"/>
      <c r="FNN90" s="717"/>
      <c r="FNO90" s="717"/>
      <c r="FNP90" s="717"/>
      <c r="FNQ90" s="717"/>
      <c r="FNR90" s="717"/>
      <c r="FNS90" s="717"/>
      <c r="FNT90" s="717"/>
      <c r="FNU90" s="717"/>
      <c r="FNV90" s="717"/>
      <c r="FNW90" s="717"/>
      <c r="FNX90" s="717"/>
      <c r="FNY90" s="717"/>
      <c r="FNZ90" s="717"/>
      <c r="FOA90" s="717"/>
      <c r="FOB90" s="717"/>
      <c r="FOC90" s="717"/>
      <c r="FOD90" s="717"/>
      <c r="FOE90" s="717"/>
      <c r="FOF90" s="717"/>
      <c r="FOG90" s="717"/>
      <c r="FOH90" s="717"/>
      <c r="FOI90" s="717"/>
      <c r="FOJ90" s="717"/>
      <c r="FOK90" s="717"/>
      <c r="FOL90" s="717"/>
      <c r="FOM90" s="717"/>
      <c r="FON90" s="717"/>
      <c r="FOO90" s="717"/>
      <c r="FOP90" s="717"/>
      <c r="FOQ90" s="717"/>
      <c r="FOR90" s="717"/>
      <c r="FOS90" s="717"/>
      <c r="FOT90" s="717"/>
      <c r="FOU90" s="717"/>
      <c r="FOV90" s="717"/>
      <c r="FOW90" s="717"/>
      <c r="FOX90" s="717"/>
      <c r="FOY90" s="717"/>
      <c r="FOZ90" s="717"/>
      <c r="FPA90" s="717"/>
      <c r="FPB90" s="717"/>
      <c r="FPC90" s="717"/>
      <c r="FPD90" s="717"/>
      <c r="FPE90" s="717"/>
      <c r="FPF90" s="717"/>
      <c r="FPG90" s="717"/>
      <c r="FPH90" s="717"/>
      <c r="FPI90" s="717"/>
      <c r="FPJ90" s="717"/>
      <c r="FPK90" s="717"/>
      <c r="FPL90" s="717"/>
      <c r="FPM90" s="717"/>
      <c r="FPN90" s="717"/>
      <c r="FPO90" s="717"/>
      <c r="FPP90" s="717"/>
      <c r="FPQ90" s="717"/>
      <c r="FPR90" s="717"/>
      <c r="FPS90" s="717"/>
      <c r="FPT90" s="717"/>
      <c r="FPU90" s="717"/>
      <c r="FPV90" s="717"/>
      <c r="FPW90" s="717"/>
      <c r="FPX90" s="717"/>
      <c r="FPY90" s="717"/>
      <c r="FPZ90" s="717"/>
      <c r="FQA90" s="717"/>
      <c r="FQB90" s="717"/>
      <c r="FQC90" s="717"/>
      <c r="FQD90" s="717"/>
      <c r="FQE90" s="717"/>
      <c r="FQF90" s="717"/>
      <c r="FQG90" s="717"/>
      <c r="FQH90" s="717"/>
      <c r="FQI90" s="717"/>
      <c r="FQJ90" s="717"/>
      <c r="FQK90" s="717"/>
      <c r="FQL90" s="717"/>
      <c r="FQM90" s="717"/>
      <c r="FQN90" s="717"/>
      <c r="FQO90" s="717"/>
      <c r="FQP90" s="717"/>
      <c r="FQQ90" s="717"/>
      <c r="FQR90" s="717"/>
      <c r="FQS90" s="717"/>
      <c r="FQT90" s="717"/>
      <c r="FQU90" s="717"/>
      <c r="FQV90" s="717"/>
      <c r="FQW90" s="717"/>
      <c r="FQX90" s="717"/>
      <c r="FQY90" s="717"/>
      <c r="FQZ90" s="717"/>
      <c r="FRA90" s="717"/>
      <c r="FRB90" s="717"/>
      <c r="FRC90" s="717"/>
      <c r="FRD90" s="717"/>
      <c r="FRE90" s="717"/>
      <c r="FRF90" s="717"/>
      <c r="FRG90" s="717"/>
      <c r="FRH90" s="717"/>
      <c r="FRI90" s="717"/>
      <c r="FRJ90" s="717"/>
      <c r="FRK90" s="717"/>
      <c r="FRL90" s="717"/>
      <c r="FRM90" s="717"/>
      <c r="FRN90" s="717"/>
      <c r="FRO90" s="717"/>
      <c r="FRP90" s="717"/>
      <c r="FRQ90" s="717"/>
      <c r="FRR90" s="717"/>
      <c r="FRS90" s="717"/>
      <c r="FRT90" s="717"/>
      <c r="FRU90" s="717"/>
      <c r="FRV90" s="717"/>
      <c r="FRW90" s="717"/>
      <c r="FRX90" s="717"/>
      <c r="FRY90" s="717"/>
      <c r="FRZ90" s="717"/>
      <c r="FSA90" s="717"/>
      <c r="FSB90" s="717"/>
      <c r="FSC90" s="717"/>
      <c r="FSD90" s="717"/>
      <c r="FSE90" s="717"/>
      <c r="FSF90" s="717"/>
      <c r="FSG90" s="717"/>
      <c r="FSH90" s="717"/>
      <c r="FSI90" s="717"/>
      <c r="FSJ90" s="717"/>
      <c r="FSK90" s="717"/>
      <c r="FSL90" s="717"/>
      <c r="FSM90" s="717"/>
      <c r="FSN90" s="717"/>
      <c r="FSO90" s="717"/>
      <c r="FSP90" s="717"/>
      <c r="FSQ90" s="717"/>
      <c r="FSR90" s="717"/>
      <c r="FSS90" s="717"/>
      <c r="FST90" s="717"/>
      <c r="FSU90" s="717"/>
      <c r="FSV90" s="717"/>
      <c r="FSW90" s="717"/>
      <c r="FSX90" s="717"/>
      <c r="FSY90" s="717"/>
      <c r="FSZ90" s="717"/>
      <c r="FTA90" s="717"/>
      <c r="FTB90" s="717"/>
      <c r="FTC90" s="717"/>
      <c r="FTD90" s="717"/>
      <c r="FTE90" s="717"/>
      <c r="FTF90" s="717"/>
      <c r="FTG90" s="717"/>
      <c r="FTH90" s="717"/>
      <c r="FTI90" s="717"/>
      <c r="FTJ90" s="717"/>
      <c r="FTK90" s="717"/>
      <c r="FTL90" s="717"/>
      <c r="FTM90" s="717"/>
      <c r="FTN90" s="717"/>
      <c r="FTO90" s="717"/>
      <c r="FTP90" s="717"/>
      <c r="FTQ90" s="717"/>
      <c r="FTR90" s="717"/>
      <c r="FTS90" s="717"/>
      <c r="FTT90" s="717"/>
      <c r="FTU90" s="717"/>
      <c r="FTV90" s="717"/>
      <c r="FTW90" s="717"/>
      <c r="FTX90" s="717"/>
      <c r="FTY90" s="717"/>
      <c r="FTZ90" s="717"/>
      <c r="FUA90" s="717"/>
      <c r="FUB90" s="717"/>
      <c r="FUC90" s="717"/>
      <c r="FUD90" s="717"/>
      <c r="FUE90" s="717"/>
      <c r="FUL90" s="717"/>
      <c r="FUM90" s="717"/>
      <c r="FUN90" s="717"/>
      <c r="FUO90" s="717"/>
      <c r="FUP90" s="717"/>
      <c r="FUQ90" s="717"/>
      <c r="FUR90" s="717"/>
      <c r="FUS90" s="717"/>
      <c r="FUT90" s="717"/>
      <c r="FUU90" s="717"/>
      <c r="FUV90" s="717"/>
      <c r="FUW90" s="717"/>
      <c r="FUX90" s="717"/>
      <c r="FUY90" s="717"/>
      <c r="FUZ90" s="717"/>
      <c r="FVA90" s="717"/>
      <c r="FVB90" s="717"/>
      <c r="FVC90" s="717"/>
      <c r="FVD90" s="717"/>
      <c r="FVE90" s="717"/>
      <c r="FVF90" s="717"/>
      <c r="FVG90" s="717"/>
      <c r="FVH90" s="717"/>
      <c r="FVI90" s="717"/>
      <c r="FVJ90" s="717"/>
      <c r="FVK90" s="717"/>
      <c r="FVL90" s="717"/>
      <c r="FVM90" s="717"/>
      <c r="FVN90" s="717"/>
      <c r="FVO90" s="717"/>
      <c r="FVP90" s="717"/>
      <c r="FVQ90" s="717"/>
      <c r="FVR90" s="717"/>
      <c r="FVS90" s="717"/>
      <c r="FVT90" s="717"/>
      <c r="FVU90" s="717"/>
      <c r="FVV90" s="717"/>
      <c r="FVW90" s="717"/>
      <c r="FVX90" s="717"/>
      <c r="FVY90" s="717"/>
      <c r="FVZ90" s="717"/>
      <c r="FWA90" s="717"/>
      <c r="FWB90" s="717"/>
      <c r="FWC90" s="717"/>
      <c r="FWD90" s="717"/>
      <c r="FWE90" s="717"/>
      <c r="FWF90" s="717"/>
      <c r="FWG90" s="717"/>
      <c r="FWH90" s="717"/>
      <c r="FWI90" s="717"/>
      <c r="FWJ90" s="717"/>
      <c r="FWK90" s="717"/>
      <c r="FWL90" s="717"/>
      <c r="FWM90" s="717"/>
      <c r="FWN90" s="717"/>
      <c r="FWO90" s="717"/>
      <c r="FWP90" s="717"/>
      <c r="FWQ90" s="717"/>
      <c r="FWR90" s="717"/>
      <c r="FWS90" s="717"/>
      <c r="FWT90" s="717"/>
      <c r="FWU90" s="717"/>
      <c r="FWV90" s="717"/>
      <c r="FWW90" s="717"/>
      <c r="FWX90" s="717"/>
      <c r="FWY90" s="717"/>
      <c r="FWZ90" s="717"/>
      <c r="FXA90" s="717"/>
      <c r="FXB90" s="717"/>
      <c r="FXC90" s="717"/>
      <c r="FXD90" s="717"/>
      <c r="FXE90" s="717"/>
      <c r="FXF90" s="717"/>
      <c r="FXG90" s="717"/>
      <c r="FXH90" s="717"/>
      <c r="FXI90" s="717"/>
      <c r="FXJ90" s="717"/>
      <c r="FXK90" s="717"/>
      <c r="FXL90" s="717"/>
      <c r="FXM90" s="717"/>
      <c r="FXN90" s="717"/>
      <c r="FXO90" s="717"/>
      <c r="FXP90" s="717"/>
      <c r="FXQ90" s="717"/>
      <c r="FXR90" s="717"/>
      <c r="FXS90" s="717"/>
      <c r="FXT90" s="717"/>
      <c r="FXU90" s="717"/>
      <c r="FXV90" s="717"/>
      <c r="FXW90" s="717"/>
      <c r="FXX90" s="717"/>
      <c r="FXY90" s="717"/>
      <c r="FXZ90" s="717"/>
      <c r="FYA90" s="717"/>
      <c r="FYB90" s="717"/>
      <c r="FYC90" s="717"/>
      <c r="FYD90" s="717"/>
      <c r="FYE90" s="717"/>
      <c r="FYF90" s="717"/>
      <c r="FYG90" s="717"/>
      <c r="FYH90" s="717"/>
      <c r="FYI90" s="717"/>
      <c r="FYJ90" s="717"/>
      <c r="FYK90" s="717"/>
      <c r="FYL90" s="717"/>
      <c r="FYM90" s="717"/>
      <c r="FYN90" s="717"/>
      <c r="FYO90" s="717"/>
      <c r="FYP90" s="717"/>
      <c r="FYQ90" s="717"/>
      <c r="FYR90" s="717"/>
      <c r="FYS90" s="717"/>
      <c r="FYT90" s="717"/>
      <c r="FYU90" s="717"/>
      <c r="FYV90" s="717"/>
      <c r="FYW90" s="717"/>
      <c r="FYX90" s="717"/>
      <c r="FYY90" s="717"/>
      <c r="FYZ90" s="717"/>
      <c r="FZA90" s="717"/>
      <c r="FZB90" s="717"/>
      <c r="FZC90" s="717"/>
      <c r="FZD90" s="717"/>
      <c r="FZE90" s="717"/>
      <c r="FZF90" s="717"/>
      <c r="FZG90" s="717"/>
      <c r="FZH90" s="717"/>
      <c r="FZI90" s="717"/>
      <c r="FZJ90" s="717"/>
      <c r="FZK90" s="717"/>
      <c r="FZL90" s="717"/>
      <c r="FZM90" s="717"/>
      <c r="FZN90" s="717"/>
      <c r="FZO90" s="717"/>
      <c r="FZP90" s="717"/>
      <c r="FZQ90" s="717"/>
      <c r="FZR90" s="717"/>
      <c r="FZS90" s="717"/>
      <c r="FZT90" s="717"/>
      <c r="FZU90" s="717"/>
      <c r="FZV90" s="717"/>
      <c r="FZW90" s="717"/>
      <c r="FZX90" s="717"/>
      <c r="FZY90" s="717"/>
      <c r="FZZ90" s="717"/>
      <c r="GAA90" s="717"/>
      <c r="GAB90" s="717"/>
      <c r="GAC90" s="717"/>
      <c r="GAD90" s="717"/>
      <c r="GAE90" s="717"/>
      <c r="GAF90" s="717"/>
      <c r="GAG90" s="717"/>
      <c r="GAH90" s="717"/>
      <c r="GAI90" s="717"/>
      <c r="GAJ90" s="717"/>
      <c r="GAK90" s="717"/>
      <c r="GAL90" s="717"/>
      <c r="GAM90" s="717"/>
      <c r="GAN90" s="717"/>
      <c r="GAO90" s="717"/>
      <c r="GAP90" s="717"/>
      <c r="GAQ90" s="717"/>
      <c r="GAR90" s="717"/>
      <c r="GAS90" s="717"/>
      <c r="GAT90" s="717"/>
      <c r="GAU90" s="717"/>
      <c r="GAV90" s="717"/>
      <c r="GAW90" s="717"/>
      <c r="GAX90" s="717"/>
      <c r="GAY90" s="717"/>
      <c r="GAZ90" s="717"/>
      <c r="GBA90" s="717"/>
      <c r="GBB90" s="717"/>
      <c r="GBC90" s="717"/>
      <c r="GBD90" s="717"/>
      <c r="GBE90" s="717"/>
      <c r="GBF90" s="717"/>
      <c r="GBG90" s="717"/>
      <c r="GBH90" s="717"/>
      <c r="GBI90" s="717"/>
      <c r="GBJ90" s="717"/>
      <c r="GBK90" s="717"/>
      <c r="GBL90" s="717"/>
      <c r="GBM90" s="717"/>
      <c r="GBN90" s="717"/>
      <c r="GBO90" s="717"/>
      <c r="GBP90" s="717"/>
      <c r="GBQ90" s="717"/>
      <c r="GBR90" s="717"/>
      <c r="GBS90" s="717"/>
      <c r="GBT90" s="717"/>
      <c r="GBU90" s="717"/>
      <c r="GBV90" s="717"/>
      <c r="GBW90" s="717"/>
      <c r="GBX90" s="717"/>
      <c r="GBY90" s="717"/>
      <c r="GBZ90" s="717"/>
      <c r="GCA90" s="717"/>
      <c r="GCB90" s="717"/>
      <c r="GCC90" s="717"/>
      <c r="GCD90" s="717"/>
      <c r="GCE90" s="717"/>
      <c r="GCF90" s="717"/>
      <c r="GCG90" s="717"/>
      <c r="GCH90" s="717"/>
      <c r="GCI90" s="717"/>
      <c r="GCJ90" s="717"/>
      <c r="GCK90" s="717"/>
      <c r="GCL90" s="717"/>
      <c r="GCM90" s="717"/>
      <c r="GCN90" s="717"/>
      <c r="GCO90" s="717"/>
      <c r="GCP90" s="717"/>
      <c r="GCQ90" s="717"/>
      <c r="GCR90" s="717"/>
      <c r="GCS90" s="717"/>
      <c r="GCT90" s="717"/>
      <c r="GCU90" s="717"/>
      <c r="GCV90" s="717"/>
      <c r="GCW90" s="717"/>
      <c r="GCX90" s="717"/>
      <c r="GCY90" s="717"/>
      <c r="GCZ90" s="717"/>
      <c r="GDA90" s="717"/>
      <c r="GDB90" s="717"/>
      <c r="GDC90" s="717"/>
      <c r="GDD90" s="717"/>
      <c r="GDE90" s="717"/>
      <c r="GDF90" s="717"/>
      <c r="GDG90" s="717"/>
      <c r="GDH90" s="717"/>
      <c r="GDI90" s="717"/>
      <c r="GDJ90" s="717"/>
      <c r="GDK90" s="717"/>
      <c r="GDL90" s="717"/>
      <c r="GDM90" s="717"/>
      <c r="GDN90" s="717"/>
      <c r="GDO90" s="717"/>
      <c r="GDP90" s="717"/>
      <c r="GDQ90" s="717"/>
      <c r="GDR90" s="717"/>
      <c r="GDS90" s="717"/>
      <c r="GDT90" s="717"/>
      <c r="GDU90" s="717"/>
      <c r="GDV90" s="717"/>
      <c r="GDW90" s="717"/>
      <c r="GDX90" s="717"/>
      <c r="GDY90" s="717"/>
      <c r="GDZ90" s="717"/>
      <c r="GEA90" s="717"/>
      <c r="GEH90" s="717"/>
      <c r="GEI90" s="717"/>
      <c r="GEJ90" s="717"/>
      <c r="GEK90" s="717"/>
      <c r="GEL90" s="717"/>
      <c r="GEM90" s="717"/>
      <c r="GEN90" s="717"/>
      <c r="GEO90" s="717"/>
      <c r="GEP90" s="717"/>
      <c r="GEQ90" s="717"/>
      <c r="GER90" s="717"/>
      <c r="GES90" s="717"/>
      <c r="GET90" s="717"/>
      <c r="GEU90" s="717"/>
      <c r="GEV90" s="717"/>
      <c r="GEW90" s="717"/>
      <c r="GEX90" s="717"/>
      <c r="GEY90" s="717"/>
      <c r="GEZ90" s="717"/>
      <c r="GFA90" s="717"/>
      <c r="GFB90" s="717"/>
      <c r="GFC90" s="717"/>
      <c r="GFD90" s="717"/>
      <c r="GFE90" s="717"/>
      <c r="GFF90" s="717"/>
      <c r="GFG90" s="717"/>
      <c r="GFH90" s="717"/>
      <c r="GFI90" s="717"/>
      <c r="GFJ90" s="717"/>
      <c r="GFK90" s="717"/>
      <c r="GFL90" s="717"/>
      <c r="GFM90" s="717"/>
      <c r="GFN90" s="717"/>
      <c r="GFO90" s="717"/>
      <c r="GFP90" s="717"/>
      <c r="GFQ90" s="717"/>
      <c r="GFR90" s="717"/>
      <c r="GFS90" s="717"/>
      <c r="GFT90" s="717"/>
      <c r="GFU90" s="717"/>
      <c r="GFV90" s="717"/>
      <c r="GFW90" s="717"/>
      <c r="GFX90" s="717"/>
      <c r="GFY90" s="717"/>
      <c r="GFZ90" s="717"/>
      <c r="GGA90" s="717"/>
      <c r="GGB90" s="717"/>
      <c r="GGC90" s="717"/>
      <c r="GGD90" s="717"/>
      <c r="GGE90" s="717"/>
      <c r="GGF90" s="717"/>
      <c r="GGG90" s="717"/>
      <c r="GGH90" s="717"/>
      <c r="GGI90" s="717"/>
      <c r="GGJ90" s="717"/>
      <c r="GGK90" s="717"/>
      <c r="GGL90" s="717"/>
      <c r="GGM90" s="717"/>
      <c r="GGN90" s="717"/>
      <c r="GGO90" s="717"/>
      <c r="GGP90" s="717"/>
      <c r="GGQ90" s="717"/>
      <c r="GGR90" s="717"/>
      <c r="GGS90" s="717"/>
      <c r="GGT90" s="717"/>
      <c r="GGU90" s="717"/>
      <c r="GGV90" s="717"/>
      <c r="GGW90" s="717"/>
      <c r="GGX90" s="717"/>
      <c r="GGY90" s="717"/>
      <c r="GGZ90" s="717"/>
      <c r="GHA90" s="717"/>
      <c r="GHB90" s="717"/>
      <c r="GHC90" s="717"/>
      <c r="GHD90" s="717"/>
      <c r="GHE90" s="717"/>
      <c r="GHF90" s="717"/>
      <c r="GHG90" s="717"/>
      <c r="GHH90" s="717"/>
      <c r="GHI90" s="717"/>
      <c r="GHJ90" s="717"/>
      <c r="GHK90" s="717"/>
      <c r="GHL90" s="717"/>
      <c r="GHM90" s="717"/>
      <c r="GHN90" s="717"/>
      <c r="GHO90" s="717"/>
      <c r="GHP90" s="717"/>
      <c r="GHQ90" s="717"/>
      <c r="GHR90" s="717"/>
      <c r="GHS90" s="717"/>
      <c r="GHT90" s="717"/>
      <c r="GHU90" s="717"/>
      <c r="GHV90" s="717"/>
      <c r="GHW90" s="717"/>
      <c r="GHX90" s="717"/>
      <c r="GHY90" s="717"/>
      <c r="GHZ90" s="717"/>
      <c r="GIA90" s="717"/>
      <c r="GIB90" s="717"/>
      <c r="GIC90" s="717"/>
      <c r="GID90" s="717"/>
      <c r="GIE90" s="717"/>
      <c r="GIF90" s="717"/>
      <c r="GIG90" s="717"/>
      <c r="GIH90" s="717"/>
      <c r="GII90" s="717"/>
      <c r="GIJ90" s="717"/>
      <c r="GIK90" s="717"/>
      <c r="GIL90" s="717"/>
      <c r="GIM90" s="717"/>
      <c r="GIN90" s="717"/>
      <c r="GIO90" s="717"/>
      <c r="GIP90" s="717"/>
      <c r="GIQ90" s="717"/>
      <c r="GIR90" s="717"/>
      <c r="GIS90" s="717"/>
      <c r="GIT90" s="717"/>
      <c r="GIU90" s="717"/>
      <c r="GIV90" s="717"/>
      <c r="GIW90" s="717"/>
      <c r="GIX90" s="717"/>
      <c r="GIY90" s="717"/>
      <c r="GIZ90" s="717"/>
      <c r="GJA90" s="717"/>
      <c r="GJB90" s="717"/>
      <c r="GJC90" s="717"/>
      <c r="GJD90" s="717"/>
      <c r="GJE90" s="717"/>
      <c r="GJF90" s="717"/>
      <c r="GJG90" s="717"/>
      <c r="GJH90" s="717"/>
      <c r="GJI90" s="717"/>
      <c r="GJJ90" s="717"/>
      <c r="GJK90" s="717"/>
      <c r="GJL90" s="717"/>
      <c r="GJM90" s="717"/>
      <c r="GJN90" s="717"/>
      <c r="GJO90" s="717"/>
      <c r="GJP90" s="717"/>
      <c r="GJQ90" s="717"/>
      <c r="GJR90" s="717"/>
      <c r="GJS90" s="717"/>
      <c r="GJT90" s="717"/>
      <c r="GJU90" s="717"/>
      <c r="GJV90" s="717"/>
      <c r="GJW90" s="717"/>
      <c r="GJX90" s="717"/>
      <c r="GJY90" s="717"/>
      <c r="GJZ90" s="717"/>
      <c r="GKA90" s="717"/>
      <c r="GKB90" s="717"/>
      <c r="GKC90" s="717"/>
      <c r="GKD90" s="717"/>
      <c r="GKE90" s="717"/>
      <c r="GKF90" s="717"/>
      <c r="GKG90" s="717"/>
      <c r="GKH90" s="717"/>
      <c r="GKI90" s="717"/>
      <c r="GKJ90" s="717"/>
      <c r="GKK90" s="717"/>
      <c r="GKL90" s="717"/>
      <c r="GKM90" s="717"/>
      <c r="GKN90" s="717"/>
      <c r="GKO90" s="717"/>
      <c r="GKP90" s="717"/>
      <c r="GKQ90" s="717"/>
      <c r="GKR90" s="717"/>
      <c r="GKS90" s="717"/>
      <c r="GKT90" s="717"/>
      <c r="GKU90" s="717"/>
      <c r="GKV90" s="717"/>
      <c r="GKW90" s="717"/>
      <c r="GKX90" s="717"/>
      <c r="GKY90" s="717"/>
      <c r="GKZ90" s="717"/>
      <c r="GLA90" s="717"/>
      <c r="GLB90" s="717"/>
      <c r="GLC90" s="717"/>
      <c r="GLD90" s="717"/>
      <c r="GLE90" s="717"/>
      <c r="GLF90" s="717"/>
      <c r="GLG90" s="717"/>
      <c r="GLH90" s="717"/>
      <c r="GLI90" s="717"/>
      <c r="GLJ90" s="717"/>
      <c r="GLK90" s="717"/>
      <c r="GLL90" s="717"/>
      <c r="GLM90" s="717"/>
      <c r="GLN90" s="717"/>
      <c r="GLO90" s="717"/>
      <c r="GLP90" s="717"/>
      <c r="GLQ90" s="717"/>
      <c r="GLR90" s="717"/>
      <c r="GLS90" s="717"/>
      <c r="GLT90" s="717"/>
      <c r="GLU90" s="717"/>
      <c r="GLV90" s="717"/>
      <c r="GLW90" s="717"/>
      <c r="GLX90" s="717"/>
      <c r="GLY90" s="717"/>
      <c r="GLZ90" s="717"/>
      <c r="GMA90" s="717"/>
      <c r="GMB90" s="717"/>
      <c r="GMC90" s="717"/>
      <c r="GMD90" s="717"/>
      <c r="GME90" s="717"/>
      <c r="GMF90" s="717"/>
      <c r="GMG90" s="717"/>
      <c r="GMH90" s="717"/>
      <c r="GMI90" s="717"/>
      <c r="GMJ90" s="717"/>
      <c r="GMK90" s="717"/>
      <c r="GML90" s="717"/>
      <c r="GMM90" s="717"/>
      <c r="GMN90" s="717"/>
      <c r="GMO90" s="717"/>
      <c r="GMP90" s="717"/>
      <c r="GMQ90" s="717"/>
      <c r="GMR90" s="717"/>
      <c r="GMS90" s="717"/>
      <c r="GMT90" s="717"/>
      <c r="GMU90" s="717"/>
      <c r="GMV90" s="717"/>
      <c r="GMW90" s="717"/>
      <c r="GMX90" s="717"/>
      <c r="GMY90" s="717"/>
      <c r="GMZ90" s="717"/>
      <c r="GNA90" s="717"/>
      <c r="GNB90" s="717"/>
      <c r="GNC90" s="717"/>
      <c r="GND90" s="717"/>
      <c r="GNE90" s="717"/>
      <c r="GNF90" s="717"/>
      <c r="GNG90" s="717"/>
      <c r="GNH90" s="717"/>
      <c r="GNI90" s="717"/>
      <c r="GNJ90" s="717"/>
      <c r="GNK90" s="717"/>
      <c r="GNL90" s="717"/>
      <c r="GNM90" s="717"/>
      <c r="GNN90" s="717"/>
      <c r="GNO90" s="717"/>
      <c r="GNP90" s="717"/>
      <c r="GNQ90" s="717"/>
      <c r="GNR90" s="717"/>
      <c r="GNS90" s="717"/>
      <c r="GNT90" s="717"/>
      <c r="GNU90" s="717"/>
      <c r="GNV90" s="717"/>
      <c r="GNW90" s="717"/>
      <c r="GOD90" s="717"/>
      <c r="GOE90" s="717"/>
      <c r="GOF90" s="717"/>
      <c r="GOG90" s="717"/>
      <c r="GOH90" s="717"/>
      <c r="GOI90" s="717"/>
      <c r="GOJ90" s="717"/>
      <c r="GOK90" s="717"/>
      <c r="GOL90" s="717"/>
      <c r="GOM90" s="717"/>
      <c r="GON90" s="717"/>
      <c r="GOO90" s="717"/>
      <c r="GOP90" s="717"/>
      <c r="GOQ90" s="717"/>
      <c r="GOR90" s="717"/>
      <c r="GOS90" s="717"/>
      <c r="GOT90" s="717"/>
      <c r="GOU90" s="717"/>
      <c r="GOV90" s="717"/>
      <c r="GOW90" s="717"/>
      <c r="GOX90" s="717"/>
      <c r="GOY90" s="717"/>
      <c r="GOZ90" s="717"/>
      <c r="GPA90" s="717"/>
      <c r="GPB90" s="717"/>
      <c r="GPC90" s="717"/>
      <c r="GPD90" s="717"/>
      <c r="GPE90" s="717"/>
      <c r="GPF90" s="717"/>
      <c r="GPG90" s="717"/>
      <c r="GPH90" s="717"/>
      <c r="GPI90" s="717"/>
      <c r="GPJ90" s="717"/>
      <c r="GPK90" s="717"/>
      <c r="GPL90" s="717"/>
      <c r="GPM90" s="717"/>
      <c r="GPN90" s="717"/>
      <c r="GPO90" s="717"/>
      <c r="GPP90" s="717"/>
      <c r="GPQ90" s="717"/>
      <c r="GPR90" s="717"/>
      <c r="GPS90" s="717"/>
      <c r="GPT90" s="717"/>
      <c r="GPU90" s="717"/>
      <c r="GPV90" s="717"/>
      <c r="GPW90" s="717"/>
      <c r="GPX90" s="717"/>
      <c r="GPY90" s="717"/>
      <c r="GPZ90" s="717"/>
      <c r="GQA90" s="717"/>
      <c r="GQB90" s="717"/>
      <c r="GQC90" s="717"/>
      <c r="GQD90" s="717"/>
      <c r="GQE90" s="717"/>
      <c r="GQF90" s="717"/>
      <c r="GQG90" s="717"/>
      <c r="GQH90" s="717"/>
      <c r="GQI90" s="717"/>
      <c r="GQJ90" s="717"/>
      <c r="GQK90" s="717"/>
      <c r="GQL90" s="717"/>
      <c r="GQM90" s="717"/>
      <c r="GQN90" s="717"/>
      <c r="GQO90" s="717"/>
      <c r="GQP90" s="717"/>
      <c r="GQQ90" s="717"/>
      <c r="GQR90" s="717"/>
      <c r="GQS90" s="717"/>
      <c r="GQT90" s="717"/>
      <c r="GQU90" s="717"/>
      <c r="GQV90" s="717"/>
      <c r="GQW90" s="717"/>
      <c r="GQX90" s="717"/>
      <c r="GQY90" s="717"/>
      <c r="GQZ90" s="717"/>
      <c r="GRA90" s="717"/>
      <c r="GRB90" s="717"/>
      <c r="GRC90" s="717"/>
      <c r="GRD90" s="717"/>
      <c r="GRE90" s="717"/>
      <c r="GRF90" s="717"/>
      <c r="GRG90" s="717"/>
      <c r="GRH90" s="717"/>
      <c r="GRI90" s="717"/>
      <c r="GRJ90" s="717"/>
      <c r="GRK90" s="717"/>
      <c r="GRL90" s="717"/>
      <c r="GRM90" s="717"/>
      <c r="GRN90" s="717"/>
      <c r="GRO90" s="717"/>
      <c r="GRP90" s="717"/>
      <c r="GRQ90" s="717"/>
      <c r="GRR90" s="717"/>
      <c r="GRS90" s="717"/>
      <c r="GRT90" s="717"/>
      <c r="GRU90" s="717"/>
      <c r="GRV90" s="717"/>
      <c r="GRW90" s="717"/>
      <c r="GRX90" s="717"/>
      <c r="GRY90" s="717"/>
      <c r="GRZ90" s="717"/>
      <c r="GSA90" s="717"/>
      <c r="GSB90" s="717"/>
      <c r="GSC90" s="717"/>
      <c r="GSD90" s="717"/>
      <c r="GSE90" s="717"/>
      <c r="GSF90" s="717"/>
      <c r="GSG90" s="717"/>
      <c r="GSH90" s="717"/>
      <c r="GSI90" s="717"/>
      <c r="GSJ90" s="717"/>
      <c r="GSK90" s="717"/>
      <c r="GSL90" s="717"/>
      <c r="GSM90" s="717"/>
      <c r="GSN90" s="717"/>
      <c r="GSO90" s="717"/>
      <c r="GSP90" s="717"/>
      <c r="GSQ90" s="717"/>
      <c r="GSR90" s="717"/>
      <c r="GSS90" s="717"/>
      <c r="GST90" s="717"/>
      <c r="GSU90" s="717"/>
      <c r="GSV90" s="717"/>
      <c r="GSW90" s="717"/>
      <c r="GSX90" s="717"/>
      <c r="GSY90" s="717"/>
      <c r="GSZ90" s="717"/>
      <c r="GTA90" s="717"/>
      <c r="GTB90" s="717"/>
      <c r="GTC90" s="717"/>
      <c r="GTD90" s="717"/>
      <c r="GTE90" s="717"/>
      <c r="GTF90" s="717"/>
      <c r="GTG90" s="717"/>
      <c r="GTH90" s="717"/>
      <c r="GTI90" s="717"/>
      <c r="GTJ90" s="717"/>
      <c r="GTK90" s="717"/>
      <c r="GTL90" s="717"/>
      <c r="GTM90" s="717"/>
      <c r="GTN90" s="717"/>
      <c r="GTO90" s="717"/>
      <c r="GTP90" s="717"/>
      <c r="GTQ90" s="717"/>
      <c r="GTR90" s="717"/>
      <c r="GTS90" s="717"/>
      <c r="GTT90" s="717"/>
      <c r="GTU90" s="717"/>
      <c r="GTV90" s="717"/>
      <c r="GTW90" s="717"/>
      <c r="GTX90" s="717"/>
      <c r="GTY90" s="717"/>
      <c r="GTZ90" s="717"/>
      <c r="GUA90" s="717"/>
      <c r="GUB90" s="717"/>
      <c r="GUC90" s="717"/>
      <c r="GUD90" s="717"/>
      <c r="GUE90" s="717"/>
      <c r="GUF90" s="717"/>
      <c r="GUG90" s="717"/>
      <c r="GUH90" s="717"/>
      <c r="GUI90" s="717"/>
      <c r="GUJ90" s="717"/>
      <c r="GUK90" s="717"/>
      <c r="GUL90" s="717"/>
      <c r="GUM90" s="717"/>
      <c r="GUN90" s="717"/>
      <c r="GUO90" s="717"/>
      <c r="GUP90" s="717"/>
      <c r="GUQ90" s="717"/>
      <c r="GUR90" s="717"/>
      <c r="GUS90" s="717"/>
      <c r="GUT90" s="717"/>
      <c r="GUU90" s="717"/>
      <c r="GUV90" s="717"/>
      <c r="GUW90" s="717"/>
      <c r="GUX90" s="717"/>
      <c r="GUY90" s="717"/>
      <c r="GUZ90" s="717"/>
      <c r="GVA90" s="717"/>
      <c r="GVB90" s="717"/>
      <c r="GVC90" s="717"/>
      <c r="GVD90" s="717"/>
      <c r="GVE90" s="717"/>
      <c r="GVF90" s="717"/>
      <c r="GVG90" s="717"/>
      <c r="GVH90" s="717"/>
      <c r="GVI90" s="717"/>
      <c r="GVJ90" s="717"/>
      <c r="GVK90" s="717"/>
      <c r="GVL90" s="717"/>
      <c r="GVM90" s="717"/>
      <c r="GVN90" s="717"/>
      <c r="GVO90" s="717"/>
      <c r="GVP90" s="717"/>
      <c r="GVQ90" s="717"/>
      <c r="GVR90" s="717"/>
      <c r="GVS90" s="717"/>
      <c r="GVT90" s="717"/>
      <c r="GVU90" s="717"/>
      <c r="GVV90" s="717"/>
      <c r="GVW90" s="717"/>
      <c r="GVX90" s="717"/>
      <c r="GVY90" s="717"/>
      <c r="GVZ90" s="717"/>
      <c r="GWA90" s="717"/>
      <c r="GWB90" s="717"/>
      <c r="GWC90" s="717"/>
      <c r="GWD90" s="717"/>
      <c r="GWE90" s="717"/>
      <c r="GWF90" s="717"/>
      <c r="GWG90" s="717"/>
      <c r="GWH90" s="717"/>
      <c r="GWI90" s="717"/>
      <c r="GWJ90" s="717"/>
      <c r="GWK90" s="717"/>
      <c r="GWL90" s="717"/>
      <c r="GWM90" s="717"/>
      <c r="GWN90" s="717"/>
      <c r="GWO90" s="717"/>
      <c r="GWP90" s="717"/>
      <c r="GWQ90" s="717"/>
      <c r="GWR90" s="717"/>
      <c r="GWS90" s="717"/>
      <c r="GWT90" s="717"/>
      <c r="GWU90" s="717"/>
      <c r="GWV90" s="717"/>
      <c r="GWW90" s="717"/>
      <c r="GWX90" s="717"/>
      <c r="GWY90" s="717"/>
      <c r="GWZ90" s="717"/>
      <c r="GXA90" s="717"/>
      <c r="GXB90" s="717"/>
      <c r="GXC90" s="717"/>
      <c r="GXD90" s="717"/>
      <c r="GXE90" s="717"/>
      <c r="GXF90" s="717"/>
      <c r="GXG90" s="717"/>
      <c r="GXH90" s="717"/>
      <c r="GXI90" s="717"/>
      <c r="GXJ90" s="717"/>
      <c r="GXK90" s="717"/>
      <c r="GXL90" s="717"/>
      <c r="GXM90" s="717"/>
      <c r="GXN90" s="717"/>
      <c r="GXO90" s="717"/>
      <c r="GXP90" s="717"/>
      <c r="GXQ90" s="717"/>
      <c r="GXR90" s="717"/>
      <c r="GXS90" s="717"/>
      <c r="GXZ90" s="717"/>
      <c r="GYA90" s="717"/>
      <c r="GYB90" s="717"/>
      <c r="GYC90" s="717"/>
      <c r="GYD90" s="717"/>
      <c r="GYE90" s="717"/>
      <c r="GYF90" s="717"/>
      <c r="GYG90" s="717"/>
      <c r="GYH90" s="717"/>
      <c r="GYI90" s="717"/>
      <c r="GYJ90" s="717"/>
      <c r="GYK90" s="717"/>
      <c r="GYL90" s="717"/>
      <c r="GYM90" s="717"/>
      <c r="GYN90" s="717"/>
      <c r="GYO90" s="717"/>
      <c r="GYP90" s="717"/>
      <c r="GYQ90" s="717"/>
      <c r="GYR90" s="717"/>
      <c r="GYS90" s="717"/>
      <c r="GYT90" s="717"/>
      <c r="GYU90" s="717"/>
      <c r="GYV90" s="717"/>
      <c r="GYW90" s="717"/>
      <c r="GYX90" s="717"/>
      <c r="GYY90" s="717"/>
      <c r="GYZ90" s="717"/>
      <c r="GZA90" s="717"/>
      <c r="GZB90" s="717"/>
      <c r="GZC90" s="717"/>
      <c r="GZD90" s="717"/>
      <c r="GZE90" s="717"/>
      <c r="GZF90" s="717"/>
      <c r="GZG90" s="717"/>
      <c r="GZH90" s="717"/>
      <c r="GZI90" s="717"/>
      <c r="GZJ90" s="717"/>
      <c r="GZK90" s="717"/>
      <c r="GZL90" s="717"/>
      <c r="GZM90" s="717"/>
      <c r="GZN90" s="717"/>
      <c r="GZO90" s="717"/>
      <c r="GZP90" s="717"/>
      <c r="GZQ90" s="717"/>
      <c r="GZR90" s="717"/>
      <c r="GZS90" s="717"/>
      <c r="GZT90" s="717"/>
      <c r="GZU90" s="717"/>
      <c r="GZV90" s="717"/>
      <c r="GZW90" s="717"/>
      <c r="GZX90" s="717"/>
      <c r="GZY90" s="717"/>
      <c r="GZZ90" s="717"/>
      <c r="HAA90" s="717"/>
      <c r="HAB90" s="717"/>
      <c r="HAC90" s="717"/>
      <c r="HAD90" s="717"/>
      <c r="HAE90" s="717"/>
      <c r="HAF90" s="717"/>
      <c r="HAG90" s="717"/>
      <c r="HAH90" s="717"/>
      <c r="HAI90" s="717"/>
      <c r="HAJ90" s="717"/>
      <c r="HAK90" s="717"/>
      <c r="HAL90" s="717"/>
      <c r="HAM90" s="717"/>
      <c r="HAN90" s="717"/>
      <c r="HAO90" s="717"/>
      <c r="HAP90" s="717"/>
      <c r="HAQ90" s="717"/>
      <c r="HAR90" s="717"/>
      <c r="HAS90" s="717"/>
      <c r="HAT90" s="717"/>
      <c r="HAU90" s="717"/>
      <c r="HAV90" s="717"/>
      <c r="HAW90" s="717"/>
      <c r="HAX90" s="717"/>
      <c r="HAY90" s="717"/>
      <c r="HAZ90" s="717"/>
      <c r="HBA90" s="717"/>
      <c r="HBB90" s="717"/>
      <c r="HBC90" s="717"/>
      <c r="HBD90" s="717"/>
      <c r="HBE90" s="717"/>
      <c r="HBF90" s="717"/>
      <c r="HBG90" s="717"/>
      <c r="HBH90" s="717"/>
      <c r="HBI90" s="717"/>
      <c r="HBJ90" s="717"/>
      <c r="HBK90" s="717"/>
      <c r="HBL90" s="717"/>
      <c r="HBM90" s="717"/>
      <c r="HBN90" s="717"/>
      <c r="HBO90" s="717"/>
      <c r="HBP90" s="717"/>
      <c r="HBQ90" s="717"/>
      <c r="HBR90" s="717"/>
      <c r="HBS90" s="717"/>
      <c r="HBT90" s="717"/>
      <c r="HBU90" s="717"/>
      <c r="HBV90" s="717"/>
      <c r="HBW90" s="717"/>
      <c r="HBX90" s="717"/>
      <c r="HBY90" s="717"/>
      <c r="HBZ90" s="717"/>
      <c r="HCA90" s="717"/>
      <c r="HCB90" s="717"/>
      <c r="HCC90" s="717"/>
      <c r="HCD90" s="717"/>
      <c r="HCE90" s="717"/>
      <c r="HCF90" s="717"/>
      <c r="HCG90" s="717"/>
      <c r="HCH90" s="717"/>
      <c r="HCI90" s="717"/>
      <c r="HCJ90" s="717"/>
      <c r="HCK90" s="717"/>
      <c r="HCL90" s="717"/>
      <c r="HCM90" s="717"/>
      <c r="HCN90" s="717"/>
      <c r="HCO90" s="717"/>
      <c r="HCP90" s="717"/>
      <c r="HCQ90" s="717"/>
      <c r="HCR90" s="717"/>
      <c r="HCS90" s="717"/>
      <c r="HCT90" s="717"/>
      <c r="HCU90" s="717"/>
      <c r="HCV90" s="717"/>
      <c r="HCW90" s="717"/>
      <c r="HCX90" s="717"/>
      <c r="HCY90" s="717"/>
      <c r="HCZ90" s="717"/>
      <c r="HDA90" s="717"/>
      <c r="HDB90" s="717"/>
      <c r="HDC90" s="717"/>
      <c r="HDD90" s="717"/>
      <c r="HDE90" s="717"/>
      <c r="HDF90" s="717"/>
      <c r="HDG90" s="717"/>
      <c r="HDH90" s="717"/>
      <c r="HDI90" s="717"/>
      <c r="HDJ90" s="717"/>
      <c r="HDK90" s="717"/>
      <c r="HDL90" s="717"/>
      <c r="HDM90" s="717"/>
      <c r="HDN90" s="717"/>
      <c r="HDO90" s="717"/>
      <c r="HDP90" s="717"/>
      <c r="HDQ90" s="717"/>
      <c r="HDR90" s="717"/>
      <c r="HDS90" s="717"/>
      <c r="HDT90" s="717"/>
      <c r="HDU90" s="717"/>
      <c r="HDV90" s="717"/>
      <c r="HDW90" s="717"/>
      <c r="HDX90" s="717"/>
      <c r="HDY90" s="717"/>
      <c r="HDZ90" s="717"/>
      <c r="HEA90" s="717"/>
      <c r="HEB90" s="717"/>
      <c r="HEC90" s="717"/>
      <c r="HED90" s="717"/>
      <c r="HEE90" s="717"/>
      <c r="HEF90" s="717"/>
      <c r="HEG90" s="717"/>
      <c r="HEH90" s="717"/>
      <c r="HEI90" s="717"/>
      <c r="HEJ90" s="717"/>
      <c r="HEK90" s="717"/>
      <c r="HEL90" s="717"/>
      <c r="HEM90" s="717"/>
      <c r="HEN90" s="717"/>
      <c r="HEO90" s="717"/>
      <c r="HEP90" s="717"/>
      <c r="HEQ90" s="717"/>
      <c r="HER90" s="717"/>
      <c r="HES90" s="717"/>
      <c r="HET90" s="717"/>
      <c r="HEU90" s="717"/>
      <c r="HEV90" s="717"/>
      <c r="HEW90" s="717"/>
      <c r="HEX90" s="717"/>
      <c r="HEY90" s="717"/>
      <c r="HEZ90" s="717"/>
      <c r="HFA90" s="717"/>
      <c r="HFB90" s="717"/>
      <c r="HFC90" s="717"/>
      <c r="HFD90" s="717"/>
      <c r="HFE90" s="717"/>
      <c r="HFF90" s="717"/>
      <c r="HFG90" s="717"/>
      <c r="HFH90" s="717"/>
      <c r="HFI90" s="717"/>
      <c r="HFJ90" s="717"/>
      <c r="HFK90" s="717"/>
      <c r="HFL90" s="717"/>
      <c r="HFM90" s="717"/>
      <c r="HFN90" s="717"/>
      <c r="HFO90" s="717"/>
      <c r="HFP90" s="717"/>
      <c r="HFQ90" s="717"/>
      <c r="HFR90" s="717"/>
      <c r="HFS90" s="717"/>
      <c r="HFT90" s="717"/>
      <c r="HFU90" s="717"/>
      <c r="HFV90" s="717"/>
      <c r="HFW90" s="717"/>
      <c r="HFX90" s="717"/>
      <c r="HFY90" s="717"/>
      <c r="HFZ90" s="717"/>
      <c r="HGA90" s="717"/>
      <c r="HGB90" s="717"/>
      <c r="HGC90" s="717"/>
      <c r="HGD90" s="717"/>
      <c r="HGE90" s="717"/>
      <c r="HGF90" s="717"/>
      <c r="HGG90" s="717"/>
      <c r="HGH90" s="717"/>
      <c r="HGI90" s="717"/>
      <c r="HGJ90" s="717"/>
      <c r="HGK90" s="717"/>
      <c r="HGL90" s="717"/>
      <c r="HGM90" s="717"/>
      <c r="HGN90" s="717"/>
      <c r="HGO90" s="717"/>
      <c r="HGP90" s="717"/>
      <c r="HGQ90" s="717"/>
      <c r="HGR90" s="717"/>
      <c r="HGS90" s="717"/>
      <c r="HGT90" s="717"/>
      <c r="HGU90" s="717"/>
      <c r="HGV90" s="717"/>
      <c r="HGW90" s="717"/>
      <c r="HGX90" s="717"/>
      <c r="HGY90" s="717"/>
      <c r="HGZ90" s="717"/>
      <c r="HHA90" s="717"/>
      <c r="HHB90" s="717"/>
      <c r="HHC90" s="717"/>
      <c r="HHD90" s="717"/>
      <c r="HHE90" s="717"/>
      <c r="HHF90" s="717"/>
      <c r="HHG90" s="717"/>
      <c r="HHH90" s="717"/>
      <c r="HHI90" s="717"/>
      <c r="HHJ90" s="717"/>
      <c r="HHK90" s="717"/>
      <c r="HHL90" s="717"/>
      <c r="HHM90" s="717"/>
      <c r="HHN90" s="717"/>
      <c r="HHO90" s="717"/>
      <c r="HHV90" s="717"/>
      <c r="HHW90" s="717"/>
      <c r="HHX90" s="717"/>
      <c r="HHY90" s="717"/>
      <c r="HHZ90" s="717"/>
      <c r="HIA90" s="717"/>
      <c r="HIB90" s="717"/>
      <c r="HIC90" s="717"/>
      <c r="HID90" s="717"/>
      <c r="HIE90" s="717"/>
      <c r="HIF90" s="717"/>
      <c r="HIG90" s="717"/>
      <c r="HIH90" s="717"/>
      <c r="HII90" s="717"/>
      <c r="HIJ90" s="717"/>
      <c r="HIK90" s="717"/>
      <c r="HIL90" s="717"/>
      <c r="HIM90" s="717"/>
      <c r="HIN90" s="717"/>
      <c r="HIO90" s="717"/>
      <c r="HIP90" s="717"/>
      <c r="HIQ90" s="717"/>
      <c r="HIR90" s="717"/>
      <c r="HIS90" s="717"/>
      <c r="HIT90" s="717"/>
      <c r="HIU90" s="717"/>
      <c r="HIV90" s="717"/>
      <c r="HIW90" s="717"/>
      <c r="HIX90" s="717"/>
      <c r="HIY90" s="717"/>
      <c r="HIZ90" s="717"/>
      <c r="HJA90" s="717"/>
      <c r="HJB90" s="717"/>
      <c r="HJC90" s="717"/>
      <c r="HJD90" s="717"/>
      <c r="HJE90" s="717"/>
      <c r="HJF90" s="717"/>
      <c r="HJG90" s="717"/>
      <c r="HJH90" s="717"/>
      <c r="HJI90" s="717"/>
      <c r="HJJ90" s="717"/>
      <c r="HJK90" s="717"/>
      <c r="HJL90" s="717"/>
      <c r="HJM90" s="717"/>
      <c r="HJN90" s="717"/>
      <c r="HJO90" s="717"/>
      <c r="HJP90" s="717"/>
      <c r="HJQ90" s="717"/>
      <c r="HJR90" s="717"/>
      <c r="HJS90" s="717"/>
      <c r="HJT90" s="717"/>
      <c r="HJU90" s="717"/>
      <c r="HJV90" s="717"/>
      <c r="HJW90" s="717"/>
      <c r="HJX90" s="717"/>
      <c r="HJY90" s="717"/>
      <c r="HJZ90" s="717"/>
      <c r="HKA90" s="717"/>
      <c r="HKB90" s="717"/>
      <c r="HKC90" s="717"/>
      <c r="HKD90" s="717"/>
      <c r="HKE90" s="717"/>
      <c r="HKF90" s="717"/>
      <c r="HKG90" s="717"/>
      <c r="HKH90" s="717"/>
      <c r="HKI90" s="717"/>
      <c r="HKJ90" s="717"/>
      <c r="HKK90" s="717"/>
      <c r="HKL90" s="717"/>
      <c r="HKM90" s="717"/>
      <c r="HKN90" s="717"/>
      <c r="HKO90" s="717"/>
      <c r="HKP90" s="717"/>
      <c r="HKQ90" s="717"/>
      <c r="HKR90" s="717"/>
      <c r="HKS90" s="717"/>
      <c r="HKT90" s="717"/>
      <c r="HKU90" s="717"/>
      <c r="HKV90" s="717"/>
      <c r="HKW90" s="717"/>
      <c r="HKX90" s="717"/>
      <c r="HKY90" s="717"/>
      <c r="HKZ90" s="717"/>
      <c r="HLA90" s="717"/>
      <c r="HLB90" s="717"/>
      <c r="HLC90" s="717"/>
      <c r="HLD90" s="717"/>
      <c r="HLE90" s="717"/>
      <c r="HLF90" s="717"/>
      <c r="HLG90" s="717"/>
      <c r="HLH90" s="717"/>
      <c r="HLI90" s="717"/>
      <c r="HLJ90" s="717"/>
      <c r="HLK90" s="717"/>
      <c r="HLL90" s="717"/>
      <c r="HLM90" s="717"/>
      <c r="HLN90" s="717"/>
      <c r="HLO90" s="717"/>
      <c r="HLP90" s="717"/>
      <c r="HLQ90" s="717"/>
      <c r="HLR90" s="717"/>
      <c r="HLS90" s="717"/>
      <c r="HLT90" s="717"/>
      <c r="HLU90" s="717"/>
      <c r="HLV90" s="717"/>
      <c r="HLW90" s="717"/>
      <c r="HLX90" s="717"/>
      <c r="HLY90" s="717"/>
      <c r="HLZ90" s="717"/>
      <c r="HMA90" s="717"/>
      <c r="HMB90" s="717"/>
      <c r="HMC90" s="717"/>
      <c r="HMD90" s="717"/>
      <c r="HME90" s="717"/>
      <c r="HMF90" s="717"/>
      <c r="HMG90" s="717"/>
      <c r="HMH90" s="717"/>
      <c r="HMI90" s="717"/>
      <c r="HMJ90" s="717"/>
      <c r="HMK90" s="717"/>
      <c r="HML90" s="717"/>
      <c r="HMM90" s="717"/>
      <c r="HMN90" s="717"/>
      <c r="HMO90" s="717"/>
      <c r="HMP90" s="717"/>
      <c r="HMQ90" s="717"/>
      <c r="HMR90" s="717"/>
      <c r="HMS90" s="717"/>
      <c r="HMT90" s="717"/>
      <c r="HMU90" s="717"/>
      <c r="HMV90" s="717"/>
      <c r="HMW90" s="717"/>
      <c r="HMX90" s="717"/>
      <c r="HMY90" s="717"/>
      <c r="HMZ90" s="717"/>
      <c r="HNA90" s="717"/>
      <c r="HNB90" s="717"/>
      <c r="HNC90" s="717"/>
      <c r="HND90" s="717"/>
      <c r="HNE90" s="717"/>
      <c r="HNF90" s="717"/>
      <c r="HNG90" s="717"/>
      <c r="HNH90" s="717"/>
      <c r="HNI90" s="717"/>
      <c r="HNJ90" s="717"/>
      <c r="HNK90" s="717"/>
      <c r="HNL90" s="717"/>
      <c r="HNM90" s="717"/>
      <c r="HNN90" s="717"/>
      <c r="HNO90" s="717"/>
      <c r="HNP90" s="717"/>
      <c r="HNQ90" s="717"/>
      <c r="HNR90" s="717"/>
      <c r="HNS90" s="717"/>
      <c r="HNT90" s="717"/>
      <c r="HNU90" s="717"/>
      <c r="HNV90" s="717"/>
      <c r="HNW90" s="717"/>
      <c r="HNX90" s="717"/>
      <c r="HNY90" s="717"/>
      <c r="HNZ90" s="717"/>
      <c r="HOA90" s="717"/>
      <c r="HOB90" s="717"/>
      <c r="HOC90" s="717"/>
      <c r="HOD90" s="717"/>
      <c r="HOE90" s="717"/>
      <c r="HOF90" s="717"/>
      <c r="HOG90" s="717"/>
      <c r="HOH90" s="717"/>
      <c r="HOI90" s="717"/>
      <c r="HOJ90" s="717"/>
      <c r="HOK90" s="717"/>
      <c r="HOL90" s="717"/>
      <c r="HOM90" s="717"/>
      <c r="HON90" s="717"/>
      <c r="HOO90" s="717"/>
      <c r="HOP90" s="717"/>
      <c r="HOQ90" s="717"/>
      <c r="HOR90" s="717"/>
      <c r="HOS90" s="717"/>
      <c r="HOT90" s="717"/>
      <c r="HOU90" s="717"/>
      <c r="HOV90" s="717"/>
      <c r="HOW90" s="717"/>
      <c r="HOX90" s="717"/>
      <c r="HOY90" s="717"/>
      <c r="HOZ90" s="717"/>
      <c r="HPA90" s="717"/>
      <c r="HPB90" s="717"/>
      <c r="HPC90" s="717"/>
      <c r="HPD90" s="717"/>
      <c r="HPE90" s="717"/>
      <c r="HPF90" s="717"/>
      <c r="HPG90" s="717"/>
      <c r="HPH90" s="717"/>
      <c r="HPI90" s="717"/>
      <c r="HPJ90" s="717"/>
      <c r="HPK90" s="717"/>
      <c r="HPL90" s="717"/>
      <c r="HPM90" s="717"/>
      <c r="HPN90" s="717"/>
      <c r="HPO90" s="717"/>
      <c r="HPP90" s="717"/>
      <c r="HPQ90" s="717"/>
      <c r="HPR90" s="717"/>
      <c r="HPS90" s="717"/>
      <c r="HPT90" s="717"/>
      <c r="HPU90" s="717"/>
      <c r="HPV90" s="717"/>
      <c r="HPW90" s="717"/>
      <c r="HPX90" s="717"/>
      <c r="HPY90" s="717"/>
      <c r="HPZ90" s="717"/>
      <c r="HQA90" s="717"/>
      <c r="HQB90" s="717"/>
      <c r="HQC90" s="717"/>
      <c r="HQD90" s="717"/>
      <c r="HQE90" s="717"/>
      <c r="HQF90" s="717"/>
      <c r="HQG90" s="717"/>
      <c r="HQH90" s="717"/>
      <c r="HQI90" s="717"/>
      <c r="HQJ90" s="717"/>
      <c r="HQK90" s="717"/>
      <c r="HQL90" s="717"/>
      <c r="HQM90" s="717"/>
      <c r="HQN90" s="717"/>
      <c r="HQO90" s="717"/>
      <c r="HQP90" s="717"/>
      <c r="HQQ90" s="717"/>
      <c r="HQR90" s="717"/>
      <c r="HQS90" s="717"/>
      <c r="HQT90" s="717"/>
      <c r="HQU90" s="717"/>
      <c r="HQV90" s="717"/>
      <c r="HQW90" s="717"/>
      <c r="HQX90" s="717"/>
      <c r="HQY90" s="717"/>
      <c r="HQZ90" s="717"/>
      <c r="HRA90" s="717"/>
      <c r="HRB90" s="717"/>
      <c r="HRC90" s="717"/>
      <c r="HRD90" s="717"/>
      <c r="HRE90" s="717"/>
      <c r="HRF90" s="717"/>
      <c r="HRG90" s="717"/>
      <c r="HRH90" s="717"/>
      <c r="HRI90" s="717"/>
      <c r="HRJ90" s="717"/>
      <c r="HRK90" s="717"/>
      <c r="HRR90" s="717"/>
      <c r="HRS90" s="717"/>
      <c r="HRT90" s="717"/>
      <c r="HRU90" s="717"/>
      <c r="HRV90" s="717"/>
      <c r="HRW90" s="717"/>
      <c r="HRX90" s="717"/>
      <c r="HRY90" s="717"/>
      <c r="HRZ90" s="717"/>
      <c r="HSA90" s="717"/>
      <c r="HSB90" s="717"/>
      <c r="HSC90" s="717"/>
      <c r="HSD90" s="717"/>
      <c r="HSE90" s="717"/>
      <c r="HSF90" s="717"/>
      <c r="HSG90" s="717"/>
      <c r="HSH90" s="717"/>
      <c r="HSI90" s="717"/>
      <c r="HSJ90" s="717"/>
      <c r="HSK90" s="717"/>
      <c r="HSL90" s="717"/>
      <c r="HSM90" s="717"/>
      <c r="HSN90" s="717"/>
      <c r="HSO90" s="717"/>
      <c r="HSP90" s="717"/>
      <c r="HSQ90" s="717"/>
      <c r="HSR90" s="717"/>
      <c r="HSS90" s="717"/>
      <c r="HST90" s="717"/>
      <c r="HSU90" s="717"/>
      <c r="HSV90" s="717"/>
      <c r="HSW90" s="717"/>
      <c r="HSX90" s="717"/>
      <c r="HSY90" s="717"/>
      <c r="HSZ90" s="717"/>
      <c r="HTA90" s="717"/>
      <c r="HTB90" s="717"/>
      <c r="HTC90" s="717"/>
      <c r="HTD90" s="717"/>
      <c r="HTE90" s="717"/>
      <c r="HTF90" s="717"/>
      <c r="HTG90" s="717"/>
      <c r="HTH90" s="717"/>
      <c r="HTI90" s="717"/>
      <c r="HTJ90" s="717"/>
      <c r="HTK90" s="717"/>
      <c r="HTL90" s="717"/>
      <c r="HTM90" s="717"/>
      <c r="HTN90" s="717"/>
      <c r="HTO90" s="717"/>
      <c r="HTP90" s="717"/>
      <c r="HTQ90" s="717"/>
      <c r="HTR90" s="717"/>
      <c r="HTS90" s="717"/>
      <c r="HTT90" s="717"/>
      <c r="HTU90" s="717"/>
      <c r="HTV90" s="717"/>
      <c r="HTW90" s="717"/>
      <c r="HTX90" s="717"/>
      <c r="HTY90" s="717"/>
      <c r="HTZ90" s="717"/>
      <c r="HUA90" s="717"/>
      <c r="HUB90" s="717"/>
      <c r="HUC90" s="717"/>
      <c r="HUD90" s="717"/>
      <c r="HUE90" s="717"/>
      <c r="HUF90" s="717"/>
      <c r="HUG90" s="717"/>
      <c r="HUH90" s="717"/>
      <c r="HUI90" s="717"/>
      <c r="HUJ90" s="717"/>
      <c r="HUK90" s="717"/>
      <c r="HUL90" s="717"/>
      <c r="HUM90" s="717"/>
      <c r="HUN90" s="717"/>
      <c r="HUO90" s="717"/>
      <c r="HUP90" s="717"/>
      <c r="HUQ90" s="717"/>
      <c r="HUR90" s="717"/>
      <c r="HUS90" s="717"/>
      <c r="HUT90" s="717"/>
      <c r="HUU90" s="717"/>
      <c r="HUV90" s="717"/>
      <c r="HUW90" s="717"/>
      <c r="HUX90" s="717"/>
      <c r="HUY90" s="717"/>
      <c r="HUZ90" s="717"/>
      <c r="HVA90" s="717"/>
      <c r="HVB90" s="717"/>
      <c r="HVC90" s="717"/>
      <c r="HVD90" s="717"/>
      <c r="HVE90" s="717"/>
      <c r="HVF90" s="717"/>
      <c r="HVG90" s="717"/>
      <c r="HVH90" s="717"/>
      <c r="HVI90" s="717"/>
      <c r="HVJ90" s="717"/>
      <c r="HVK90" s="717"/>
      <c r="HVL90" s="717"/>
      <c r="HVM90" s="717"/>
      <c r="HVN90" s="717"/>
      <c r="HVO90" s="717"/>
      <c r="HVP90" s="717"/>
      <c r="HVQ90" s="717"/>
      <c r="HVR90" s="717"/>
      <c r="HVS90" s="717"/>
      <c r="HVT90" s="717"/>
      <c r="HVU90" s="717"/>
      <c r="HVV90" s="717"/>
      <c r="HVW90" s="717"/>
      <c r="HVX90" s="717"/>
      <c r="HVY90" s="717"/>
      <c r="HVZ90" s="717"/>
      <c r="HWA90" s="717"/>
      <c r="HWB90" s="717"/>
      <c r="HWC90" s="717"/>
      <c r="HWD90" s="717"/>
      <c r="HWE90" s="717"/>
      <c r="HWF90" s="717"/>
      <c r="HWG90" s="717"/>
      <c r="HWH90" s="717"/>
      <c r="HWI90" s="717"/>
      <c r="HWJ90" s="717"/>
      <c r="HWK90" s="717"/>
      <c r="HWL90" s="717"/>
      <c r="HWM90" s="717"/>
      <c r="HWN90" s="717"/>
      <c r="HWO90" s="717"/>
      <c r="HWP90" s="717"/>
      <c r="HWQ90" s="717"/>
      <c r="HWR90" s="717"/>
      <c r="HWS90" s="717"/>
      <c r="HWT90" s="717"/>
      <c r="HWU90" s="717"/>
      <c r="HWV90" s="717"/>
      <c r="HWW90" s="717"/>
      <c r="HWX90" s="717"/>
      <c r="HWY90" s="717"/>
      <c r="HWZ90" s="717"/>
      <c r="HXA90" s="717"/>
      <c r="HXB90" s="717"/>
      <c r="HXC90" s="717"/>
      <c r="HXD90" s="717"/>
      <c r="HXE90" s="717"/>
      <c r="HXF90" s="717"/>
      <c r="HXG90" s="717"/>
      <c r="HXH90" s="717"/>
      <c r="HXI90" s="717"/>
      <c r="HXJ90" s="717"/>
      <c r="HXK90" s="717"/>
      <c r="HXL90" s="717"/>
      <c r="HXM90" s="717"/>
      <c r="HXN90" s="717"/>
      <c r="HXO90" s="717"/>
      <c r="HXP90" s="717"/>
      <c r="HXQ90" s="717"/>
      <c r="HXR90" s="717"/>
      <c r="HXS90" s="717"/>
      <c r="HXT90" s="717"/>
      <c r="HXU90" s="717"/>
      <c r="HXV90" s="717"/>
      <c r="HXW90" s="717"/>
      <c r="HXX90" s="717"/>
      <c r="HXY90" s="717"/>
      <c r="HXZ90" s="717"/>
      <c r="HYA90" s="717"/>
      <c r="HYB90" s="717"/>
      <c r="HYC90" s="717"/>
      <c r="HYD90" s="717"/>
      <c r="HYE90" s="717"/>
      <c r="HYF90" s="717"/>
      <c r="HYG90" s="717"/>
      <c r="HYH90" s="717"/>
      <c r="HYI90" s="717"/>
      <c r="HYJ90" s="717"/>
      <c r="HYK90" s="717"/>
      <c r="HYL90" s="717"/>
      <c r="HYM90" s="717"/>
      <c r="HYN90" s="717"/>
      <c r="HYO90" s="717"/>
      <c r="HYP90" s="717"/>
      <c r="HYQ90" s="717"/>
      <c r="HYR90" s="717"/>
      <c r="HYS90" s="717"/>
      <c r="HYT90" s="717"/>
      <c r="HYU90" s="717"/>
      <c r="HYV90" s="717"/>
      <c r="HYW90" s="717"/>
      <c r="HYX90" s="717"/>
      <c r="HYY90" s="717"/>
      <c r="HYZ90" s="717"/>
      <c r="HZA90" s="717"/>
      <c r="HZB90" s="717"/>
      <c r="HZC90" s="717"/>
      <c r="HZD90" s="717"/>
      <c r="HZE90" s="717"/>
      <c r="HZF90" s="717"/>
      <c r="HZG90" s="717"/>
      <c r="HZH90" s="717"/>
      <c r="HZI90" s="717"/>
      <c r="HZJ90" s="717"/>
      <c r="HZK90" s="717"/>
      <c r="HZL90" s="717"/>
      <c r="HZM90" s="717"/>
      <c r="HZN90" s="717"/>
      <c r="HZO90" s="717"/>
      <c r="HZP90" s="717"/>
      <c r="HZQ90" s="717"/>
      <c r="HZR90" s="717"/>
      <c r="HZS90" s="717"/>
      <c r="HZT90" s="717"/>
      <c r="HZU90" s="717"/>
      <c r="HZV90" s="717"/>
      <c r="HZW90" s="717"/>
      <c r="HZX90" s="717"/>
      <c r="HZY90" s="717"/>
      <c r="HZZ90" s="717"/>
      <c r="IAA90" s="717"/>
      <c r="IAB90" s="717"/>
      <c r="IAC90" s="717"/>
      <c r="IAD90" s="717"/>
      <c r="IAE90" s="717"/>
      <c r="IAF90" s="717"/>
      <c r="IAG90" s="717"/>
      <c r="IAH90" s="717"/>
      <c r="IAI90" s="717"/>
      <c r="IAJ90" s="717"/>
      <c r="IAK90" s="717"/>
      <c r="IAL90" s="717"/>
      <c r="IAM90" s="717"/>
      <c r="IAN90" s="717"/>
      <c r="IAO90" s="717"/>
      <c r="IAP90" s="717"/>
      <c r="IAQ90" s="717"/>
      <c r="IAR90" s="717"/>
      <c r="IAS90" s="717"/>
      <c r="IAT90" s="717"/>
      <c r="IAU90" s="717"/>
      <c r="IAV90" s="717"/>
      <c r="IAW90" s="717"/>
      <c r="IAX90" s="717"/>
      <c r="IAY90" s="717"/>
      <c r="IAZ90" s="717"/>
      <c r="IBA90" s="717"/>
      <c r="IBB90" s="717"/>
      <c r="IBC90" s="717"/>
      <c r="IBD90" s="717"/>
      <c r="IBE90" s="717"/>
      <c r="IBF90" s="717"/>
      <c r="IBG90" s="717"/>
      <c r="IBN90" s="717"/>
      <c r="IBO90" s="717"/>
      <c r="IBP90" s="717"/>
      <c r="IBQ90" s="717"/>
      <c r="IBR90" s="717"/>
      <c r="IBS90" s="717"/>
      <c r="IBT90" s="717"/>
      <c r="IBU90" s="717"/>
      <c r="IBV90" s="717"/>
      <c r="IBW90" s="717"/>
      <c r="IBX90" s="717"/>
      <c r="IBY90" s="717"/>
      <c r="IBZ90" s="717"/>
      <c r="ICA90" s="717"/>
      <c r="ICB90" s="717"/>
      <c r="ICC90" s="717"/>
      <c r="ICD90" s="717"/>
      <c r="ICE90" s="717"/>
      <c r="ICF90" s="717"/>
      <c r="ICG90" s="717"/>
      <c r="ICH90" s="717"/>
      <c r="ICI90" s="717"/>
      <c r="ICJ90" s="717"/>
      <c r="ICK90" s="717"/>
      <c r="ICL90" s="717"/>
      <c r="ICM90" s="717"/>
      <c r="ICN90" s="717"/>
      <c r="ICO90" s="717"/>
      <c r="ICP90" s="717"/>
      <c r="ICQ90" s="717"/>
      <c r="ICR90" s="717"/>
      <c r="ICS90" s="717"/>
      <c r="ICT90" s="717"/>
      <c r="ICU90" s="717"/>
      <c r="ICV90" s="717"/>
      <c r="ICW90" s="717"/>
      <c r="ICX90" s="717"/>
      <c r="ICY90" s="717"/>
      <c r="ICZ90" s="717"/>
      <c r="IDA90" s="717"/>
      <c r="IDB90" s="717"/>
      <c r="IDC90" s="717"/>
      <c r="IDD90" s="717"/>
      <c r="IDE90" s="717"/>
      <c r="IDF90" s="717"/>
      <c r="IDG90" s="717"/>
      <c r="IDH90" s="717"/>
      <c r="IDI90" s="717"/>
      <c r="IDJ90" s="717"/>
      <c r="IDK90" s="717"/>
      <c r="IDL90" s="717"/>
      <c r="IDM90" s="717"/>
      <c r="IDN90" s="717"/>
      <c r="IDO90" s="717"/>
      <c r="IDP90" s="717"/>
      <c r="IDQ90" s="717"/>
      <c r="IDR90" s="717"/>
      <c r="IDS90" s="717"/>
      <c r="IDT90" s="717"/>
      <c r="IDU90" s="717"/>
      <c r="IDV90" s="717"/>
      <c r="IDW90" s="717"/>
      <c r="IDX90" s="717"/>
      <c r="IDY90" s="717"/>
      <c r="IDZ90" s="717"/>
      <c r="IEA90" s="717"/>
      <c r="IEB90" s="717"/>
      <c r="IEC90" s="717"/>
      <c r="IED90" s="717"/>
      <c r="IEE90" s="717"/>
      <c r="IEF90" s="717"/>
      <c r="IEG90" s="717"/>
      <c r="IEH90" s="717"/>
      <c r="IEI90" s="717"/>
      <c r="IEJ90" s="717"/>
      <c r="IEK90" s="717"/>
      <c r="IEL90" s="717"/>
      <c r="IEM90" s="717"/>
      <c r="IEN90" s="717"/>
      <c r="IEO90" s="717"/>
      <c r="IEP90" s="717"/>
      <c r="IEQ90" s="717"/>
      <c r="IER90" s="717"/>
      <c r="IES90" s="717"/>
      <c r="IET90" s="717"/>
      <c r="IEU90" s="717"/>
      <c r="IEV90" s="717"/>
      <c r="IEW90" s="717"/>
      <c r="IEX90" s="717"/>
      <c r="IEY90" s="717"/>
      <c r="IEZ90" s="717"/>
      <c r="IFA90" s="717"/>
      <c r="IFB90" s="717"/>
      <c r="IFC90" s="717"/>
      <c r="IFD90" s="717"/>
      <c r="IFE90" s="717"/>
      <c r="IFF90" s="717"/>
      <c r="IFG90" s="717"/>
      <c r="IFH90" s="717"/>
      <c r="IFI90" s="717"/>
      <c r="IFJ90" s="717"/>
      <c r="IFK90" s="717"/>
      <c r="IFL90" s="717"/>
      <c r="IFM90" s="717"/>
      <c r="IFN90" s="717"/>
      <c r="IFO90" s="717"/>
      <c r="IFP90" s="717"/>
      <c r="IFQ90" s="717"/>
      <c r="IFR90" s="717"/>
      <c r="IFS90" s="717"/>
      <c r="IFT90" s="717"/>
      <c r="IFU90" s="717"/>
      <c r="IFV90" s="717"/>
      <c r="IFW90" s="717"/>
      <c r="IFX90" s="717"/>
      <c r="IFY90" s="717"/>
      <c r="IFZ90" s="717"/>
      <c r="IGA90" s="717"/>
      <c r="IGB90" s="717"/>
      <c r="IGC90" s="717"/>
      <c r="IGD90" s="717"/>
      <c r="IGE90" s="717"/>
      <c r="IGF90" s="717"/>
      <c r="IGG90" s="717"/>
      <c r="IGH90" s="717"/>
      <c r="IGI90" s="717"/>
      <c r="IGJ90" s="717"/>
      <c r="IGK90" s="717"/>
      <c r="IGL90" s="717"/>
      <c r="IGM90" s="717"/>
      <c r="IGN90" s="717"/>
      <c r="IGO90" s="717"/>
      <c r="IGP90" s="717"/>
      <c r="IGQ90" s="717"/>
      <c r="IGR90" s="717"/>
      <c r="IGS90" s="717"/>
      <c r="IGT90" s="717"/>
      <c r="IGU90" s="717"/>
      <c r="IGV90" s="717"/>
      <c r="IGW90" s="717"/>
      <c r="IGX90" s="717"/>
      <c r="IGY90" s="717"/>
      <c r="IGZ90" s="717"/>
      <c r="IHA90" s="717"/>
      <c r="IHB90" s="717"/>
      <c r="IHC90" s="717"/>
      <c r="IHD90" s="717"/>
      <c r="IHE90" s="717"/>
      <c r="IHF90" s="717"/>
      <c r="IHG90" s="717"/>
      <c r="IHH90" s="717"/>
      <c r="IHI90" s="717"/>
      <c r="IHJ90" s="717"/>
      <c r="IHK90" s="717"/>
      <c r="IHL90" s="717"/>
      <c r="IHM90" s="717"/>
      <c r="IHN90" s="717"/>
      <c r="IHO90" s="717"/>
      <c r="IHP90" s="717"/>
      <c r="IHQ90" s="717"/>
      <c r="IHR90" s="717"/>
      <c r="IHS90" s="717"/>
      <c r="IHT90" s="717"/>
      <c r="IHU90" s="717"/>
      <c r="IHV90" s="717"/>
      <c r="IHW90" s="717"/>
      <c r="IHX90" s="717"/>
      <c r="IHY90" s="717"/>
      <c r="IHZ90" s="717"/>
      <c r="IIA90" s="717"/>
      <c r="IIB90" s="717"/>
      <c r="IIC90" s="717"/>
      <c r="IID90" s="717"/>
      <c r="IIE90" s="717"/>
      <c r="IIF90" s="717"/>
      <c r="IIG90" s="717"/>
      <c r="IIH90" s="717"/>
      <c r="III90" s="717"/>
      <c r="IIJ90" s="717"/>
      <c r="IIK90" s="717"/>
      <c r="IIL90" s="717"/>
      <c r="IIM90" s="717"/>
      <c r="IIN90" s="717"/>
      <c r="IIO90" s="717"/>
      <c r="IIP90" s="717"/>
      <c r="IIQ90" s="717"/>
      <c r="IIR90" s="717"/>
      <c r="IIS90" s="717"/>
      <c r="IIT90" s="717"/>
      <c r="IIU90" s="717"/>
      <c r="IIV90" s="717"/>
      <c r="IIW90" s="717"/>
      <c r="IIX90" s="717"/>
      <c r="IIY90" s="717"/>
      <c r="IIZ90" s="717"/>
      <c r="IJA90" s="717"/>
      <c r="IJB90" s="717"/>
      <c r="IJC90" s="717"/>
      <c r="IJD90" s="717"/>
      <c r="IJE90" s="717"/>
      <c r="IJF90" s="717"/>
      <c r="IJG90" s="717"/>
      <c r="IJH90" s="717"/>
      <c r="IJI90" s="717"/>
      <c r="IJJ90" s="717"/>
      <c r="IJK90" s="717"/>
      <c r="IJL90" s="717"/>
      <c r="IJM90" s="717"/>
      <c r="IJN90" s="717"/>
      <c r="IJO90" s="717"/>
      <c r="IJP90" s="717"/>
      <c r="IJQ90" s="717"/>
      <c r="IJR90" s="717"/>
      <c r="IJS90" s="717"/>
      <c r="IJT90" s="717"/>
      <c r="IJU90" s="717"/>
      <c r="IJV90" s="717"/>
      <c r="IJW90" s="717"/>
      <c r="IJX90" s="717"/>
      <c r="IJY90" s="717"/>
      <c r="IJZ90" s="717"/>
      <c r="IKA90" s="717"/>
      <c r="IKB90" s="717"/>
      <c r="IKC90" s="717"/>
      <c r="IKD90" s="717"/>
      <c r="IKE90" s="717"/>
      <c r="IKF90" s="717"/>
      <c r="IKG90" s="717"/>
      <c r="IKH90" s="717"/>
      <c r="IKI90" s="717"/>
      <c r="IKJ90" s="717"/>
      <c r="IKK90" s="717"/>
      <c r="IKL90" s="717"/>
      <c r="IKM90" s="717"/>
      <c r="IKN90" s="717"/>
      <c r="IKO90" s="717"/>
      <c r="IKP90" s="717"/>
      <c r="IKQ90" s="717"/>
      <c r="IKR90" s="717"/>
      <c r="IKS90" s="717"/>
      <c r="IKT90" s="717"/>
      <c r="IKU90" s="717"/>
      <c r="IKV90" s="717"/>
      <c r="IKW90" s="717"/>
      <c r="IKX90" s="717"/>
      <c r="IKY90" s="717"/>
      <c r="IKZ90" s="717"/>
      <c r="ILA90" s="717"/>
      <c r="ILB90" s="717"/>
      <c r="ILC90" s="717"/>
      <c r="ILJ90" s="717"/>
      <c r="ILK90" s="717"/>
      <c r="ILL90" s="717"/>
      <c r="ILM90" s="717"/>
      <c r="ILN90" s="717"/>
      <c r="ILO90" s="717"/>
      <c r="ILP90" s="717"/>
      <c r="ILQ90" s="717"/>
      <c r="ILR90" s="717"/>
      <c r="ILS90" s="717"/>
      <c r="ILT90" s="717"/>
      <c r="ILU90" s="717"/>
      <c r="ILV90" s="717"/>
      <c r="ILW90" s="717"/>
      <c r="ILX90" s="717"/>
      <c r="ILY90" s="717"/>
      <c r="ILZ90" s="717"/>
      <c r="IMA90" s="717"/>
      <c r="IMB90" s="717"/>
      <c r="IMC90" s="717"/>
      <c r="IMD90" s="717"/>
      <c r="IME90" s="717"/>
      <c r="IMF90" s="717"/>
      <c r="IMG90" s="717"/>
      <c r="IMH90" s="717"/>
      <c r="IMI90" s="717"/>
      <c r="IMJ90" s="717"/>
      <c r="IMK90" s="717"/>
      <c r="IML90" s="717"/>
      <c r="IMM90" s="717"/>
      <c r="IMN90" s="717"/>
      <c r="IMO90" s="717"/>
      <c r="IMP90" s="717"/>
      <c r="IMQ90" s="717"/>
      <c r="IMR90" s="717"/>
      <c r="IMS90" s="717"/>
      <c r="IMT90" s="717"/>
      <c r="IMU90" s="717"/>
      <c r="IMV90" s="717"/>
      <c r="IMW90" s="717"/>
      <c r="IMX90" s="717"/>
      <c r="IMY90" s="717"/>
      <c r="IMZ90" s="717"/>
      <c r="INA90" s="717"/>
      <c r="INB90" s="717"/>
      <c r="INC90" s="717"/>
      <c r="IND90" s="717"/>
      <c r="INE90" s="717"/>
      <c r="INF90" s="717"/>
      <c r="ING90" s="717"/>
      <c r="INH90" s="717"/>
      <c r="INI90" s="717"/>
      <c r="INJ90" s="717"/>
      <c r="INK90" s="717"/>
      <c r="INL90" s="717"/>
      <c r="INM90" s="717"/>
      <c r="INN90" s="717"/>
      <c r="INO90" s="717"/>
      <c r="INP90" s="717"/>
      <c r="INQ90" s="717"/>
      <c r="INR90" s="717"/>
      <c r="INS90" s="717"/>
      <c r="INT90" s="717"/>
      <c r="INU90" s="717"/>
      <c r="INV90" s="717"/>
      <c r="INW90" s="717"/>
      <c r="INX90" s="717"/>
      <c r="INY90" s="717"/>
      <c r="INZ90" s="717"/>
      <c r="IOA90" s="717"/>
      <c r="IOB90" s="717"/>
      <c r="IOC90" s="717"/>
      <c r="IOD90" s="717"/>
      <c r="IOE90" s="717"/>
      <c r="IOF90" s="717"/>
      <c r="IOG90" s="717"/>
      <c r="IOH90" s="717"/>
      <c r="IOI90" s="717"/>
      <c r="IOJ90" s="717"/>
      <c r="IOK90" s="717"/>
      <c r="IOL90" s="717"/>
      <c r="IOM90" s="717"/>
      <c r="ION90" s="717"/>
      <c r="IOO90" s="717"/>
      <c r="IOP90" s="717"/>
      <c r="IOQ90" s="717"/>
      <c r="IOR90" s="717"/>
      <c r="IOS90" s="717"/>
      <c r="IOT90" s="717"/>
      <c r="IOU90" s="717"/>
      <c r="IOV90" s="717"/>
      <c r="IOW90" s="717"/>
      <c r="IOX90" s="717"/>
      <c r="IOY90" s="717"/>
      <c r="IOZ90" s="717"/>
      <c r="IPA90" s="717"/>
      <c r="IPB90" s="717"/>
      <c r="IPC90" s="717"/>
      <c r="IPD90" s="717"/>
      <c r="IPE90" s="717"/>
      <c r="IPF90" s="717"/>
      <c r="IPG90" s="717"/>
      <c r="IPH90" s="717"/>
      <c r="IPI90" s="717"/>
      <c r="IPJ90" s="717"/>
      <c r="IPK90" s="717"/>
      <c r="IPL90" s="717"/>
      <c r="IPM90" s="717"/>
      <c r="IPN90" s="717"/>
      <c r="IPO90" s="717"/>
      <c r="IPP90" s="717"/>
      <c r="IPQ90" s="717"/>
      <c r="IPR90" s="717"/>
      <c r="IPS90" s="717"/>
      <c r="IPT90" s="717"/>
      <c r="IPU90" s="717"/>
      <c r="IPV90" s="717"/>
      <c r="IPW90" s="717"/>
      <c r="IPX90" s="717"/>
      <c r="IPY90" s="717"/>
      <c r="IPZ90" s="717"/>
      <c r="IQA90" s="717"/>
      <c r="IQB90" s="717"/>
      <c r="IQC90" s="717"/>
      <c r="IQD90" s="717"/>
      <c r="IQE90" s="717"/>
      <c r="IQF90" s="717"/>
      <c r="IQG90" s="717"/>
      <c r="IQH90" s="717"/>
      <c r="IQI90" s="717"/>
      <c r="IQJ90" s="717"/>
      <c r="IQK90" s="717"/>
      <c r="IQL90" s="717"/>
      <c r="IQM90" s="717"/>
      <c r="IQN90" s="717"/>
      <c r="IQO90" s="717"/>
      <c r="IQP90" s="717"/>
      <c r="IQQ90" s="717"/>
      <c r="IQR90" s="717"/>
      <c r="IQS90" s="717"/>
      <c r="IQT90" s="717"/>
      <c r="IQU90" s="717"/>
      <c r="IQV90" s="717"/>
      <c r="IQW90" s="717"/>
      <c r="IQX90" s="717"/>
      <c r="IQY90" s="717"/>
      <c r="IQZ90" s="717"/>
      <c r="IRA90" s="717"/>
      <c r="IRB90" s="717"/>
      <c r="IRC90" s="717"/>
      <c r="IRD90" s="717"/>
      <c r="IRE90" s="717"/>
      <c r="IRF90" s="717"/>
      <c r="IRG90" s="717"/>
      <c r="IRH90" s="717"/>
      <c r="IRI90" s="717"/>
      <c r="IRJ90" s="717"/>
      <c r="IRK90" s="717"/>
      <c r="IRL90" s="717"/>
      <c r="IRM90" s="717"/>
      <c r="IRN90" s="717"/>
      <c r="IRO90" s="717"/>
      <c r="IRP90" s="717"/>
      <c r="IRQ90" s="717"/>
      <c r="IRR90" s="717"/>
      <c r="IRS90" s="717"/>
      <c r="IRT90" s="717"/>
      <c r="IRU90" s="717"/>
      <c r="IRV90" s="717"/>
      <c r="IRW90" s="717"/>
      <c r="IRX90" s="717"/>
      <c r="IRY90" s="717"/>
      <c r="IRZ90" s="717"/>
      <c r="ISA90" s="717"/>
      <c r="ISB90" s="717"/>
      <c r="ISC90" s="717"/>
      <c r="ISD90" s="717"/>
      <c r="ISE90" s="717"/>
      <c r="ISF90" s="717"/>
      <c r="ISG90" s="717"/>
      <c r="ISH90" s="717"/>
      <c r="ISI90" s="717"/>
      <c r="ISJ90" s="717"/>
      <c r="ISK90" s="717"/>
      <c r="ISL90" s="717"/>
      <c r="ISM90" s="717"/>
      <c r="ISN90" s="717"/>
      <c r="ISO90" s="717"/>
      <c r="ISP90" s="717"/>
      <c r="ISQ90" s="717"/>
      <c r="ISR90" s="717"/>
      <c r="ISS90" s="717"/>
      <c r="IST90" s="717"/>
      <c r="ISU90" s="717"/>
      <c r="ISV90" s="717"/>
      <c r="ISW90" s="717"/>
      <c r="ISX90" s="717"/>
      <c r="ISY90" s="717"/>
      <c r="ISZ90" s="717"/>
      <c r="ITA90" s="717"/>
      <c r="ITB90" s="717"/>
      <c r="ITC90" s="717"/>
      <c r="ITD90" s="717"/>
      <c r="ITE90" s="717"/>
      <c r="ITF90" s="717"/>
      <c r="ITG90" s="717"/>
      <c r="ITH90" s="717"/>
      <c r="ITI90" s="717"/>
      <c r="ITJ90" s="717"/>
      <c r="ITK90" s="717"/>
      <c r="ITL90" s="717"/>
      <c r="ITM90" s="717"/>
      <c r="ITN90" s="717"/>
      <c r="ITO90" s="717"/>
      <c r="ITP90" s="717"/>
      <c r="ITQ90" s="717"/>
      <c r="ITR90" s="717"/>
      <c r="ITS90" s="717"/>
      <c r="ITT90" s="717"/>
      <c r="ITU90" s="717"/>
      <c r="ITV90" s="717"/>
      <c r="ITW90" s="717"/>
      <c r="ITX90" s="717"/>
      <c r="ITY90" s="717"/>
      <c r="ITZ90" s="717"/>
      <c r="IUA90" s="717"/>
      <c r="IUB90" s="717"/>
      <c r="IUC90" s="717"/>
      <c r="IUD90" s="717"/>
      <c r="IUE90" s="717"/>
      <c r="IUF90" s="717"/>
      <c r="IUG90" s="717"/>
      <c r="IUH90" s="717"/>
      <c r="IUI90" s="717"/>
      <c r="IUJ90" s="717"/>
      <c r="IUK90" s="717"/>
      <c r="IUL90" s="717"/>
      <c r="IUM90" s="717"/>
      <c r="IUN90" s="717"/>
      <c r="IUO90" s="717"/>
      <c r="IUP90" s="717"/>
      <c r="IUQ90" s="717"/>
      <c r="IUR90" s="717"/>
      <c r="IUS90" s="717"/>
      <c r="IUT90" s="717"/>
      <c r="IUU90" s="717"/>
      <c r="IUV90" s="717"/>
      <c r="IUW90" s="717"/>
      <c r="IUX90" s="717"/>
      <c r="IUY90" s="717"/>
      <c r="IVF90" s="717"/>
      <c r="IVG90" s="717"/>
      <c r="IVH90" s="717"/>
      <c r="IVI90" s="717"/>
      <c r="IVJ90" s="717"/>
      <c r="IVK90" s="717"/>
      <c r="IVL90" s="717"/>
      <c r="IVM90" s="717"/>
      <c r="IVN90" s="717"/>
      <c r="IVO90" s="717"/>
      <c r="IVP90" s="717"/>
      <c r="IVQ90" s="717"/>
      <c r="IVR90" s="717"/>
      <c r="IVS90" s="717"/>
      <c r="IVT90" s="717"/>
      <c r="IVU90" s="717"/>
      <c r="IVV90" s="717"/>
      <c r="IVW90" s="717"/>
      <c r="IVX90" s="717"/>
      <c r="IVY90" s="717"/>
      <c r="IVZ90" s="717"/>
      <c r="IWA90" s="717"/>
      <c r="IWB90" s="717"/>
      <c r="IWC90" s="717"/>
      <c r="IWD90" s="717"/>
      <c r="IWE90" s="717"/>
      <c r="IWF90" s="717"/>
      <c r="IWG90" s="717"/>
      <c r="IWH90" s="717"/>
      <c r="IWI90" s="717"/>
      <c r="IWJ90" s="717"/>
      <c r="IWK90" s="717"/>
      <c r="IWL90" s="717"/>
      <c r="IWM90" s="717"/>
      <c r="IWN90" s="717"/>
      <c r="IWO90" s="717"/>
      <c r="IWP90" s="717"/>
      <c r="IWQ90" s="717"/>
      <c r="IWR90" s="717"/>
      <c r="IWS90" s="717"/>
      <c r="IWT90" s="717"/>
      <c r="IWU90" s="717"/>
      <c r="IWV90" s="717"/>
      <c r="IWW90" s="717"/>
      <c r="IWX90" s="717"/>
      <c r="IWY90" s="717"/>
      <c r="IWZ90" s="717"/>
      <c r="IXA90" s="717"/>
      <c r="IXB90" s="717"/>
      <c r="IXC90" s="717"/>
      <c r="IXD90" s="717"/>
      <c r="IXE90" s="717"/>
      <c r="IXF90" s="717"/>
      <c r="IXG90" s="717"/>
      <c r="IXH90" s="717"/>
      <c r="IXI90" s="717"/>
      <c r="IXJ90" s="717"/>
      <c r="IXK90" s="717"/>
      <c r="IXL90" s="717"/>
      <c r="IXM90" s="717"/>
      <c r="IXN90" s="717"/>
      <c r="IXO90" s="717"/>
      <c r="IXP90" s="717"/>
      <c r="IXQ90" s="717"/>
      <c r="IXR90" s="717"/>
      <c r="IXS90" s="717"/>
      <c r="IXT90" s="717"/>
      <c r="IXU90" s="717"/>
      <c r="IXV90" s="717"/>
      <c r="IXW90" s="717"/>
      <c r="IXX90" s="717"/>
      <c r="IXY90" s="717"/>
      <c r="IXZ90" s="717"/>
      <c r="IYA90" s="717"/>
      <c r="IYB90" s="717"/>
      <c r="IYC90" s="717"/>
      <c r="IYD90" s="717"/>
      <c r="IYE90" s="717"/>
      <c r="IYF90" s="717"/>
      <c r="IYG90" s="717"/>
      <c r="IYH90" s="717"/>
      <c r="IYI90" s="717"/>
      <c r="IYJ90" s="717"/>
      <c r="IYK90" s="717"/>
      <c r="IYL90" s="717"/>
      <c r="IYM90" s="717"/>
      <c r="IYN90" s="717"/>
      <c r="IYO90" s="717"/>
      <c r="IYP90" s="717"/>
      <c r="IYQ90" s="717"/>
      <c r="IYR90" s="717"/>
      <c r="IYS90" s="717"/>
      <c r="IYT90" s="717"/>
      <c r="IYU90" s="717"/>
      <c r="IYV90" s="717"/>
      <c r="IYW90" s="717"/>
      <c r="IYX90" s="717"/>
      <c r="IYY90" s="717"/>
      <c r="IYZ90" s="717"/>
      <c r="IZA90" s="717"/>
      <c r="IZB90" s="717"/>
      <c r="IZC90" s="717"/>
      <c r="IZD90" s="717"/>
      <c r="IZE90" s="717"/>
      <c r="IZF90" s="717"/>
      <c r="IZG90" s="717"/>
      <c r="IZH90" s="717"/>
      <c r="IZI90" s="717"/>
      <c r="IZJ90" s="717"/>
      <c r="IZK90" s="717"/>
      <c r="IZL90" s="717"/>
      <c r="IZM90" s="717"/>
      <c r="IZN90" s="717"/>
      <c r="IZO90" s="717"/>
      <c r="IZP90" s="717"/>
      <c r="IZQ90" s="717"/>
      <c r="IZR90" s="717"/>
      <c r="IZS90" s="717"/>
      <c r="IZT90" s="717"/>
      <c r="IZU90" s="717"/>
      <c r="IZV90" s="717"/>
      <c r="IZW90" s="717"/>
      <c r="IZX90" s="717"/>
      <c r="IZY90" s="717"/>
      <c r="IZZ90" s="717"/>
      <c r="JAA90" s="717"/>
      <c r="JAB90" s="717"/>
      <c r="JAC90" s="717"/>
      <c r="JAD90" s="717"/>
      <c r="JAE90" s="717"/>
      <c r="JAF90" s="717"/>
      <c r="JAG90" s="717"/>
      <c r="JAH90" s="717"/>
      <c r="JAI90" s="717"/>
      <c r="JAJ90" s="717"/>
      <c r="JAK90" s="717"/>
      <c r="JAL90" s="717"/>
      <c r="JAM90" s="717"/>
      <c r="JAN90" s="717"/>
      <c r="JAO90" s="717"/>
      <c r="JAP90" s="717"/>
      <c r="JAQ90" s="717"/>
      <c r="JAR90" s="717"/>
      <c r="JAS90" s="717"/>
      <c r="JAT90" s="717"/>
      <c r="JAU90" s="717"/>
      <c r="JAV90" s="717"/>
      <c r="JAW90" s="717"/>
      <c r="JAX90" s="717"/>
      <c r="JAY90" s="717"/>
      <c r="JAZ90" s="717"/>
      <c r="JBA90" s="717"/>
      <c r="JBB90" s="717"/>
      <c r="JBC90" s="717"/>
      <c r="JBD90" s="717"/>
      <c r="JBE90" s="717"/>
      <c r="JBF90" s="717"/>
      <c r="JBG90" s="717"/>
      <c r="JBH90" s="717"/>
      <c r="JBI90" s="717"/>
      <c r="JBJ90" s="717"/>
      <c r="JBK90" s="717"/>
      <c r="JBL90" s="717"/>
      <c r="JBM90" s="717"/>
      <c r="JBN90" s="717"/>
      <c r="JBO90" s="717"/>
      <c r="JBP90" s="717"/>
      <c r="JBQ90" s="717"/>
      <c r="JBR90" s="717"/>
      <c r="JBS90" s="717"/>
      <c r="JBT90" s="717"/>
      <c r="JBU90" s="717"/>
      <c r="JBV90" s="717"/>
      <c r="JBW90" s="717"/>
      <c r="JBX90" s="717"/>
      <c r="JBY90" s="717"/>
      <c r="JBZ90" s="717"/>
      <c r="JCA90" s="717"/>
      <c r="JCB90" s="717"/>
      <c r="JCC90" s="717"/>
      <c r="JCD90" s="717"/>
      <c r="JCE90" s="717"/>
      <c r="JCF90" s="717"/>
      <c r="JCG90" s="717"/>
      <c r="JCH90" s="717"/>
      <c r="JCI90" s="717"/>
      <c r="JCJ90" s="717"/>
      <c r="JCK90" s="717"/>
      <c r="JCL90" s="717"/>
      <c r="JCM90" s="717"/>
      <c r="JCN90" s="717"/>
      <c r="JCO90" s="717"/>
      <c r="JCP90" s="717"/>
      <c r="JCQ90" s="717"/>
      <c r="JCR90" s="717"/>
      <c r="JCS90" s="717"/>
      <c r="JCT90" s="717"/>
      <c r="JCU90" s="717"/>
      <c r="JCV90" s="717"/>
      <c r="JCW90" s="717"/>
      <c r="JCX90" s="717"/>
      <c r="JCY90" s="717"/>
      <c r="JCZ90" s="717"/>
      <c r="JDA90" s="717"/>
      <c r="JDB90" s="717"/>
      <c r="JDC90" s="717"/>
      <c r="JDD90" s="717"/>
      <c r="JDE90" s="717"/>
      <c r="JDF90" s="717"/>
      <c r="JDG90" s="717"/>
      <c r="JDH90" s="717"/>
      <c r="JDI90" s="717"/>
      <c r="JDJ90" s="717"/>
      <c r="JDK90" s="717"/>
      <c r="JDL90" s="717"/>
      <c r="JDM90" s="717"/>
      <c r="JDN90" s="717"/>
      <c r="JDO90" s="717"/>
      <c r="JDP90" s="717"/>
      <c r="JDQ90" s="717"/>
      <c r="JDR90" s="717"/>
      <c r="JDS90" s="717"/>
      <c r="JDT90" s="717"/>
      <c r="JDU90" s="717"/>
      <c r="JDV90" s="717"/>
      <c r="JDW90" s="717"/>
      <c r="JDX90" s="717"/>
      <c r="JDY90" s="717"/>
      <c r="JDZ90" s="717"/>
      <c r="JEA90" s="717"/>
      <c r="JEB90" s="717"/>
      <c r="JEC90" s="717"/>
      <c r="JED90" s="717"/>
      <c r="JEE90" s="717"/>
      <c r="JEF90" s="717"/>
      <c r="JEG90" s="717"/>
      <c r="JEH90" s="717"/>
      <c r="JEI90" s="717"/>
      <c r="JEJ90" s="717"/>
      <c r="JEK90" s="717"/>
      <c r="JEL90" s="717"/>
      <c r="JEM90" s="717"/>
      <c r="JEN90" s="717"/>
      <c r="JEO90" s="717"/>
      <c r="JEP90" s="717"/>
      <c r="JEQ90" s="717"/>
      <c r="JER90" s="717"/>
      <c r="JES90" s="717"/>
      <c r="JET90" s="717"/>
      <c r="JEU90" s="717"/>
      <c r="JFB90" s="717"/>
      <c r="JFC90" s="717"/>
      <c r="JFD90" s="717"/>
      <c r="JFE90" s="717"/>
      <c r="JFF90" s="717"/>
      <c r="JFG90" s="717"/>
      <c r="JFH90" s="717"/>
      <c r="JFI90" s="717"/>
      <c r="JFJ90" s="717"/>
      <c r="JFK90" s="717"/>
      <c r="JFL90" s="717"/>
      <c r="JFM90" s="717"/>
      <c r="JFN90" s="717"/>
      <c r="JFO90" s="717"/>
      <c r="JFP90" s="717"/>
      <c r="JFQ90" s="717"/>
      <c r="JFR90" s="717"/>
      <c r="JFS90" s="717"/>
      <c r="JFT90" s="717"/>
      <c r="JFU90" s="717"/>
      <c r="JFV90" s="717"/>
      <c r="JFW90" s="717"/>
      <c r="JFX90" s="717"/>
      <c r="JFY90" s="717"/>
      <c r="JFZ90" s="717"/>
      <c r="JGA90" s="717"/>
      <c r="JGB90" s="717"/>
      <c r="JGC90" s="717"/>
      <c r="JGD90" s="717"/>
      <c r="JGE90" s="717"/>
      <c r="JGF90" s="717"/>
      <c r="JGG90" s="717"/>
      <c r="JGH90" s="717"/>
      <c r="JGI90" s="717"/>
      <c r="JGJ90" s="717"/>
      <c r="JGK90" s="717"/>
      <c r="JGL90" s="717"/>
      <c r="JGM90" s="717"/>
      <c r="JGN90" s="717"/>
      <c r="JGO90" s="717"/>
      <c r="JGP90" s="717"/>
      <c r="JGQ90" s="717"/>
      <c r="JGR90" s="717"/>
      <c r="JGS90" s="717"/>
      <c r="JGT90" s="717"/>
      <c r="JGU90" s="717"/>
      <c r="JGV90" s="717"/>
      <c r="JGW90" s="717"/>
      <c r="JGX90" s="717"/>
      <c r="JGY90" s="717"/>
      <c r="JGZ90" s="717"/>
      <c r="JHA90" s="717"/>
      <c r="JHB90" s="717"/>
      <c r="JHC90" s="717"/>
      <c r="JHD90" s="717"/>
      <c r="JHE90" s="717"/>
      <c r="JHF90" s="717"/>
      <c r="JHG90" s="717"/>
      <c r="JHH90" s="717"/>
      <c r="JHI90" s="717"/>
      <c r="JHJ90" s="717"/>
      <c r="JHK90" s="717"/>
      <c r="JHL90" s="717"/>
      <c r="JHM90" s="717"/>
      <c r="JHN90" s="717"/>
      <c r="JHO90" s="717"/>
      <c r="JHP90" s="717"/>
      <c r="JHQ90" s="717"/>
      <c r="JHR90" s="717"/>
      <c r="JHS90" s="717"/>
      <c r="JHT90" s="717"/>
      <c r="JHU90" s="717"/>
      <c r="JHV90" s="717"/>
      <c r="JHW90" s="717"/>
      <c r="JHX90" s="717"/>
      <c r="JHY90" s="717"/>
      <c r="JHZ90" s="717"/>
      <c r="JIA90" s="717"/>
      <c r="JIB90" s="717"/>
      <c r="JIC90" s="717"/>
      <c r="JID90" s="717"/>
      <c r="JIE90" s="717"/>
      <c r="JIF90" s="717"/>
      <c r="JIG90" s="717"/>
      <c r="JIH90" s="717"/>
      <c r="JII90" s="717"/>
      <c r="JIJ90" s="717"/>
      <c r="JIK90" s="717"/>
      <c r="JIL90" s="717"/>
      <c r="JIM90" s="717"/>
      <c r="JIN90" s="717"/>
      <c r="JIO90" s="717"/>
      <c r="JIP90" s="717"/>
      <c r="JIQ90" s="717"/>
      <c r="JIR90" s="717"/>
      <c r="JIS90" s="717"/>
      <c r="JIT90" s="717"/>
      <c r="JIU90" s="717"/>
      <c r="JIV90" s="717"/>
      <c r="JIW90" s="717"/>
      <c r="JIX90" s="717"/>
      <c r="JIY90" s="717"/>
      <c r="JIZ90" s="717"/>
      <c r="JJA90" s="717"/>
      <c r="JJB90" s="717"/>
      <c r="JJC90" s="717"/>
      <c r="JJD90" s="717"/>
      <c r="JJE90" s="717"/>
      <c r="JJF90" s="717"/>
      <c r="JJG90" s="717"/>
      <c r="JJH90" s="717"/>
      <c r="JJI90" s="717"/>
      <c r="JJJ90" s="717"/>
      <c r="JJK90" s="717"/>
      <c r="JJL90" s="717"/>
      <c r="JJM90" s="717"/>
      <c r="JJN90" s="717"/>
      <c r="JJO90" s="717"/>
      <c r="JJP90" s="717"/>
      <c r="JJQ90" s="717"/>
      <c r="JJR90" s="717"/>
      <c r="JJS90" s="717"/>
      <c r="JJT90" s="717"/>
      <c r="JJU90" s="717"/>
      <c r="JJV90" s="717"/>
      <c r="JJW90" s="717"/>
      <c r="JJX90" s="717"/>
      <c r="JJY90" s="717"/>
      <c r="JJZ90" s="717"/>
      <c r="JKA90" s="717"/>
      <c r="JKB90" s="717"/>
      <c r="JKC90" s="717"/>
      <c r="JKD90" s="717"/>
      <c r="JKE90" s="717"/>
      <c r="JKF90" s="717"/>
      <c r="JKG90" s="717"/>
      <c r="JKH90" s="717"/>
      <c r="JKI90" s="717"/>
      <c r="JKJ90" s="717"/>
      <c r="JKK90" s="717"/>
      <c r="JKL90" s="717"/>
      <c r="JKM90" s="717"/>
      <c r="JKN90" s="717"/>
      <c r="JKO90" s="717"/>
      <c r="JKP90" s="717"/>
      <c r="JKQ90" s="717"/>
      <c r="JKR90" s="717"/>
      <c r="JKS90" s="717"/>
      <c r="JKT90" s="717"/>
      <c r="JKU90" s="717"/>
      <c r="JKV90" s="717"/>
      <c r="JKW90" s="717"/>
      <c r="JKX90" s="717"/>
      <c r="JKY90" s="717"/>
      <c r="JKZ90" s="717"/>
      <c r="JLA90" s="717"/>
      <c r="JLB90" s="717"/>
      <c r="JLC90" s="717"/>
      <c r="JLD90" s="717"/>
      <c r="JLE90" s="717"/>
      <c r="JLF90" s="717"/>
      <c r="JLG90" s="717"/>
      <c r="JLH90" s="717"/>
      <c r="JLI90" s="717"/>
      <c r="JLJ90" s="717"/>
      <c r="JLK90" s="717"/>
      <c r="JLL90" s="717"/>
      <c r="JLM90" s="717"/>
      <c r="JLN90" s="717"/>
      <c r="JLO90" s="717"/>
      <c r="JLP90" s="717"/>
      <c r="JLQ90" s="717"/>
      <c r="JLR90" s="717"/>
      <c r="JLS90" s="717"/>
      <c r="JLT90" s="717"/>
      <c r="JLU90" s="717"/>
      <c r="JLV90" s="717"/>
      <c r="JLW90" s="717"/>
      <c r="JLX90" s="717"/>
      <c r="JLY90" s="717"/>
      <c r="JLZ90" s="717"/>
      <c r="JMA90" s="717"/>
      <c r="JMB90" s="717"/>
      <c r="JMC90" s="717"/>
      <c r="JMD90" s="717"/>
      <c r="JME90" s="717"/>
      <c r="JMF90" s="717"/>
      <c r="JMG90" s="717"/>
      <c r="JMH90" s="717"/>
      <c r="JMI90" s="717"/>
      <c r="JMJ90" s="717"/>
      <c r="JMK90" s="717"/>
      <c r="JML90" s="717"/>
      <c r="JMM90" s="717"/>
      <c r="JMN90" s="717"/>
      <c r="JMO90" s="717"/>
      <c r="JMP90" s="717"/>
      <c r="JMQ90" s="717"/>
      <c r="JMR90" s="717"/>
      <c r="JMS90" s="717"/>
      <c r="JMT90" s="717"/>
      <c r="JMU90" s="717"/>
      <c r="JMV90" s="717"/>
      <c r="JMW90" s="717"/>
      <c r="JMX90" s="717"/>
      <c r="JMY90" s="717"/>
      <c r="JMZ90" s="717"/>
      <c r="JNA90" s="717"/>
      <c r="JNB90" s="717"/>
      <c r="JNC90" s="717"/>
      <c r="JND90" s="717"/>
      <c r="JNE90" s="717"/>
      <c r="JNF90" s="717"/>
      <c r="JNG90" s="717"/>
      <c r="JNH90" s="717"/>
      <c r="JNI90" s="717"/>
      <c r="JNJ90" s="717"/>
      <c r="JNK90" s="717"/>
      <c r="JNL90" s="717"/>
      <c r="JNM90" s="717"/>
      <c r="JNN90" s="717"/>
      <c r="JNO90" s="717"/>
      <c r="JNP90" s="717"/>
      <c r="JNQ90" s="717"/>
      <c r="JNR90" s="717"/>
      <c r="JNS90" s="717"/>
      <c r="JNT90" s="717"/>
      <c r="JNU90" s="717"/>
      <c r="JNV90" s="717"/>
      <c r="JNW90" s="717"/>
      <c r="JNX90" s="717"/>
      <c r="JNY90" s="717"/>
      <c r="JNZ90" s="717"/>
      <c r="JOA90" s="717"/>
      <c r="JOB90" s="717"/>
      <c r="JOC90" s="717"/>
      <c r="JOD90" s="717"/>
      <c r="JOE90" s="717"/>
      <c r="JOF90" s="717"/>
      <c r="JOG90" s="717"/>
      <c r="JOH90" s="717"/>
      <c r="JOI90" s="717"/>
      <c r="JOJ90" s="717"/>
      <c r="JOK90" s="717"/>
      <c r="JOL90" s="717"/>
      <c r="JOM90" s="717"/>
      <c r="JON90" s="717"/>
      <c r="JOO90" s="717"/>
      <c r="JOP90" s="717"/>
      <c r="JOQ90" s="717"/>
      <c r="JOX90" s="717"/>
      <c r="JOY90" s="717"/>
      <c r="JOZ90" s="717"/>
      <c r="JPA90" s="717"/>
      <c r="JPB90" s="717"/>
      <c r="JPC90" s="717"/>
      <c r="JPD90" s="717"/>
      <c r="JPE90" s="717"/>
      <c r="JPF90" s="717"/>
      <c r="JPG90" s="717"/>
      <c r="JPH90" s="717"/>
      <c r="JPI90" s="717"/>
      <c r="JPJ90" s="717"/>
      <c r="JPK90" s="717"/>
      <c r="JPL90" s="717"/>
      <c r="JPM90" s="717"/>
      <c r="JPN90" s="717"/>
      <c r="JPO90" s="717"/>
      <c r="JPP90" s="717"/>
      <c r="JPQ90" s="717"/>
      <c r="JPR90" s="717"/>
      <c r="JPS90" s="717"/>
      <c r="JPT90" s="717"/>
      <c r="JPU90" s="717"/>
      <c r="JPV90" s="717"/>
      <c r="JPW90" s="717"/>
      <c r="JPX90" s="717"/>
      <c r="JPY90" s="717"/>
      <c r="JPZ90" s="717"/>
      <c r="JQA90" s="717"/>
      <c r="JQB90" s="717"/>
      <c r="JQC90" s="717"/>
      <c r="JQD90" s="717"/>
      <c r="JQE90" s="717"/>
      <c r="JQF90" s="717"/>
      <c r="JQG90" s="717"/>
      <c r="JQH90" s="717"/>
      <c r="JQI90" s="717"/>
      <c r="JQJ90" s="717"/>
      <c r="JQK90" s="717"/>
      <c r="JQL90" s="717"/>
      <c r="JQM90" s="717"/>
      <c r="JQN90" s="717"/>
      <c r="JQO90" s="717"/>
      <c r="JQP90" s="717"/>
      <c r="JQQ90" s="717"/>
      <c r="JQR90" s="717"/>
      <c r="JQS90" s="717"/>
      <c r="JQT90" s="717"/>
      <c r="JQU90" s="717"/>
      <c r="JQV90" s="717"/>
      <c r="JQW90" s="717"/>
      <c r="JQX90" s="717"/>
      <c r="JQY90" s="717"/>
      <c r="JQZ90" s="717"/>
      <c r="JRA90" s="717"/>
      <c r="JRB90" s="717"/>
      <c r="JRC90" s="717"/>
      <c r="JRD90" s="717"/>
      <c r="JRE90" s="717"/>
      <c r="JRF90" s="717"/>
      <c r="JRG90" s="717"/>
      <c r="JRH90" s="717"/>
      <c r="JRI90" s="717"/>
      <c r="JRJ90" s="717"/>
      <c r="JRK90" s="717"/>
      <c r="JRL90" s="717"/>
      <c r="JRM90" s="717"/>
      <c r="JRN90" s="717"/>
      <c r="JRO90" s="717"/>
      <c r="JRP90" s="717"/>
      <c r="JRQ90" s="717"/>
      <c r="JRR90" s="717"/>
      <c r="JRS90" s="717"/>
      <c r="JRT90" s="717"/>
      <c r="JRU90" s="717"/>
      <c r="JRV90" s="717"/>
      <c r="JRW90" s="717"/>
      <c r="JRX90" s="717"/>
      <c r="JRY90" s="717"/>
      <c r="JRZ90" s="717"/>
      <c r="JSA90" s="717"/>
      <c r="JSB90" s="717"/>
      <c r="JSC90" s="717"/>
      <c r="JSD90" s="717"/>
      <c r="JSE90" s="717"/>
      <c r="JSF90" s="717"/>
      <c r="JSG90" s="717"/>
      <c r="JSH90" s="717"/>
      <c r="JSI90" s="717"/>
      <c r="JSJ90" s="717"/>
      <c r="JSK90" s="717"/>
      <c r="JSL90" s="717"/>
      <c r="JSM90" s="717"/>
      <c r="JSN90" s="717"/>
      <c r="JSO90" s="717"/>
      <c r="JSP90" s="717"/>
      <c r="JSQ90" s="717"/>
      <c r="JSR90" s="717"/>
      <c r="JSS90" s="717"/>
      <c r="JST90" s="717"/>
      <c r="JSU90" s="717"/>
      <c r="JSV90" s="717"/>
      <c r="JSW90" s="717"/>
      <c r="JSX90" s="717"/>
      <c r="JSY90" s="717"/>
      <c r="JSZ90" s="717"/>
      <c r="JTA90" s="717"/>
      <c r="JTB90" s="717"/>
      <c r="JTC90" s="717"/>
      <c r="JTD90" s="717"/>
      <c r="JTE90" s="717"/>
      <c r="JTF90" s="717"/>
      <c r="JTG90" s="717"/>
      <c r="JTH90" s="717"/>
      <c r="JTI90" s="717"/>
      <c r="JTJ90" s="717"/>
      <c r="JTK90" s="717"/>
      <c r="JTL90" s="717"/>
      <c r="JTM90" s="717"/>
      <c r="JTN90" s="717"/>
      <c r="JTO90" s="717"/>
      <c r="JTP90" s="717"/>
      <c r="JTQ90" s="717"/>
      <c r="JTR90" s="717"/>
      <c r="JTS90" s="717"/>
      <c r="JTT90" s="717"/>
      <c r="JTU90" s="717"/>
      <c r="JTV90" s="717"/>
      <c r="JTW90" s="717"/>
      <c r="JTX90" s="717"/>
      <c r="JTY90" s="717"/>
      <c r="JTZ90" s="717"/>
      <c r="JUA90" s="717"/>
      <c r="JUB90" s="717"/>
      <c r="JUC90" s="717"/>
      <c r="JUD90" s="717"/>
      <c r="JUE90" s="717"/>
      <c r="JUF90" s="717"/>
      <c r="JUG90" s="717"/>
      <c r="JUH90" s="717"/>
      <c r="JUI90" s="717"/>
      <c r="JUJ90" s="717"/>
      <c r="JUK90" s="717"/>
      <c r="JUL90" s="717"/>
      <c r="JUM90" s="717"/>
      <c r="JUN90" s="717"/>
      <c r="JUO90" s="717"/>
      <c r="JUP90" s="717"/>
      <c r="JUQ90" s="717"/>
      <c r="JUR90" s="717"/>
      <c r="JUS90" s="717"/>
      <c r="JUT90" s="717"/>
      <c r="JUU90" s="717"/>
      <c r="JUV90" s="717"/>
      <c r="JUW90" s="717"/>
      <c r="JUX90" s="717"/>
      <c r="JUY90" s="717"/>
      <c r="JUZ90" s="717"/>
      <c r="JVA90" s="717"/>
      <c r="JVB90" s="717"/>
      <c r="JVC90" s="717"/>
      <c r="JVD90" s="717"/>
      <c r="JVE90" s="717"/>
      <c r="JVF90" s="717"/>
      <c r="JVG90" s="717"/>
      <c r="JVH90" s="717"/>
      <c r="JVI90" s="717"/>
      <c r="JVJ90" s="717"/>
      <c r="JVK90" s="717"/>
      <c r="JVL90" s="717"/>
      <c r="JVM90" s="717"/>
      <c r="JVN90" s="717"/>
      <c r="JVO90" s="717"/>
      <c r="JVP90" s="717"/>
      <c r="JVQ90" s="717"/>
      <c r="JVR90" s="717"/>
      <c r="JVS90" s="717"/>
      <c r="JVT90" s="717"/>
      <c r="JVU90" s="717"/>
      <c r="JVV90" s="717"/>
      <c r="JVW90" s="717"/>
      <c r="JVX90" s="717"/>
      <c r="JVY90" s="717"/>
      <c r="JVZ90" s="717"/>
      <c r="JWA90" s="717"/>
      <c r="JWB90" s="717"/>
      <c r="JWC90" s="717"/>
      <c r="JWD90" s="717"/>
      <c r="JWE90" s="717"/>
      <c r="JWF90" s="717"/>
      <c r="JWG90" s="717"/>
      <c r="JWH90" s="717"/>
      <c r="JWI90" s="717"/>
      <c r="JWJ90" s="717"/>
      <c r="JWK90" s="717"/>
      <c r="JWL90" s="717"/>
      <c r="JWM90" s="717"/>
      <c r="JWN90" s="717"/>
      <c r="JWO90" s="717"/>
      <c r="JWP90" s="717"/>
      <c r="JWQ90" s="717"/>
      <c r="JWR90" s="717"/>
      <c r="JWS90" s="717"/>
      <c r="JWT90" s="717"/>
      <c r="JWU90" s="717"/>
      <c r="JWV90" s="717"/>
      <c r="JWW90" s="717"/>
      <c r="JWX90" s="717"/>
      <c r="JWY90" s="717"/>
      <c r="JWZ90" s="717"/>
      <c r="JXA90" s="717"/>
      <c r="JXB90" s="717"/>
      <c r="JXC90" s="717"/>
      <c r="JXD90" s="717"/>
      <c r="JXE90" s="717"/>
      <c r="JXF90" s="717"/>
      <c r="JXG90" s="717"/>
      <c r="JXH90" s="717"/>
      <c r="JXI90" s="717"/>
      <c r="JXJ90" s="717"/>
      <c r="JXK90" s="717"/>
      <c r="JXL90" s="717"/>
      <c r="JXM90" s="717"/>
      <c r="JXN90" s="717"/>
      <c r="JXO90" s="717"/>
      <c r="JXP90" s="717"/>
      <c r="JXQ90" s="717"/>
      <c r="JXR90" s="717"/>
      <c r="JXS90" s="717"/>
      <c r="JXT90" s="717"/>
      <c r="JXU90" s="717"/>
      <c r="JXV90" s="717"/>
      <c r="JXW90" s="717"/>
      <c r="JXX90" s="717"/>
      <c r="JXY90" s="717"/>
      <c r="JXZ90" s="717"/>
      <c r="JYA90" s="717"/>
      <c r="JYB90" s="717"/>
      <c r="JYC90" s="717"/>
      <c r="JYD90" s="717"/>
      <c r="JYE90" s="717"/>
      <c r="JYF90" s="717"/>
      <c r="JYG90" s="717"/>
      <c r="JYH90" s="717"/>
      <c r="JYI90" s="717"/>
      <c r="JYJ90" s="717"/>
      <c r="JYK90" s="717"/>
      <c r="JYL90" s="717"/>
      <c r="JYM90" s="717"/>
      <c r="JYT90" s="717"/>
      <c r="JYU90" s="717"/>
      <c r="JYV90" s="717"/>
      <c r="JYW90" s="717"/>
      <c r="JYX90" s="717"/>
      <c r="JYY90" s="717"/>
      <c r="JYZ90" s="717"/>
      <c r="JZA90" s="717"/>
      <c r="JZB90" s="717"/>
      <c r="JZC90" s="717"/>
      <c r="JZD90" s="717"/>
      <c r="JZE90" s="717"/>
      <c r="JZF90" s="717"/>
      <c r="JZG90" s="717"/>
      <c r="JZH90" s="717"/>
      <c r="JZI90" s="717"/>
      <c r="JZJ90" s="717"/>
      <c r="JZK90" s="717"/>
      <c r="JZL90" s="717"/>
      <c r="JZM90" s="717"/>
      <c r="JZN90" s="717"/>
      <c r="JZO90" s="717"/>
      <c r="JZP90" s="717"/>
      <c r="JZQ90" s="717"/>
      <c r="JZR90" s="717"/>
      <c r="JZS90" s="717"/>
      <c r="JZT90" s="717"/>
      <c r="JZU90" s="717"/>
      <c r="JZV90" s="717"/>
      <c r="JZW90" s="717"/>
      <c r="JZX90" s="717"/>
      <c r="JZY90" s="717"/>
      <c r="JZZ90" s="717"/>
      <c r="KAA90" s="717"/>
      <c r="KAB90" s="717"/>
      <c r="KAC90" s="717"/>
      <c r="KAD90" s="717"/>
      <c r="KAE90" s="717"/>
      <c r="KAF90" s="717"/>
      <c r="KAG90" s="717"/>
      <c r="KAH90" s="717"/>
      <c r="KAI90" s="717"/>
      <c r="KAJ90" s="717"/>
      <c r="KAK90" s="717"/>
      <c r="KAL90" s="717"/>
      <c r="KAM90" s="717"/>
      <c r="KAN90" s="717"/>
      <c r="KAO90" s="717"/>
      <c r="KAP90" s="717"/>
      <c r="KAQ90" s="717"/>
      <c r="KAR90" s="717"/>
      <c r="KAS90" s="717"/>
      <c r="KAT90" s="717"/>
      <c r="KAU90" s="717"/>
      <c r="KAV90" s="717"/>
      <c r="KAW90" s="717"/>
      <c r="KAX90" s="717"/>
      <c r="KAY90" s="717"/>
      <c r="KAZ90" s="717"/>
      <c r="KBA90" s="717"/>
      <c r="KBB90" s="717"/>
      <c r="KBC90" s="717"/>
      <c r="KBD90" s="717"/>
      <c r="KBE90" s="717"/>
      <c r="KBF90" s="717"/>
      <c r="KBG90" s="717"/>
      <c r="KBH90" s="717"/>
      <c r="KBI90" s="717"/>
      <c r="KBJ90" s="717"/>
      <c r="KBK90" s="717"/>
      <c r="KBL90" s="717"/>
      <c r="KBM90" s="717"/>
      <c r="KBN90" s="717"/>
      <c r="KBO90" s="717"/>
      <c r="KBP90" s="717"/>
      <c r="KBQ90" s="717"/>
      <c r="KBR90" s="717"/>
      <c r="KBS90" s="717"/>
      <c r="KBT90" s="717"/>
      <c r="KBU90" s="717"/>
      <c r="KBV90" s="717"/>
      <c r="KBW90" s="717"/>
      <c r="KBX90" s="717"/>
      <c r="KBY90" s="717"/>
      <c r="KBZ90" s="717"/>
      <c r="KCA90" s="717"/>
      <c r="KCB90" s="717"/>
      <c r="KCC90" s="717"/>
      <c r="KCD90" s="717"/>
      <c r="KCE90" s="717"/>
      <c r="KCF90" s="717"/>
      <c r="KCG90" s="717"/>
      <c r="KCH90" s="717"/>
      <c r="KCI90" s="717"/>
      <c r="KCJ90" s="717"/>
      <c r="KCK90" s="717"/>
      <c r="KCL90" s="717"/>
      <c r="KCM90" s="717"/>
      <c r="KCN90" s="717"/>
      <c r="KCO90" s="717"/>
      <c r="KCP90" s="717"/>
      <c r="KCQ90" s="717"/>
      <c r="KCR90" s="717"/>
      <c r="KCS90" s="717"/>
      <c r="KCT90" s="717"/>
      <c r="KCU90" s="717"/>
      <c r="KCV90" s="717"/>
      <c r="KCW90" s="717"/>
      <c r="KCX90" s="717"/>
      <c r="KCY90" s="717"/>
      <c r="KCZ90" s="717"/>
      <c r="KDA90" s="717"/>
      <c r="KDB90" s="717"/>
      <c r="KDC90" s="717"/>
      <c r="KDD90" s="717"/>
      <c r="KDE90" s="717"/>
      <c r="KDF90" s="717"/>
      <c r="KDG90" s="717"/>
      <c r="KDH90" s="717"/>
      <c r="KDI90" s="717"/>
      <c r="KDJ90" s="717"/>
      <c r="KDK90" s="717"/>
      <c r="KDL90" s="717"/>
      <c r="KDM90" s="717"/>
      <c r="KDN90" s="717"/>
      <c r="KDO90" s="717"/>
      <c r="KDP90" s="717"/>
      <c r="KDQ90" s="717"/>
      <c r="KDR90" s="717"/>
      <c r="KDS90" s="717"/>
      <c r="KDT90" s="717"/>
      <c r="KDU90" s="717"/>
      <c r="KDV90" s="717"/>
      <c r="KDW90" s="717"/>
      <c r="KDX90" s="717"/>
      <c r="KDY90" s="717"/>
      <c r="KDZ90" s="717"/>
      <c r="KEA90" s="717"/>
      <c r="KEB90" s="717"/>
      <c r="KEC90" s="717"/>
      <c r="KED90" s="717"/>
      <c r="KEE90" s="717"/>
      <c r="KEF90" s="717"/>
      <c r="KEG90" s="717"/>
      <c r="KEH90" s="717"/>
      <c r="KEI90" s="717"/>
      <c r="KEJ90" s="717"/>
      <c r="KEK90" s="717"/>
      <c r="KEL90" s="717"/>
      <c r="KEM90" s="717"/>
      <c r="KEN90" s="717"/>
      <c r="KEO90" s="717"/>
      <c r="KEP90" s="717"/>
      <c r="KEQ90" s="717"/>
      <c r="KER90" s="717"/>
      <c r="KES90" s="717"/>
      <c r="KET90" s="717"/>
      <c r="KEU90" s="717"/>
      <c r="KEV90" s="717"/>
      <c r="KEW90" s="717"/>
      <c r="KEX90" s="717"/>
      <c r="KEY90" s="717"/>
      <c r="KEZ90" s="717"/>
      <c r="KFA90" s="717"/>
      <c r="KFB90" s="717"/>
      <c r="KFC90" s="717"/>
      <c r="KFD90" s="717"/>
      <c r="KFE90" s="717"/>
      <c r="KFF90" s="717"/>
      <c r="KFG90" s="717"/>
      <c r="KFH90" s="717"/>
      <c r="KFI90" s="717"/>
      <c r="KFJ90" s="717"/>
      <c r="KFK90" s="717"/>
      <c r="KFL90" s="717"/>
      <c r="KFM90" s="717"/>
      <c r="KFN90" s="717"/>
      <c r="KFO90" s="717"/>
      <c r="KFP90" s="717"/>
      <c r="KFQ90" s="717"/>
      <c r="KFR90" s="717"/>
      <c r="KFS90" s="717"/>
      <c r="KFT90" s="717"/>
      <c r="KFU90" s="717"/>
      <c r="KFV90" s="717"/>
      <c r="KFW90" s="717"/>
      <c r="KFX90" s="717"/>
      <c r="KFY90" s="717"/>
      <c r="KFZ90" s="717"/>
      <c r="KGA90" s="717"/>
      <c r="KGB90" s="717"/>
      <c r="KGC90" s="717"/>
      <c r="KGD90" s="717"/>
      <c r="KGE90" s="717"/>
      <c r="KGF90" s="717"/>
      <c r="KGG90" s="717"/>
      <c r="KGH90" s="717"/>
      <c r="KGI90" s="717"/>
      <c r="KGJ90" s="717"/>
      <c r="KGK90" s="717"/>
      <c r="KGL90" s="717"/>
      <c r="KGM90" s="717"/>
      <c r="KGN90" s="717"/>
      <c r="KGO90" s="717"/>
      <c r="KGP90" s="717"/>
      <c r="KGQ90" s="717"/>
      <c r="KGR90" s="717"/>
      <c r="KGS90" s="717"/>
      <c r="KGT90" s="717"/>
      <c r="KGU90" s="717"/>
      <c r="KGV90" s="717"/>
      <c r="KGW90" s="717"/>
      <c r="KGX90" s="717"/>
      <c r="KGY90" s="717"/>
      <c r="KGZ90" s="717"/>
      <c r="KHA90" s="717"/>
      <c r="KHB90" s="717"/>
      <c r="KHC90" s="717"/>
      <c r="KHD90" s="717"/>
      <c r="KHE90" s="717"/>
      <c r="KHF90" s="717"/>
      <c r="KHG90" s="717"/>
      <c r="KHH90" s="717"/>
      <c r="KHI90" s="717"/>
      <c r="KHJ90" s="717"/>
      <c r="KHK90" s="717"/>
      <c r="KHL90" s="717"/>
      <c r="KHM90" s="717"/>
      <c r="KHN90" s="717"/>
      <c r="KHO90" s="717"/>
      <c r="KHP90" s="717"/>
      <c r="KHQ90" s="717"/>
      <c r="KHR90" s="717"/>
      <c r="KHS90" s="717"/>
      <c r="KHT90" s="717"/>
      <c r="KHU90" s="717"/>
      <c r="KHV90" s="717"/>
      <c r="KHW90" s="717"/>
      <c r="KHX90" s="717"/>
      <c r="KHY90" s="717"/>
      <c r="KHZ90" s="717"/>
      <c r="KIA90" s="717"/>
      <c r="KIB90" s="717"/>
      <c r="KIC90" s="717"/>
      <c r="KID90" s="717"/>
      <c r="KIE90" s="717"/>
      <c r="KIF90" s="717"/>
      <c r="KIG90" s="717"/>
      <c r="KIH90" s="717"/>
      <c r="KII90" s="717"/>
      <c r="KIP90" s="717"/>
      <c r="KIQ90" s="717"/>
      <c r="KIR90" s="717"/>
      <c r="KIS90" s="717"/>
      <c r="KIT90" s="717"/>
      <c r="KIU90" s="717"/>
      <c r="KIV90" s="717"/>
      <c r="KIW90" s="717"/>
      <c r="KIX90" s="717"/>
      <c r="KIY90" s="717"/>
      <c r="KIZ90" s="717"/>
      <c r="KJA90" s="717"/>
      <c r="KJB90" s="717"/>
      <c r="KJC90" s="717"/>
      <c r="KJD90" s="717"/>
      <c r="KJE90" s="717"/>
      <c r="KJF90" s="717"/>
      <c r="KJG90" s="717"/>
      <c r="KJH90" s="717"/>
      <c r="KJI90" s="717"/>
      <c r="KJJ90" s="717"/>
      <c r="KJK90" s="717"/>
      <c r="KJL90" s="717"/>
      <c r="KJM90" s="717"/>
      <c r="KJN90" s="717"/>
      <c r="KJO90" s="717"/>
      <c r="KJP90" s="717"/>
      <c r="KJQ90" s="717"/>
      <c r="KJR90" s="717"/>
      <c r="KJS90" s="717"/>
      <c r="KJT90" s="717"/>
      <c r="KJU90" s="717"/>
      <c r="KJV90" s="717"/>
      <c r="KJW90" s="717"/>
      <c r="KJX90" s="717"/>
      <c r="KJY90" s="717"/>
      <c r="KJZ90" s="717"/>
      <c r="KKA90" s="717"/>
      <c r="KKB90" s="717"/>
      <c r="KKC90" s="717"/>
      <c r="KKD90" s="717"/>
      <c r="KKE90" s="717"/>
      <c r="KKF90" s="717"/>
      <c r="KKG90" s="717"/>
      <c r="KKH90" s="717"/>
      <c r="KKI90" s="717"/>
      <c r="KKJ90" s="717"/>
      <c r="KKK90" s="717"/>
      <c r="KKL90" s="717"/>
      <c r="KKM90" s="717"/>
      <c r="KKN90" s="717"/>
      <c r="KKO90" s="717"/>
      <c r="KKP90" s="717"/>
      <c r="KKQ90" s="717"/>
      <c r="KKR90" s="717"/>
      <c r="KKS90" s="717"/>
      <c r="KKT90" s="717"/>
      <c r="KKU90" s="717"/>
      <c r="KKV90" s="717"/>
      <c r="KKW90" s="717"/>
      <c r="KKX90" s="717"/>
      <c r="KKY90" s="717"/>
      <c r="KKZ90" s="717"/>
      <c r="KLA90" s="717"/>
      <c r="KLB90" s="717"/>
      <c r="KLC90" s="717"/>
      <c r="KLD90" s="717"/>
      <c r="KLE90" s="717"/>
      <c r="KLF90" s="717"/>
      <c r="KLG90" s="717"/>
      <c r="KLH90" s="717"/>
      <c r="KLI90" s="717"/>
      <c r="KLJ90" s="717"/>
      <c r="KLK90" s="717"/>
      <c r="KLL90" s="717"/>
      <c r="KLM90" s="717"/>
      <c r="KLN90" s="717"/>
      <c r="KLO90" s="717"/>
      <c r="KLP90" s="717"/>
      <c r="KLQ90" s="717"/>
      <c r="KLR90" s="717"/>
      <c r="KLS90" s="717"/>
      <c r="KLT90" s="717"/>
      <c r="KLU90" s="717"/>
      <c r="KLV90" s="717"/>
      <c r="KLW90" s="717"/>
      <c r="KLX90" s="717"/>
      <c r="KLY90" s="717"/>
      <c r="KLZ90" s="717"/>
      <c r="KMA90" s="717"/>
      <c r="KMB90" s="717"/>
      <c r="KMC90" s="717"/>
      <c r="KMD90" s="717"/>
      <c r="KME90" s="717"/>
      <c r="KMF90" s="717"/>
      <c r="KMG90" s="717"/>
      <c r="KMH90" s="717"/>
      <c r="KMI90" s="717"/>
      <c r="KMJ90" s="717"/>
      <c r="KMK90" s="717"/>
      <c r="KML90" s="717"/>
      <c r="KMM90" s="717"/>
      <c r="KMN90" s="717"/>
      <c r="KMO90" s="717"/>
      <c r="KMP90" s="717"/>
      <c r="KMQ90" s="717"/>
      <c r="KMR90" s="717"/>
      <c r="KMS90" s="717"/>
      <c r="KMT90" s="717"/>
      <c r="KMU90" s="717"/>
      <c r="KMV90" s="717"/>
      <c r="KMW90" s="717"/>
      <c r="KMX90" s="717"/>
      <c r="KMY90" s="717"/>
      <c r="KMZ90" s="717"/>
      <c r="KNA90" s="717"/>
      <c r="KNB90" s="717"/>
      <c r="KNC90" s="717"/>
      <c r="KND90" s="717"/>
      <c r="KNE90" s="717"/>
      <c r="KNF90" s="717"/>
      <c r="KNG90" s="717"/>
      <c r="KNH90" s="717"/>
      <c r="KNI90" s="717"/>
      <c r="KNJ90" s="717"/>
      <c r="KNK90" s="717"/>
      <c r="KNL90" s="717"/>
      <c r="KNM90" s="717"/>
      <c r="KNN90" s="717"/>
      <c r="KNO90" s="717"/>
      <c r="KNP90" s="717"/>
      <c r="KNQ90" s="717"/>
      <c r="KNR90" s="717"/>
      <c r="KNS90" s="717"/>
      <c r="KNT90" s="717"/>
      <c r="KNU90" s="717"/>
      <c r="KNV90" s="717"/>
      <c r="KNW90" s="717"/>
      <c r="KNX90" s="717"/>
      <c r="KNY90" s="717"/>
      <c r="KNZ90" s="717"/>
      <c r="KOA90" s="717"/>
      <c r="KOB90" s="717"/>
      <c r="KOC90" s="717"/>
      <c r="KOD90" s="717"/>
      <c r="KOE90" s="717"/>
      <c r="KOF90" s="717"/>
      <c r="KOG90" s="717"/>
      <c r="KOH90" s="717"/>
      <c r="KOI90" s="717"/>
      <c r="KOJ90" s="717"/>
      <c r="KOK90" s="717"/>
      <c r="KOL90" s="717"/>
      <c r="KOM90" s="717"/>
      <c r="KON90" s="717"/>
      <c r="KOO90" s="717"/>
      <c r="KOP90" s="717"/>
      <c r="KOQ90" s="717"/>
      <c r="KOR90" s="717"/>
      <c r="KOS90" s="717"/>
      <c r="KOT90" s="717"/>
      <c r="KOU90" s="717"/>
      <c r="KOV90" s="717"/>
      <c r="KOW90" s="717"/>
      <c r="KOX90" s="717"/>
      <c r="KOY90" s="717"/>
      <c r="KOZ90" s="717"/>
      <c r="KPA90" s="717"/>
      <c r="KPB90" s="717"/>
      <c r="KPC90" s="717"/>
      <c r="KPD90" s="717"/>
      <c r="KPE90" s="717"/>
      <c r="KPF90" s="717"/>
      <c r="KPG90" s="717"/>
      <c r="KPH90" s="717"/>
      <c r="KPI90" s="717"/>
      <c r="KPJ90" s="717"/>
      <c r="KPK90" s="717"/>
      <c r="KPL90" s="717"/>
      <c r="KPM90" s="717"/>
      <c r="KPN90" s="717"/>
      <c r="KPO90" s="717"/>
      <c r="KPP90" s="717"/>
      <c r="KPQ90" s="717"/>
      <c r="KPR90" s="717"/>
      <c r="KPS90" s="717"/>
      <c r="KPT90" s="717"/>
      <c r="KPU90" s="717"/>
      <c r="KPV90" s="717"/>
      <c r="KPW90" s="717"/>
      <c r="KPX90" s="717"/>
      <c r="KPY90" s="717"/>
      <c r="KPZ90" s="717"/>
      <c r="KQA90" s="717"/>
      <c r="KQB90" s="717"/>
      <c r="KQC90" s="717"/>
      <c r="KQD90" s="717"/>
      <c r="KQE90" s="717"/>
      <c r="KQF90" s="717"/>
      <c r="KQG90" s="717"/>
      <c r="KQH90" s="717"/>
      <c r="KQI90" s="717"/>
      <c r="KQJ90" s="717"/>
      <c r="KQK90" s="717"/>
      <c r="KQL90" s="717"/>
      <c r="KQM90" s="717"/>
      <c r="KQN90" s="717"/>
      <c r="KQO90" s="717"/>
      <c r="KQP90" s="717"/>
      <c r="KQQ90" s="717"/>
      <c r="KQR90" s="717"/>
      <c r="KQS90" s="717"/>
      <c r="KQT90" s="717"/>
      <c r="KQU90" s="717"/>
      <c r="KQV90" s="717"/>
      <c r="KQW90" s="717"/>
      <c r="KQX90" s="717"/>
      <c r="KQY90" s="717"/>
      <c r="KQZ90" s="717"/>
      <c r="KRA90" s="717"/>
      <c r="KRB90" s="717"/>
      <c r="KRC90" s="717"/>
      <c r="KRD90" s="717"/>
      <c r="KRE90" s="717"/>
      <c r="KRF90" s="717"/>
      <c r="KRG90" s="717"/>
      <c r="KRH90" s="717"/>
      <c r="KRI90" s="717"/>
      <c r="KRJ90" s="717"/>
      <c r="KRK90" s="717"/>
      <c r="KRL90" s="717"/>
      <c r="KRM90" s="717"/>
      <c r="KRN90" s="717"/>
      <c r="KRO90" s="717"/>
      <c r="KRP90" s="717"/>
      <c r="KRQ90" s="717"/>
      <c r="KRR90" s="717"/>
      <c r="KRS90" s="717"/>
      <c r="KRT90" s="717"/>
      <c r="KRU90" s="717"/>
      <c r="KRV90" s="717"/>
      <c r="KRW90" s="717"/>
      <c r="KRX90" s="717"/>
      <c r="KRY90" s="717"/>
      <c r="KRZ90" s="717"/>
      <c r="KSA90" s="717"/>
      <c r="KSB90" s="717"/>
      <c r="KSC90" s="717"/>
      <c r="KSD90" s="717"/>
      <c r="KSE90" s="717"/>
      <c r="KSL90" s="717"/>
      <c r="KSM90" s="717"/>
      <c r="KSN90" s="717"/>
      <c r="KSO90" s="717"/>
      <c r="KSP90" s="717"/>
      <c r="KSQ90" s="717"/>
      <c r="KSR90" s="717"/>
      <c r="KSS90" s="717"/>
      <c r="KST90" s="717"/>
      <c r="KSU90" s="717"/>
      <c r="KSV90" s="717"/>
      <c r="KSW90" s="717"/>
      <c r="KSX90" s="717"/>
      <c r="KSY90" s="717"/>
      <c r="KSZ90" s="717"/>
      <c r="KTA90" s="717"/>
      <c r="KTB90" s="717"/>
      <c r="KTC90" s="717"/>
      <c r="KTD90" s="717"/>
      <c r="KTE90" s="717"/>
      <c r="KTF90" s="717"/>
      <c r="KTG90" s="717"/>
      <c r="KTH90" s="717"/>
      <c r="KTI90" s="717"/>
      <c r="KTJ90" s="717"/>
      <c r="KTK90" s="717"/>
      <c r="KTL90" s="717"/>
      <c r="KTM90" s="717"/>
      <c r="KTN90" s="717"/>
      <c r="KTO90" s="717"/>
      <c r="KTP90" s="717"/>
      <c r="KTQ90" s="717"/>
      <c r="KTR90" s="717"/>
      <c r="KTS90" s="717"/>
      <c r="KTT90" s="717"/>
      <c r="KTU90" s="717"/>
      <c r="KTV90" s="717"/>
      <c r="KTW90" s="717"/>
      <c r="KTX90" s="717"/>
      <c r="KTY90" s="717"/>
      <c r="KTZ90" s="717"/>
      <c r="KUA90" s="717"/>
      <c r="KUB90" s="717"/>
      <c r="KUC90" s="717"/>
      <c r="KUD90" s="717"/>
      <c r="KUE90" s="717"/>
      <c r="KUF90" s="717"/>
      <c r="KUG90" s="717"/>
      <c r="KUH90" s="717"/>
      <c r="KUI90" s="717"/>
      <c r="KUJ90" s="717"/>
      <c r="KUK90" s="717"/>
      <c r="KUL90" s="717"/>
      <c r="KUM90" s="717"/>
      <c r="KUN90" s="717"/>
      <c r="KUO90" s="717"/>
      <c r="KUP90" s="717"/>
      <c r="KUQ90" s="717"/>
      <c r="KUR90" s="717"/>
      <c r="KUS90" s="717"/>
      <c r="KUT90" s="717"/>
      <c r="KUU90" s="717"/>
      <c r="KUV90" s="717"/>
      <c r="KUW90" s="717"/>
      <c r="KUX90" s="717"/>
      <c r="KUY90" s="717"/>
      <c r="KUZ90" s="717"/>
      <c r="KVA90" s="717"/>
      <c r="KVB90" s="717"/>
      <c r="KVC90" s="717"/>
      <c r="KVD90" s="717"/>
      <c r="KVE90" s="717"/>
      <c r="KVF90" s="717"/>
      <c r="KVG90" s="717"/>
      <c r="KVH90" s="717"/>
      <c r="KVI90" s="717"/>
      <c r="KVJ90" s="717"/>
      <c r="KVK90" s="717"/>
      <c r="KVL90" s="717"/>
      <c r="KVM90" s="717"/>
      <c r="KVN90" s="717"/>
      <c r="KVO90" s="717"/>
      <c r="KVP90" s="717"/>
      <c r="KVQ90" s="717"/>
      <c r="KVR90" s="717"/>
      <c r="KVS90" s="717"/>
      <c r="KVT90" s="717"/>
      <c r="KVU90" s="717"/>
      <c r="KVV90" s="717"/>
      <c r="KVW90" s="717"/>
      <c r="KVX90" s="717"/>
      <c r="KVY90" s="717"/>
      <c r="KVZ90" s="717"/>
      <c r="KWA90" s="717"/>
      <c r="KWB90" s="717"/>
      <c r="KWC90" s="717"/>
      <c r="KWD90" s="717"/>
      <c r="KWE90" s="717"/>
      <c r="KWF90" s="717"/>
      <c r="KWG90" s="717"/>
      <c r="KWH90" s="717"/>
      <c r="KWI90" s="717"/>
      <c r="KWJ90" s="717"/>
      <c r="KWK90" s="717"/>
      <c r="KWL90" s="717"/>
      <c r="KWM90" s="717"/>
      <c r="KWN90" s="717"/>
      <c r="KWO90" s="717"/>
      <c r="KWP90" s="717"/>
      <c r="KWQ90" s="717"/>
      <c r="KWR90" s="717"/>
      <c r="KWS90" s="717"/>
      <c r="KWT90" s="717"/>
      <c r="KWU90" s="717"/>
      <c r="KWV90" s="717"/>
      <c r="KWW90" s="717"/>
      <c r="KWX90" s="717"/>
      <c r="KWY90" s="717"/>
      <c r="KWZ90" s="717"/>
      <c r="KXA90" s="717"/>
      <c r="KXB90" s="717"/>
      <c r="KXC90" s="717"/>
      <c r="KXD90" s="717"/>
      <c r="KXE90" s="717"/>
      <c r="KXF90" s="717"/>
      <c r="KXG90" s="717"/>
      <c r="KXH90" s="717"/>
      <c r="KXI90" s="717"/>
      <c r="KXJ90" s="717"/>
      <c r="KXK90" s="717"/>
      <c r="KXL90" s="717"/>
      <c r="KXM90" s="717"/>
      <c r="KXN90" s="717"/>
      <c r="KXO90" s="717"/>
      <c r="KXP90" s="717"/>
      <c r="KXQ90" s="717"/>
      <c r="KXR90" s="717"/>
      <c r="KXS90" s="717"/>
      <c r="KXT90" s="717"/>
      <c r="KXU90" s="717"/>
      <c r="KXV90" s="717"/>
      <c r="KXW90" s="717"/>
      <c r="KXX90" s="717"/>
      <c r="KXY90" s="717"/>
      <c r="KXZ90" s="717"/>
      <c r="KYA90" s="717"/>
      <c r="KYB90" s="717"/>
      <c r="KYC90" s="717"/>
      <c r="KYD90" s="717"/>
      <c r="KYE90" s="717"/>
      <c r="KYF90" s="717"/>
      <c r="KYG90" s="717"/>
      <c r="KYH90" s="717"/>
      <c r="KYI90" s="717"/>
      <c r="KYJ90" s="717"/>
      <c r="KYK90" s="717"/>
      <c r="KYL90" s="717"/>
      <c r="KYM90" s="717"/>
      <c r="KYN90" s="717"/>
      <c r="KYO90" s="717"/>
      <c r="KYP90" s="717"/>
      <c r="KYQ90" s="717"/>
      <c r="KYR90" s="717"/>
      <c r="KYS90" s="717"/>
      <c r="KYT90" s="717"/>
      <c r="KYU90" s="717"/>
      <c r="KYV90" s="717"/>
      <c r="KYW90" s="717"/>
      <c r="KYX90" s="717"/>
      <c r="KYY90" s="717"/>
      <c r="KYZ90" s="717"/>
      <c r="KZA90" s="717"/>
      <c r="KZB90" s="717"/>
      <c r="KZC90" s="717"/>
      <c r="KZD90" s="717"/>
      <c r="KZE90" s="717"/>
      <c r="KZF90" s="717"/>
      <c r="KZG90" s="717"/>
      <c r="KZH90" s="717"/>
      <c r="KZI90" s="717"/>
      <c r="KZJ90" s="717"/>
      <c r="KZK90" s="717"/>
      <c r="KZL90" s="717"/>
      <c r="KZM90" s="717"/>
      <c r="KZN90" s="717"/>
      <c r="KZO90" s="717"/>
      <c r="KZP90" s="717"/>
      <c r="KZQ90" s="717"/>
      <c r="KZR90" s="717"/>
      <c r="KZS90" s="717"/>
      <c r="KZT90" s="717"/>
      <c r="KZU90" s="717"/>
      <c r="KZV90" s="717"/>
      <c r="KZW90" s="717"/>
      <c r="KZX90" s="717"/>
      <c r="KZY90" s="717"/>
      <c r="KZZ90" s="717"/>
      <c r="LAA90" s="717"/>
      <c r="LAB90" s="717"/>
      <c r="LAC90" s="717"/>
      <c r="LAD90" s="717"/>
      <c r="LAE90" s="717"/>
      <c r="LAF90" s="717"/>
      <c r="LAG90" s="717"/>
      <c r="LAH90" s="717"/>
      <c r="LAI90" s="717"/>
      <c r="LAJ90" s="717"/>
      <c r="LAK90" s="717"/>
      <c r="LAL90" s="717"/>
      <c r="LAM90" s="717"/>
      <c r="LAN90" s="717"/>
      <c r="LAO90" s="717"/>
      <c r="LAP90" s="717"/>
      <c r="LAQ90" s="717"/>
      <c r="LAR90" s="717"/>
      <c r="LAS90" s="717"/>
      <c r="LAT90" s="717"/>
      <c r="LAU90" s="717"/>
      <c r="LAV90" s="717"/>
      <c r="LAW90" s="717"/>
      <c r="LAX90" s="717"/>
      <c r="LAY90" s="717"/>
      <c r="LAZ90" s="717"/>
      <c r="LBA90" s="717"/>
      <c r="LBB90" s="717"/>
      <c r="LBC90" s="717"/>
      <c r="LBD90" s="717"/>
      <c r="LBE90" s="717"/>
      <c r="LBF90" s="717"/>
      <c r="LBG90" s="717"/>
      <c r="LBH90" s="717"/>
      <c r="LBI90" s="717"/>
      <c r="LBJ90" s="717"/>
      <c r="LBK90" s="717"/>
      <c r="LBL90" s="717"/>
      <c r="LBM90" s="717"/>
      <c r="LBN90" s="717"/>
      <c r="LBO90" s="717"/>
      <c r="LBP90" s="717"/>
      <c r="LBQ90" s="717"/>
      <c r="LBR90" s="717"/>
      <c r="LBS90" s="717"/>
      <c r="LBT90" s="717"/>
      <c r="LBU90" s="717"/>
      <c r="LBV90" s="717"/>
      <c r="LBW90" s="717"/>
      <c r="LBX90" s="717"/>
      <c r="LBY90" s="717"/>
      <c r="LBZ90" s="717"/>
      <c r="LCA90" s="717"/>
      <c r="LCH90" s="717"/>
      <c r="LCI90" s="717"/>
      <c r="LCJ90" s="717"/>
      <c r="LCK90" s="717"/>
      <c r="LCL90" s="717"/>
      <c r="LCM90" s="717"/>
      <c r="LCN90" s="717"/>
      <c r="LCO90" s="717"/>
      <c r="LCP90" s="717"/>
      <c r="LCQ90" s="717"/>
      <c r="LCR90" s="717"/>
      <c r="LCS90" s="717"/>
      <c r="LCT90" s="717"/>
      <c r="LCU90" s="717"/>
      <c r="LCV90" s="717"/>
      <c r="LCW90" s="717"/>
      <c r="LCX90" s="717"/>
      <c r="LCY90" s="717"/>
      <c r="LCZ90" s="717"/>
      <c r="LDA90" s="717"/>
      <c r="LDB90" s="717"/>
      <c r="LDC90" s="717"/>
      <c r="LDD90" s="717"/>
      <c r="LDE90" s="717"/>
      <c r="LDF90" s="717"/>
      <c r="LDG90" s="717"/>
      <c r="LDH90" s="717"/>
      <c r="LDI90" s="717"/>
      <c r="LDJ90" s="717"/>
      <c r="LDK90" s="717"/>
      <c r="LDL90" s="717"/>
      <c r="LDM90" s="717"/>
      <c r="LDN90" s="717"/>
      <c r="LDO90" s="717"/>
      <c r="LDP90" s="717"/>
      <c r="LDQ90" s="717"/>
      <c r="LDR90" s="717"/>
      <c r="LDS90" s="717"/>
      <c r="LDT90" s="717"/>
      <c r="LDU90" s="717"/>
      <c r="LDV90" s="717"/>
      <c r="LDW90" s="717"/>
      <c r="LDX90" s="717"/>
      <c r="LDY90" s="717"/>
      <c r="LDZ90" s="717"/>
      <c r="LEA90" s="717"/>
      <c r="LEB90" s="717"/>
      <c r="LEC90" s="717"/>
      <c r="LED90" s="717"/>
      <c r="LEE90" s="717"/>
      <c r="LEF90" s="717"/>
      <c r="LEG90" s="717"/>
      <c r="LEH90" s="717"/>
      <c r="LEI90" s="717"/>
      <c r="LEJ90" s="717"/>
      <c r="LEK90" s="717"/>
      <c r="LEL90" s="717"/>
      <c r="LEM90" s="717"/>
      <c r="LEN90" s="717"/>
      <c r="LEO90" s="717"/>
      <c r="LEP90" s="717"/>
      <c r="LEQ90" s="717"/>
      <c r="LER90" s="717"/>
      <c r="LES90" s="717"/>
      <c r="LET90" s="717"/>
      <c r="LEU90" s="717"/>
      <c r="LEV90" s="717"/>
      <c r="LEW90" s="717"/>
      <c r="LEX90" s="717"/>
      <c r="LEY90" s="717"/>
      <c r="LEZ90" s="717"/>
      <c r="LFA90" s="717"/>
      <c r="LFB90" s="717"/>
      <c r="LFC90" s="717"/>
      <c r="LFD90" s="717"/>
      <c r="LFE90" s="717"/>
      <c r="LFF90" s="717"/>
      <c r="LFG90" s="717"/>
      <c r="LFH90" s="717"/>
      <c r="LFI90" s="717"/>
      <c r="LFJ90" s="717"/>
      <c r="LFK90" s="717"/>
      <c r="LFL90" s="717"/>
      <c r="LFM90" s="717"/>
      <c r="LFN90" s="717"/>
      <c r="LFO90" s="717"/>
      <c r="LFP90" s="717"/>
      <c r="LFQ90" s="717"/>
      <c r="LFR90" s="717"/>
      <c r="LFS90" s="717"/>
      <c r="LFT90" s="717"/>
      <c r="LFU90" s="717"/>
      <c r="LFV90" s="717"/>
      <c r="LFW90" s="717"/>
      <c r="LFX90" s="717"/>
      <c r="LFY90" s="717"/>
      <c r="LFZ90" s="717"/>
      <c r="LGA90" s="717"/>
      <c r="LGB90" s="717"/>
      <c r="LGC90" s="717"/>
      <c r="LGD90" s="717"/>
      <c r="LGE90" s="717"/>
      <c r="LGF90" s="717"/>
      <c r="LGG90" s="717"/>
      <c r="LGH90" s="717"/>
      <c r="LGI90" s="717"/>
      <c r="LGJ90" s="717"/>
      <c r="LGK90" s="717"/>
      <c r="LGL90" s="717"/>
      <c r="LGM90" s="717"/>
      <c r="LGN90" s="717"/>
      <c r="LGO90" s="717"/>
      <c r="LGP90" s="717"/>
      <c r="LGQ90" s="717"/>
      <c r="LGR90" s="717"/>
      <c r="LGS90" s="717"/>
      <c r="LGT90" s="717"/>
      <c r="LGU90" s="717"/>
      <c r="LGV90" s="717"/>
      <c r="LGW90" s="717"/>
      <c r="LGX90" s="717"/>
      <c r="LGY90" s="717"/>
      <c r="LGZ90" s="717"/>
      <c r="LHA90" s="717"/>
      <c r="LHB90" s="717"/>
      <c r="LHC90" s="717"/>
      <c r="LHD90" s="717"/>
      <c r="LHE90" s="717"/>
      <c r="LHF90" s="717"/>
      <c r="LHG90" s="717"/>
      <c r="LHH90" s="717"/>
      <c r="LHI90" s="717"/>
      <c r="LHJ90" s="717"/>
      <c r="LHK90" s="717"/>
      <c r="LHL90" s="717"/>
      <c r="LHM90" s="717"/>
      <c r="LHN90" s="717"/>
      <c r="LHO90" s="717"/>
      <c r="LHP90" s="717"/>
      <c r="LHQ90" s="717"/>
      <c r="LHR90" s="717"/>
      <c r="LHS90" s="717"/>
      <c r="LHT90" s="717"/>
      <c r="LHU90" s="717"/>
      <c r="LHV90" s="717"/>
      <c r="LHW90" s="717"/>
      <c r="LHX90" s="717"/>
      <c r="LHY90" s="717"/>
      <c r="LHZ90" s="717"/>
      <c r="LIA90" s="717"/>
      <c r="LIB90" s="717"/>
      <c r="LIC90" s="717"/>
      <c r="LID90" s="717"/>
      <c r="LIE90" s="717"/>
      <c r="LIF90" s="717"/>
      <c r="LIG90" s="717"/>
      <c r="LIH90" s="717"/>
      <c r="LII90" s="717"/>
      <c r="LIJ90" s="717"/>
      <c r="LIK90" s="717"/>
      <c r="LIL90" s="717"/>
      <c r="LIM90" s="717"/>
      <c r="LIN90" s="717"/>
      <c r="LIO90" s="717"/>
      <c r="LIP90" s="717"/>
      <c r="LIQ90" s="717"/>
      <c r="LIR90" s="717"/>
      <c r="LIS90" s="717"/>
      <c r="LIT90" s="717"/>
      <c r="LIU90" s="717"/>
      <c r="LIV90" s="717"/>
      <c r="LIW90" s="717"/>
      <c r="LIX90" s="717"/>
      <c r="LIY90" s="717"/>
      <c r="LIZ90" s="717"/>
      <c r="LJA90" s="717"/>
      <c r="LJB90" s="717"/>
      <c r="LJC90" s="717"/>
      <c r="LJD90" s="717"/>
      <c r="LJE90" s="717"/>
      <c r="LJF90" s="717"/>
      <c r="LJG90" s="717"/>
      <c r="LJH90" s="717"/>
      <c r="LJI90" s="717"/>
      <c r="LJJ90" s="717"/>
      <c r="LJK90" s="717"/>
      <c r="LJL90" s="717"/>
      <c r="LJM90" s="717"/>
      <c r="LJN90" s="717"/>
      <c r="LJO90" s="717"/>
      <c r="LJP90" s="717"/>
      <c r="LJQ90" s="717"/>
      <c r="LJR90" s="717"/>
      <c r="LJS90" s="717"/>
      <c r="LJT90" s="717"/>
      <c r="LJU90" s="717"/>
      <c r="LJV90" s="717"/>
      <c r="LJW90" s="717"/>
      <c r="LJX90" s="717"/>
      <c r="LJY90" s="717"/>
      <c r="LJZ90" s="717"/>
      <c r="LKA90" s="717"/>
      <c r="LKB90" s="717"/>
      <c r="LKC90" s="717"/>
      <c r="LKD90" s="717"/>
      <c r="LKE90" s="717"/>
      <c r="LKF90" s="717"/>
      <c r="LKG90" s="717"/>
      <c r="LKH90" s="717"/>
      <c r="LKI90" s="717"/>
      <c r="LKJ90" s="717"/>
      <c r="LKK90" s="717"/>
      <c r="LKL90" s="717"/>
      <c r="LKM90" s="717"/>
      <c r="LKN90" s="717"/>
      <c r="LKO90" s="717"/>
      <c r="LKP90" s="717"/>
      <c r="LKQ90" s="717"/>
      <c r="LKR90" s="717"/>
      <c r="LKS90" s="717"/>
      <c r="LKT90" s="717"/>
      <c r="LKU90" s="717"/>
      <c r="LKV90" s="717"/>
      <c r="LKW90" s="717"/>
      <c r="LKX90" s="717"/>
      <c r="LKY90" s="717"/>
      <c r="LKZ90" s="717"/>
      <c r="LLA90" s="717"/>
      <c r="LLB90" s="717"/>
      <c r="LLC90" s="717"/>
      <c r="LLD90" s="717"/>
      <c r="LLE90" s="717"/>
      <c r="LLF90" s="717"/>
      <c r="LLG90" s="717"/>
      <c r="LLH90" s="717"/>
      <c r="LLI90" s="717"/>
      <c r="LLJ90" s="717"/>
      <c r="LLK90" s="717"/>
      <c r="LLL90" s="717"/>
      <c r="LLM90" s="717"/>
      <c r="LLN90" s="717"/>
      <c r="LLO90" s="717"/>
      <c r="LLP90" s="717"/>
      <c r="LLQ90" s="717"/>
      <c r="LLR90" s="717"/>
      <c r="LLS90" s="717"/>
      <c r="LLT90" s="717"/>
      <c r="LLU90" s="717"/>
      <c r="LLV90" s="717"/>
      <c r="LLW90" s="717"/>
      <c r="LMD90" s="717"/>
      <c r="LME90" s="717"/>
      <c r="LMF90" s="717"/>
      <c r="LMG90" s="717"/>
      <c r="LMH90" s="717"/>
      <c r="LMI90" s="717"/>
      <c r="LMJ90" s="717"/>
      <c r="LMK90" s="717"/>
      <c r="LML90" s="717"/>
      <c r="LMM90" s="717"/>
      <c r="LMN90" s="717"/>
      <c r="LMO90" s="717"/>
      <c r="LMP90" s="717"/>
      <c r="LMQ90" s="717"/>
      <c r="LMR90" s="717"/>
      <c r="LMS90" s="717"/>
      <c r="LMT90" s="717"/>
      <c r="LMU90" s="717"/>
      <c r="LMV90" s="717"/>
      <c r="LMW90" s="717"/>
      <c r="LMX90" s="717"/>
      <c r="LMY90" s="717"/>
      <c r="LMZ90" s="717"/>
      <c r="LNA90" s="717"/>
      <c r="LNB90" s="717"/>
      <c r="LNC90" s="717"/>
      <c r="LND90" s="717"/>
      <c r="LNE90" s="717"/>
      <c r="LNF90" s="717"/>
      <c r="LNG90" s="717"/>
      <c r="LNH90" s="717"/>
      <c r="LNI90" s="717"/>
      <c r="LNJ90" s="717"/>
      <c r="LNK90" s="717"/>
      <c r="LNL90" s="717"/>
      <c r="LNM90" s="717"/>
      <c r="LNN90" s="717"/>
      <c r="LNO90" s="717"/>
      <c r="LNP90" s="717"/>
      <c r="LNQ90" s="717"/>
      <c r="LNR90" s="717"/>
      <c r="LNS90" s="717"/>
      <c r="LNT90" s="717"/>
      <c r="LNU90" s="717"/>
      <c r="LNV90" s="717"/>
      <c r="LNW90" s="717"/>
      <c r="LNX90" s="717"/>
      <c r="LNY90" s="717"/>
      <c r="LNZ90" s="717"/>
      <c r="LOA90" s="717"/>
      <c r="LOB90" s="717"/>
      <c r="LOC90" s="717"/>
      <c r="LOD90" s="717"/>
      <c r="LOE90" s="717"/>
      <c r="LOF90" s="717"/>
      <c r="LOG90" s="717"/>
      <c r="LOH90" s="717"/>
      <c r="LOI90" s="717"/>
      <c r="LOJ90" s="717"/>
      <c r="LOK90" s="717"/>
      <c r="LOL90" s="717"/>
      <c r="LOM90" s="717"/>
      <c r="LON90" s="717"/>
      <c r="LOO90" s="717"/>
      <c r="LOP90" s="717"/>
      <c r="LOQ90" s="717"/>
      <c r="LOR90" s="717"/>
      <c r="LOS90" s="717"/>
      <c r="LOT90" s="717"/>
      <c r="LOU90" s="717"/>
      <c r="LOV90" s="717"/>
      <c r="LOW90" s="717"/>
      <c r="LOX90" s="717"/>
      <c r="LOY90" s="717"/>
      <c r="LOZ90" s="717"/>
      <c r="LPA90" s="717"/>
      <c r="LPB90" s="717"/>
      <c r="LPC90" s="717"/>
      <c r="LPD90" s="717"/>
      <c r="LPE90" s="717"/>
      <c r="LPF90" s="717"/>
      <c r="LPG90" s="717"/>
      <c r="LPH90" s="717"/>
      <c r="LPI90" s="717"/>
      <c r="LPJ90" s="717"/>
      <c r="LPK90" s="717"/>
      <c r="LPL90" s="717"/>
      <c r="LPM90" s="717"/>
      <c r="LPN90" s="717"/>
      <c r="LPO90" s="717"/>
      <c r="LPP90" s="717"/>
      <c r="LPQ90" s="717"/>
      <c r="LPR90" s="717"/>
      <c r="LPS90" s="717"/>
      <c r="LPT90" s="717"/>
      <c r="LPU90" s="717"/>
      <c r="LPV90" s="717"/>
      <c r="LPW90" s="717"/>
      <c r="LPX90" s="717"/>
      <c r="LPY90" s="717"/>
      <c r="LPZ90" s="717"/>
      <c r="LQA90" s="717"/>
      <c r="LQB90" s="717"/>
      <c r="LQC90" s="717"/>
      <c r="LQD90" s="717"/>
      <c r="LQE90" s="717"/>
      <c r="LQF90" s="717"/>
      <c r="LQG90" s="717"/>
      <c r="LQH90" s="717"/>
      <c r="LQI90" s="717"/>
      <c r="LQJ90" s="717"/>
      <c r="LQK90" s="717"/>
      <c r="LQL90" s="717"/>
      <c r="LQM90" s="717"/>
      <c r="LQN90" s="717"/>
      <c r="LQO90" s="717"/>
      <c r="LQP90" s="717"/>
      <c r="LQQ90" s="717"/>
      <c r="LQR90" s="717"/>
      <c r="LQS90" s="717"/>
      <c r="LQT90" s="717"/>
      <c r="LQU90" s="717"/>
      <c r="LQV90" s="717"/>
      <c r="LQW90" s="717"/>
      <c r="LQX90" s="717"/>
      <c r="LQY90" s="717"/>
      <c r="LQZ90" s="717"/>
      <c r="LRA90" s="717"/>
      <c r="LRB90" s="717"/>
      <c r="LRC90" s="717"/>
      <c r="LRD90" s="717"/>
      <c r="LRE90" s="717"/>
      <c r="LRF90" s="717"/>
      <c r="LRG90" s="717"/>
      <c r="LRH90" s="717"/>
      <c r="LRI90" s="717"/>
      <c r="LRJ90" s="717"/>
      <c r="LRK90" s="717"/>
      <c r="LRL90" s="717"/>
      <c r="LRM90" s="717"/>
      <c r="LRN90" s="717"/>
      <c r="LRO90" s="717"/>
      <c r="LRP90" s="717"/>
      <c r="LRQ90" s="717"/>
      <c r="LRR90" s="717"/>
      <c r="LRS90" s="717"/>
      <c r="LRT90" s="717"/>
      <c r="LRU90" s="717"/>
      <c r="LRV90" s="717"/>
      <c r="LRW90" s="717"/>
      <c r="LRX90" s="717"/>
      <c r="LRY90" s="717"/>
      <c r="LRZ90" s="717"/>
      <c r="LSA90" s="717"/>
      <c r="LSB90" s="717"/>
      <c r="LSC90" s="717"/>
      <c r="LSD90" s="717"/>
      <c r="LSE90" s="717"/>
      <c r="LSF90" s="717"/>
      <c r="LSG90" s="717"/>
      <c r="LSH90" s="717"/>
      <c r="LSI90" s="717"/>
      <c r="LSJ90" s="717"/>
      <c r="LSK90" s="717"/>
      <c r="LSL90" s="717"/>
      <c r="LSM90" s="717"/>
      <c r="LSN90" s="717"/>
      <c r="LSO90" s="717"/>
      <c r="LSP90" s="717"/>
      <c r="LSQ90" s="717"/>
      <c r="LSR90" s="717"/>
      <c r="LSS90" s="717"/>
      <c r="LST90" s="717"/>
      <c r="LSU90" s="717"/>
      <c r="LSV90" s="717"/>
      <c r="LSW90" s="717"/>
      <c r="LSX90" s="717"/>
      <c r="LSY90" s="717"/>
      <c r="LSZ90" s="717"/>
      <c r="LTA90" s="717"/>
      <c r="LTB90" s="717"/>
      <c r="LTC90" s="717"/>
      <c r="LTD90" s="717"/>
      <c r="LTE90" s="717"/>
      <c r="LTF90" s="717"/>
      <c r="LTG90" s="717"/>
      <c r="LTH90" s="717"/>
      <c r="LTI90" s="717"/>
      <c r="LTJ90" s="717"/>
      <c r="LTK90" s="717"/>
      <c r="LTL90" s="717"/>
      <c r="LTM90" s="717"/>
      <c r="LTN90" s="717"/>
      <c r="LTO90" s="717"/>
      <c r="LTP90" s="717"/>
      <c r="LTQ90" s="717"/>
      <c r="LTR90" s="717"/>
      <c r="LTS90" s="717"/>
      <c r="LTT90" s="717"/>
      <c r="LTU90" s="717"/>
      <c r="LTV90" s="717"/>
      <c r="LTW90" s="717"/>
      <c r="LTX90" s="717"/>
      <c r="LTY90" s="717"/>
      <c r="LTZ90" s="717"/>
      <c r="LUA90" s="717"/>
      <c r="LUB90" s="717"/>
      <c r="LUC90" s="717"/>
      <c r="LUD90" s="717"/>
      <c r="LUE90" s="717"/>
      <c r="LUF90" s="717"/>
      <c r="LUG90" s="717"/>
      <c r="LUH90" s="717"/>
      <c r="LUI90" s="717"/>
      <c r="LUJ90" s="717"/>
      <c r="LUK90" s="717"/>
      <c r="LUL90" s="717"/>
      <c r="LUM90" s="717"/>
      <c r="LUN90" s="717"/>
      <c r="LUO90" s="717"/>
      <c r="LUP90" s="717"/>
      <c r="LUQ90" s="717"/>
      <c r="LUR90" s="717"/>
      <c r="LUS90" s="717"/>
      <c r="LUT90" s="717"/>
      <c r="LUU90" s="717"/>
      <c r="LUV90" s="717"/>
      <c r="LUW90" s="717"/>
      <c r="LUX90" s="717"/>
      <c r="LUY90" s="717"/>
      <c r="LUZ90" s="717"/>
      <c r="LVA90" s="717"/>
      <c r="LVB90" s="717"/>
      <c r="LVC90" s="717"/>
      <c r="LVD90" s="717"/>
      <c r="LVE90" s="717"/>
      <c r="LVF90" s="717"/>
      <c r="LVG90" s="717"/>
      <c r="LVH90" s="717"/>
      <c r="LVI90" s="717"/>
      <c r="LVJ90" s="717"/>
      <c r="LVK90" s="717"/>
      <c r="LVL90" s="717"/>
      <c r="LVM90" s="717"/>
      <c r="LVN90" s="717"/>
      <c r="LVO90" s="717"/>
      <c r="LVP90" s="717"/>
      <c r="LVQ90" s="717"/>
      <c r="LVR90" s="717"/>
      <c r="LVS90" s="717"/>
      <c r="LVZ90" s="717"/>
      <c r="LWA90" s="717"/>
      <c r="LWB90" s="717"/>
      <c r="LWC90" s="717"/>
      <c r="LWD90" s="717"/>
      <c r="LWE90" s="717"/>
      <c r="LWF90" s="717"/>
      <c r="LWG90" s="717"/>
      <c r="LWH90" s="717"/>
      <c r="LWI90" s="717"/>
      <c r="LWJ90" s="717"/>
      <c r="LWK90" s="717"/>
      <c r="LWL90" s="717"/>
      <c r="LWM90" s="717"/>
      <c r="LWN90" s="717"/>
      <c r="LWO90" s="717"/>
      <c r="LWP90" s="717"/>
      <c r="LWQ90" s="717"/>
      <c r="LWR90" s="717"/>
      <c r="LWS90" s="717"/>
      <c r="LWT90" s="717"/>
      <c r="LWU90" s="717"/>
      <c r="LWV90" s="717"/>
      <c r="LWW90" s="717"/>
      <c r="LWX90" s="717"/>
      <c r="LWY90" s="717"/>
      <c r="LWZ90" s="717"/>
      <c r="LXA90" s="717"/>
      <c r="LXB90" s="717"/>
      <c r="LXC90" s="717"/>
      <c r="LXD90" s="717"/>
      <c r="LXE90" s="717"/>
      <c r="LXF90" s="717"/>
      <c r="LXG90" s="717"/>
      <c r="LXH90" s="717"/>
      <c r="LXI90" s="717"/>
      <c r="LXJ90" s="717"/>
      <c r="LXK90" s="717"/>
      <c r="LXL90" s="717"/>
      <c r="LXM90" s="717"/>
      <c r="LXN90" s="717"/>
      <c r="LXO90" s="717"/>
      <c r="LXP90" s="717"/>
      <c r="LXQ90" s="717"/>
      <c r="LXR90" s="717"/>
      <c r="LXS90" s="717"/>
      <c r="LXT90" s="717"/>
      <c r="LXU90" s="717"/>
      <c r="LXV90" s="717"/>
      <c r="LXW90" s="717"/>
      <c r="LXX90" s="717"/>
      <c r="LXY90" s="717"/>
      <c r="LXZ90" s="717"/>
      <c r="LYA90" s="717"/>
      <c r="LYB90" s="717"/>
      <c r="LYC90" s="717"/>
      <c r="LYD90" s="717"/>
      <c r="LYE90" s="717"/>
      <c r="LYF90" s="717"/>
      <c r="LYG90" s="717"/>
      <c r="LYH90" s="717"/>
      <c r="LYI90" s="717"/>
      <c r="LYJ90" s="717"/>
      <c r="LYK90" s="717"/>
      <c r="LYL90" s="717"/>
      <c r="LYM90" s="717"/>
      <c r="LYN90" s="717"/>
      <c r="LYO90" s="717"/>
      <c r="LYP90" s="717"/>
      <c r="LYQ90" s="717"/>
      <c r="LYR90" s="717"/>
      <c r="LYS90" s="717"/>
      <c r="LYT90" s="717"/>
      <c r="LYU90" s="717"/>
      <c r="LYV90" s="717"/>
      <c r="LYW90" s="717"/>
      <c r="LYX90" s="717"/>
      <c r="LYY90" s="717"/>
      <c r="LYZ90" s="717"/>
      <c r="LZA90" s="717"/>
      <c r="LZB90" s="717"/>
      <c r="LZC90" s="717"/>
      <c r="LZD90" s="717"/>
      <c r="LZE90" s="717"/>
      <c r="LZF90" s="717"/>
      <c r="LZG90" s="717"/>
      <c r="LZH90" s="717"/>
      <c r="LZI90" s="717"/>
      <c r="LZJ90" s="717"/>
      <c r="LZK90" s="717"/>
      <c r="LZL90" s="717"/>
      <c r="LZM90" s="717"/>
      <c r="LZN90" s="717"/>
      <c r="LZO90" s="717"/>
      <c r="LZP90" s="717"/>
      <c r="LZQ90" s="717"/>
      <c r="LZR90" s="717"/>
      <c r="LZS90" s="717"/>
      <c r="LZT90" s="717"/>
      <c r="LZU90" s="717"/>
      <c r="LZV90" s="717"/>
      <c r="LZW90" s="717"/>
      <c r="LZX90" s="717"/>
      <c r="LZY90" s="717"/>
      <c r="LZZ90" s="717"/>
      <c r="MAA90" s="717"/>
      <c r="MAB90" s="717"/>
      <c r="MAC90" s="717"/>
      <c r="MAD90" s="717"/>
      <c r="MAE90" s="717"/>
      <c r="MAF90" s="717"/>
      <c r="MAG90" s="717"/>
      <c r="MAH90" s="717"/>
      <c r="MAI90" s="717"/>
      <c r="MAJ90" s="717"/>
      <c r="MAK90" s="717"/>
      <c r="MAL90" s="717"/>
      <c r="MAM90" s="717"/>
      <c r="MAN90" s="717"/>
      <c r="MAO90" s="717"/>
      <c r="MAP90" s="717"/>
      <c r="MAQ90" s="717"/>
      <c r="MAR90" s="717"/>
      <c r="MAS90" s="717"/>
      <c r="MAT90" s="717"/>
      <c r="MAU90" s="717"/>
      <c r="MAV90" s="717"/>
      <c r="MAW90" s="717"/>
      <c r="MAX90" s="717"/>
      <c r="MAY90" s="717"/>
      <c r="MAZ90" s="717"/>
      <c r="MBA90" s="717"/>
      <c r="MBB90" s="717"/>
      <c r="MBC90" s="717"/>
      <c r="MBD90" s="717"/>
      <c r="MBE90" s="717"/>
      <c r="MBF90" s="717"/>
      <c r="MBG90" s="717"/>
      <c r="MBH90" s="717"/>
      <c r="MBI90" s="717"/>
      <c r="MBJ90" s="717"/>
      <c r="MBK90" s="717"/>
      <c r="MBL90" s="717"/>
      <c r="MBM90" s="717"/>
      <c r="MBN90" s="717"/>
      <c r="MBO90" s="717"/>
      <c r="MBP90" s="717"/>
      <c r="MBQ90" s="717"/>
      <c r="MBR90" s="717"/>
      <c r="MBS90" s="717"/>
      <c r="MBT90" s="717"/>
      <c r="MBU90" s="717"/>
      <c r="MBV90" s="717"/>
      <c r="MBW90" s="717"/>
      <c r="MBX90" s="717"/>
      <c r="MBY90" s="717"/>
      <c r="MBZ90" s="717"/>
      <c r="MCA90" s="717"/>
      <c r="MCB90" s="717"/>
      <c r="MCC90" s="717"/>
      <c r="MCD90" s="717"/>
      <c r="MCE90" s="717"/>
      <c r="MCF90" s="717"/>
      <c r="MCG90" s="717"/>
      <c r="MCH90" s="717"/>
      <c r="MCI90" s="717"/>
      <c r="MCJ90" s="717"/>
      <c r="MCK90" s="717"/>
      <c r="MCL90" s="717"/>
      <c r="MCM90" s="717"/>
      <c r="MCN90" s="717"/>
      <c r="MCO90" s="717"/>
      <c r="MCP90" s="717"/>
      <c r="MCQ90" s="717"/>
      <c r="MCR90" s="717"/>
      <c r="MCS90" s="717"/>
      <c r="MCT90" s="717"/>
      <c r="MCU90" s="717"/>
      <c r="MCV90" s="717"/>
      <c r="MCW90" s="717"/>
      <c r="MCX90" s="717"/>
      <c r="MCY90" s="717"/>
      <c r="MCZ90" s="717"/>
      <c r="MDA90" s="717"/>
      <c r="MDB90" s="717"/>
      <c r="MDC90" s="717"/>
      <c r="MDD90" s="717"/>
      <c r="MDE90" s="717"/>
      <c r="MDF90" s="717"/>
      <c r="MDG90" s="717"/>
      <c r="MDH90" s="717"/>
      <c r="MDI90" s="717"/>
      <c r="MDJ90" s="717"/>
      <c r="MDK90" s="717"/>
      <c r="MDL90" s="717"/>
      <c r="MDM90" s="717"/>
      <c r="MDN90" s="717"/>
      <c r="MDO90" s="717"/>
      <c r="MDP90" s="717"/>
      <c r="MDQ90" s="717"/>
      <c r="MDR90" s="717"/>
      <c r="MDS90" s="717"/>
      <c r="MDT90" s="717"/>
      <c r="MDU90" s="717"/>
      <c r="MDV90" s="717"/>
      <c r="MDW90" s="717"/>
      <c r="MDX90" s="717"/>
      <c r="MDY90" s="717"/>
      <c r="MDZ90" s="717"/>
      <c r="MEA90" s="717"/>
      <c r="MEB90" s="717"/>
      <c r="MEC90" s="717"/>
      <c r="MED90" s="717"/>
      <c r="MEE90" s="717"/>
      <c r="MEF90" s="717"/>
      <c r="MEG90" s="717"/>
      <c r="MEH90" s="717"/>
      <c r="MEI90" s="717"/>
      <c r="MEJ90" s="717"/>
      <c r="MEK90" s="717"/>
      <c r="MEL90" s="717"/>
      <c r="MEM90" s="717"/>
      <c r="MEN90" s="717"/>
      <c r="MEO90" s="717"/>
      <c r="MEP90" s="717"/>
      <c r="MEQ90" s="717"/>
      <c r="MER90" s="717"/>
      <c r="MES90" s="717"/>
      <c r="MET90" s="717"/>
      <c r="MEU90" s="717"/>
      <c r="MEV90" s="717"/>
      <c r="MEW90" s="717"/>
      <c r="MEX90" s="717"/>
      <c r="MEY90" s="717"/>
      <c r="MEZ90" s="717"/>
      <c r="MFA90" s="717"/>
      <c r="MFB90" s="717"/>
      <c r="MFC90" s="717"/>
      <c r="MFD90" s="717"/>
      <c r="MFE90" s="717"/>
      <c r="MFF90" s="717"/>
      <c r="MFG90" s="717"/>
      <c r="MFH90" s="717"/>
      <c r="MFI90" s="717"/>
      <c r="MFJ90" s="717"/>
      <c r="MFK90" s="717"/>
      <c r="MFL90" s="717"/>
      <c r="MFM90" s="717"/>
      <c r="MFN90" s="717"/>
      <c r="MFO90" s="717"/>
      <c r="MFV90" s="717"/>
      <c r="MFW90" s="717"/>
      <c r="MFX90" s="717"/>
      <c r="MFY90" s="717"/>
      <c r="MFZ90" s="717"/>
      <c r="MGA90" s="717"/>
      <c r="MGB90" s="717"/>
      <c r="MGC90" s="717"/>
      <c r="MGD90" s="717"/>
      <c r="MGE90" s="717"/>
      <c r="MGF90" s="717"/>
      <c r="MGG90" s="717"/>
      <c r="MGH90" s="717"/>
      <c r="MGI90" s="717"/>
      <c r="MGJ90" s="717"/>
      <c r="MGK90" s="717"/>
      <c r="MGL90" s="717"/>
      <c r="MGM90" s="717"/>
      <c r="MGN90" s="717"/>
      <c r="MGO90" s="717"/>
      <c r="MGP90" s="717"/>
      <c r="MGQ90" s="717"/>
      <c r="MGR90" s="717"/>
      <c r="MGS90" s="717"/>
      <c r="MGT90" s="717"/>
      <c r="MGU90" s="717"/>
      <c r="MGV90" s="717"/>
      <c r="MGW90" s="717"/>
      <c r="MGX90" s="717"/>
      <c r="MGY90" s="717"/>
      <c r="MGZ90" s="717"/>
      <c r="MHA90" s="717"/>
      <c r="MHB90" s="717"/>
      <c r="MHC90" s="717"/>
      <c r="MHD90" s="717"/>
      <c r="MHE90" s="717"/>
      <c r="MHF90" s="717"/>
      <c r="MHG90" s="717"/>
      <c r="MHH90" s="717"/>
      <c r="MHI90" s="717"/>
      <c r="MHJ90" s="717"/>
      <c r="MHK90" s="717"/>
      <c r="MHL90" s="717"/>
      <c r="MHM90" s="717"/>
      <c r="MHN90" s="717"/>
      <c r="MHO90" s="717"/>
      <c r="MHP90" s="717"/>
      <c r="MHQ90" s="717"/>
      <c r="MHR90" s="717"/>
      <c r="MHS90" s="717"/>
      <c r="MHT90" s="717"/>
      <c r="MHU90" s="717"/>
      <c r="MHV90" s="717"/>
      <c r="MHW90" s="717"/>
      <c r="MHX90" s="717"/>
      <c r="MHY90" s="717"/>
      <c r="MHZ90" s="717"/>
      <c r="MIA90" s="717"/>
      <c r="MIB90" s="717"/>
      <c r="MIC90" s="717"/>
      <c r="MID90" s="717"/>
      <c r="MIE90" s="717"/>
      <c r="MIF90" s="717"/>
      <c r="MIG90" s="717"/>
      <c r="MIH90" s="717"/>
      <c r="MII90" s="717"/>
      <c r="MIJ90" s="717"/>
      <c r="MIK90" s="717"/>
      <c r="MIL90" s="717"/>
      <c r="MIM90" s="717"/>
      <c r="MIN90" s="717"/>
      <c r="MIO90" s="717"/>
      <c r="MIP90" s="717"/>
      <c r="MIQ90" s="717"/>
      <c r="MIR90" s="717"/>
      <c r="MIS90" s="717"/>
      <c r="MIT90" s="717"/>
      <c r="MIU90" s="717"/>
      <c r="MIV90" s="717"/>
      <c r="MIW90" s="717"/>
      <c r="MIX90" s="717"/>
      <c r="MIY90" s="717"/>
      <c r="MIZ90" s="717"/>
      <c r="MJA90" s="717"/>
      <c r="MJB90" s="717"/>
      <c r="MJC90" s="717"/>
      <c r="MJD90" s="717"/>
      <c r="MJE90" s="717"/>
      <c r="MJF90" s="717"/>
      <c r="MJG90" s="717"/>
      <c r="MJH90" s="717"/>
      <c r="MJI90" s="717"/>
      <c r="MJJ90" s="717"/>
      <c r="MJK90" s="717"/>
      <c r="MJL90" s="717"/>
      <c r="MJM90" s="717"/>
      <c r="MJN90" s="717"/>
      <c r="MJO90" s="717"/>
      <c r="MJP90" s="717"/>
      <c r="MJQ90" s="717"/>
      <c r="MJR90" s="717"/>
      <c r="MJS90" s="717"/>
      <c r="MJT90" s="717"/>
      <c r="MJU90" s="717"/>
      <c r="MJV90" s="717"/>
      <c r="MJW90" s="717"/>
      <c r="MJX90" s="717"/>
      <c r="MJY90" s="717"/>
      <c r="MJZ90" s="717"/>
      <c r="MKA90" s="717"/>
      <c r="MKB90" s="717"/>
      <c r="MKC90" s="717"/>
      <c r="MKD90" s="717"/>
      <c r="MKE90" s="717"/>
      <c r="MKF90" s="717"/>
      <c r="MKG90" s="717"/>
      <c r="MKH90" s="717"/>
      <c r="MKI90" s="717"/>
      <c r="MKJ90" s="717"/>
      <c r="MKK90" s="717"/>
      <c r="MKL90" s="717"/>
      <c r="MKM90" s="717"/>
      <c r="MKN90" s="717"/>
      <c r="MKO90" s="717"/>
      <c r="MKP90" s="717"/>
      <c r="MKQ90" s="717"/>
      <c r="MKR90" s="717"/>
      <c r="MKS90" s="717"/>
      <c r="MKT90" s="717"/>
      <c r="MKU90" s="717"/>
      <c r="MKV90" s="717"/>
      <c r="MKW90" s="717"/>
      <c r="MKX90" s="717"/>
      <c r="MKY90" s="717"/>
      <c r="MKZ90" s="717"/>
      <c r="MLA90" s="717"/>
      <c r="MLB90" s="717"/>
      <c r="MLC90" s="717"/>
      <c r="MLD90" s="717"/>
      <c r="MLE90" s="717"/>
      <c r="MLF90" s="717"/>
      <c r="MLG90" s="717"/>
      <c r="MLH90" s="717"/>
      <c r="MLI90" s="717"/>
      <c r="MLJ90" s="717"/>
      <c r="MLK90" s="717"/>
      <c r="MLL90" s="717"/>
      <c r="MLM90" s="717"/>
      <c r="MLN90" s="717"/>
      <c r="MLO90" s="717"/>
      <c r="MLP90" s="717"/>
      <c r="MLQ90" s="717"/>
      <c r="MLR90" s="717"/>
      <c r="MLS90" s="717"/>
      <c r="MLT90" s="717"/>
      <c r="MLU90" s="717"/>
      <c r="MLV90" s="717"/>
      <c r="MLW90" s="717"/>
      <c r="MLX90" s="717"/>
      <c r="MLY90" s="717"/>
      <c r="MLZ90" s="717"/>
      <c r="MMA90" s="717"/>
      <c r="MMB90" s="717"/>
      <c r="MMC90" s="717"/>
      <c r="MMD90" s="717"/>
      <c r="MME90" s="717"/>
      <c r="MMF90" s="717"/>
      <c r="MMG90" s="717"/>
      <c r="MMH90" s="717"/>
      <c r="MMI90" s="717"/>
      <c r="MMJ90" s="717"/>
      <c r="MMK90" s="717"/>
      <c r="MML90" s="717"/>
      <c r="MMM90" s="717"/>
      <c r="MMN90" s="717"/>
      <c r="MMO90" s="717"/>
      <c r="MMP90" s="717"/>
      <c r="MMQ90" s="717"/>
      <c r="MMR90" s="717"/>
      <c r="MMS90" s="717"/>
      <c r="MMT90" s="717"/>
      <c r="MMU90" s="717"/>
      <c r="MMV90" s="717"/>
      <c r="MMW90" s="717"/>
      <c r="MMX90" s="717"/>
      <c r="MMY90" s="717"/>
      <c r="MMZ90" s="717"/>
      <c r="MNA90" s="717"/>
      <c r="MNB90" s="717"/>
      <c r="MNC90" s="717"/>
      <c r="MND90" s="717"/>
      <c r="MNE90" s="717"/>
      <c r="MNF90" s="717"/>
      <c r="MNG90" s="717"/>
      <c r="MNH90" s="717"/>
      <c r="MNI90" s="717"/>
      <c r="MNJ90" s="717"/>
      <c r="MNK90" s="717"/>
      <c r="MNL90" s="717"/>
      <c r="MNM90" s="717"/>
      <c r="MNN90" s="717"/>
      <c r="MNO90" s="717"/>
      <c r="MNP90" s="717"/>
      <c r="MNQ90" s="717"/>
      <c r="MNR90" s="717"/>
      <c r="MNS90" s="717"/>
      <c r="MNT90" s="717"/>
      <c r="MNU90" s="717"/>
      <c r="MNV90" s="717"/>
      <c r="MNW90" s="717"/>
      <c r="MNX90" s="717"/>
      <c r="MNY90" s="717"/>
      <c r="MNZ90" s="717"/>
      <c r="MOA90" s="717"/>
      <c r="MOB90" s="717"/>
      <c r="MOC90" s="717"/>
      <c r="MOD90" s="717"/>
      <c r="MOE90" s="717"/>
      <c r="MOF90" s="717"/>
      <c r="MOG90" s="717"/>
      <c r="MOH90" s="717"/>
      <c r="MOI90" s="717"/>
      <c r="MOJ90" s="717"/>
      <c r="MOK90" s="717"/>
      <c r="MOL90" s="717"/>
      <c r="MOM90" s="717"/>
      <c r="MON90" s="717"/>
      <c r="MOO90" s="717"/>
      <c r="MOP90" s="717"/>
      <c r="MOQ90" s="717"/>
      <c r="MOR90" s="717"/>
      <c r="MOS90" s="717"/>
      <c r="MOT90" s="717"/>
      <c r="MOU90" s="717"/>
      <c r="MOV90" s="717"/>
      <c r="MOW90" s="717"/>
      <c r="MOX90" s="717"/>
      <c r="MOY90" s="717"/>
      <c r="MOZ90" s="717"/>
      <c r="MPA90" s="717"/>
      <c r="MPB90" s="717"/>
      <c r="MPC90" s="717"/>
      <c r="MPD90" s="717"/>
      <c r="MPE90" s="717"/>
      <c r="MPF90" s="717"/>
      <c r="MPG90" s="717"/>
      <c r="MPH90" s="717"/>
      <c r="MPI90" s="717"/>
      <c r="MPJ90" s="717"/>
      <c r="MPK90" s="717"/>
      <c r="MPR90" s="717"/>
      <c r="MPS90" s="717"/>
      <c r="MPT90" s="717"/>
      <c r="MPU90" s="717"/>
      <c r="MPV90" s="717"/>
      <c r="MPW90" s="717"/>
      <c r="MPX90" s="717"/>
      <c r="MPY90" s="717"/>
      <c r="MPZ90" s="717"/>
      <c r="MQA90" s="717"/>
      <c r="MQB90" s="717"/>
      <c r="MQC90" s="717"/>
      <c r="MQD90" s="717"/>
      <c r="MQE90" s="717"/>
      <c r="MQF90" s="717"/>
      <c r="MQG90" s="717"/>
      <c r="MQH90" s="717"/>
      <c r="MQI90" s="717"/>
      <c r="MQJ90" s="717"/>
      <c r="MQK90" s="717"/>
      <c r="MQL90" s="717"/>
      <c r="MQM90" s="717"/>
      <c r="MQN90" s="717"/>
      <c r="MQO90" s="717"/>
      <c r="MQP90" s="717"/>
      <c r="MQQ90" s="717"/>
      <c r="MQR90" s="717"/>
      <c r="MQS90" s="717"/>
      <c r="MQT90" s="717"/>
      <c r="MQU90" s="717"/>
      <c r="MQV90" s="717"/>
      <c r="MQW90" s="717"/>
      <c r="MQX90" s="717"/>
      <c r="MQY90" s="717"/>
      <c r="MQZ90" s="717"/>
      <c r="MRA90" s="717"/>
      <c r="MRB90" s="717"/>
      <c r="MRC90" s="717"/>
      <c r="MRD90" s="717"/>
      <c r="MRE90" s="717"/>
      <c r="MRF90" s="717"/>
      <c r="MRG90" s="717"/>
      <c r="MRH90" s="717"/>
      <c r="MRI90" s="717"/>
      <c r="MRJ90" s="717"/>
      <c r="MRK90" s="717"/>
      <c r="MRL90" s="717"/>
      <c r="MRM90" s="717"/>
      <c r="MRN90" s="717"/>
      <c r="MRO90" s="717"/>
      <c r="MRP90" s="717"/>
      <c r="MRQ90" s="717"/>
      <c r="MRR90" s="717"/>
      <c r="MRS90" s="717"/>
      <c r="MRT90" s="717"/>
      <c r="MRU90" s="717"/>
      <c r="MRV90" s="717"/>
      <c r="MRW90" s="717"/>
      <c r="MRX90" s="717"/>
      <c r="MRY90" s="717"/>
      <c r="MRZ90" s="717"/>
      <c r="MSA90" s="717"/>
      <c r="MSB90" s="717"/>
      <c r="MSC90" s="717"/>
      <c r="MSD90" s="717"/>
      <c r="MSE90" s="717"/>
      <c r="MSF90" s="717"/>
      <c r="MSG90" s="717"/>
      <c r="MSH90" s="717"/>
      <c r="MSI90" s="717"/>
      <c r="MSJ90" s="717"/>
      <c r="MSK90" s="717"/>
      <c r="MSL90" s="717"/>
      <c r="MSM90" s="717"/>
      <c r="MSN90" s="717"/>
      <c r="MSO90" s="717"/>
      <c r="MSP90" s="717"/>
      <c r="MSQ90" s="717"/>
      <c r="MSR90" s="717"/>
      <c r="MSS90" s="717"/>
      <c r="MST90" s="717"/>
      <c r="MSU90" s="717"/>
      <c r="MSV90" s="717"/>
      <c r="MSW90" s="717"/>
      <c r="MSX90" s="717"/>
      <c r="MSY90" s="717"/>
      <c r="MSZ90" s="717"/>
      <c r="MTA90" s="717"/>
      <c r="MTB90" s="717"/>
      <c r="MTC90" s="717"/>
      <c r="MTD90" s="717"/>
      <c r="MTE90" s="717"/>
      <c r="MTF90" s="717"/>
      <c r="MTG90" s="717"/>
      <c r="MTH90" s="717"/>
      <c r="MTI90" s="717"/>
      <c r="MTJ90" s="717"/>
      <c r="MTK90" s="717"/>
      <c r="MTL90" s="717"/>
      <c r="MTM90" s="717"/>
      <c r="MTN90" s="717"/>
      <c r="MTO90" s="717"/>
      <c r="MTP90" s="717"/>
      <c r="MTQ90" s="717"/>
      <c r="MTR90" s="717"/>
      <c r="MTS90" s="717"/>
      <c r="MTT90" s="717"/>
      <c r="MTU90" s="717"/>
      <c r="MTV90" s="717"/>
      <c r="MTW90" s="717"/>
      <c r="MTX90" s="717"/>
      <c r="MTY90" s="717"/>
      <c r="MTZ90" s="717"/>
      <c r="MUA90" s="717"/>
      <c r="MUB90" s="717"/>
      <c r="MUC90" s="717"/>
      <c r="MUD90" s="717"/>
      <c r="MUE90" s="717"/>
      <c r="MUF90" s="717"/>
      <c r="MUG90" s="717"/>
      <c r="MUH90" s="717"/>
      <c r="MUI90" s="717"/>
      <c r="MUJ90" s="717"/>
      <c r="MUK90" s="717"/>
      <c r="MUL90" s="717"/>
      <c r="MUM90" s="717"/>
      <c r="MUN90" s="717"/>
      <c r="MUO90" s="717"/>
      <c r="MUP90" s="717"/>
      <c r="MUQ90" s="717"/>
      <c r="MUR90" s="717"/>
      <c r="MUS90" s="717"/>
      <c r="MUT90" s="717"/>
      <c r="MUU90" s="717"/>
      <c r="MUV90" s="717"/>
      <c r="MUW90" s="717"/>
      <c r="MUX90" s="717"/>
      <c r="MUY90" s="717"/>
      <c r="MUZ90" s="717"/>
      <c r="MVA90" s="717"/>
      <c r="MVB90" s="717"/>
      <c r="MVC90" s="717"/>
      <c r="MVD90" s="717"/>
      <c r="MVE90" s="717"/>
      <c r="MVF90" s="717"/>
      <c r="MVG90" s="717"/>
      <c r="MVH90" s="717"/>
      <c r="MVI90" s="717"/>
      <c r="MVJ90" s="717"/>
      <c r="MVK90" s="717"/>
      <c r="MVL90" s="717"/>
      <c r="MVM90" s="717"/>
      <c r="MVN90" s="717"/>
      <c r="MVO90" s="717"/>
      <c r="MVP90" s="717"/>
      <c r="MVQ90" s="717"/>
      <c r="MVR90" s="717"/>
      <c r="MVS90" s="717"/>
      <c r="MVT90" s="717"/>
      <c r="MVU90" s="717"/>
      <c r="MVV90" s="717"/>
      <c r="MVW90" s="717"/>
      <c r="MVX90" s="717"/>
      <c r="MVY90" s="717"/>
      <c r="MVZ90" s="717"/>
      <c r="MWA90" s="717"/>
      <c r="MWB90" s="717"/>
      <c r="MWC90" s="717"/>
      <c r="MWD90" s="717"/>
      <c r="MWE90" s="717"/>
      <c r="MWF90" s="717"/>
      <c r="MWG90" s="717"/>
      <c r="MWH90" s="717"/>
      <c r="MWI90" s="717"/>
      <c r="MWJ90" s="717"/>
      <c r="MWK90" s="717"/>
      <c r="MWL90" s="717"/>
      <c r="MWM90" s="717"/>
      <c r="MWN90" s="717"/>
      <c r="MWO90" s="717"/>
      <c r="MWP90" s="717"/>
      <c r="MWQ90" s="717"/>
      <c r="MWR90" s="717"/>
      <c r="MWS90" s="717"/>
      <c r="MWT90" s="717"/>
      <c r="MWU90" s="717"/>
      <c r="MWV90" s="717"/>
      <c r="MWW90" s="717"/>
      <c r="MWX90" s="717"/>
      <c r="MWY90" s="717"/>
      <c r="MWZ90" s="717"/>
      <c r="MXA90" s="717"/>
      <c r="MXB90" s="717"/>
      <c r="MXC90" s="717"/>
      <c r="MXD90" s="717"/>
      <c r="MXE90" s="717"/>
      <c r="MXF90" s="717"/>
      <c r="MXG90" s="717"/>
      <c r="MXH90" s="717"/>
      <c r="MXI90" s="717"/>
      <c r="MXJ90" s="717"/>
      <c r="MXK90" s="717"/>
      <c r="MXL90" s="717"/>
      <c r="MXM90" s="717"/>
      <c r="MXN90" s="717"/>
      <c r="MXO90" s="717"/>
      <c r="MXP90" s="717"/>
      <c r="MXQ90" s="717"/>
      <c r="MXR90" s="717"/>
      <c r="MXS90" s="717"/>
      <c r="MXT90" s="717"/>
      <c r="MXU90" s="717"/>
      <c r="MXV90" s="717"/>
      <c r="MXW90" s="717"/>
      <c r="MXX90" s="717"/>
      <c r="MXY90" s="717"/>
      <c r="MXZ90" s="717"/>
      <c r="MYA90" s="717"/>
      <c r="MYB90" s="717"/>
      <c r="MYC90" s="717"/>
      <c r="MYD90" s="717"/>
      <c r="MYE90" s="717"/>
      <c r="MYF90" s="717"/>
      <c r="MYG90" s="717"/>
      <c r="MYH90" s="717"/>
      <c r="MYI90" s="717"/>
      <c r="MYJ90" s="717"/>
      <c r="MYK90" s="717"/>
      <c r="MYL90" s="717"/>
      <c r="MYM90" s="717"/>
      <c r="MYN90" s="717"/>
      <c r="MYO90" s="717"/>
      <c r="MYP90" s="717"/>
      <c r="MYQ90" s="717"/>
      <c r="MYR90" s="717"/>
      <c r="MYS90" s="717"/>
      <c r="MYT90" s="717"/>
      <c r="MYU90" s="717"/>
      <c r="MYV90" s="717"/>
      <c r="MYW90" s="717"/>
      <c r="MYX90" s="717"/>
      <c r="MYY90" s="717"/>
      <c r="MYZ90" s="717"/>
      <c r="MZA90" s="717"/>
      <c r="MZB90" s="717"/>
      <c r="MZC90" s="717"/>
      <c r="MZD90" s="717"/>
      <c r="MZE90" s="717"/>
      <c r="MZF90" s="717"/>
      <c r="MZG90" s="717"/>
      <c r="MZN90" s="717"/>
      <c r="MZO90" s="717"/>
      <c r="MZP90" s="717"/>
      <c r="MZQ90" s="717"/>
      <c r="MZR90" s="717"/>
      <c r="MZS90" s="717"/>
      <c r="MZT90" s="717"/>
      <c r="MZU90" s="717"/>
      <c r="MZV90" s="717"/>
      <c r="MZW90" s="717"/>
      <c r="MZX90" s="717"/>
      <c r="MZY90" s="717"/>
      <c r="MZZ90" s="717"/>
      <c r="NAA90" s="717"/>
      <c r="NAB90" s="717"/>
      <c r="NAC90" s="717"/>
      <c r="NAD90" s="717"/>
      <c r="NAE90" s="717"/>
      <c r="NAF90" s="717"/>
      <c r="NAG90" s="717"/>
      <c r="NAH90" s="717"/>
      <c r="NAI90" s="717"/>
      <c r="NAJ90" s="717"/>
      <c r="NAK90" s="717"/>
      <c r="NAL90" s="717"/>
      <c r="NAM90" s="717"/>
      <c r="NAN90" s="717"/>
      <c r="NAO90" s="717"/>
      <c r="NAP90" s="717"/>
      <c r="NAQ90" s="717"/>
      <c r="NAR90" s="717"/>
      <c r="NAS90" s="717"/>
      <c r="NAT90" s="717"/>
      <c r="NAU90" s="717"/>
      <c r="NAV90" s="717"/>
      <c r="NAW90" s="717"/>
      <c r="NAX90" s="717"/>
      <c r="NAY90" s="717"/>
      <c r="NAZ90" s="717"/>
      <c r="NBA90" s="717"/>
      <c r="NBB90" s="717"/>
      <c r="NBC90" s="717"/>
      <c r="NBD90" s="717"/>
      <c r="NBE90" s="717"/>
      <c r="NBF90" s="717"/>
      <c r="NBG90" s="717"/>
      <c r="NBH90" s="717"/>
      <c r="NBI90" s="717"/>
      <c r="NBJ90" s="717"/>
      <c r="NBK90" s="717"/>
      <c r="NBL90" s="717"/>
      <c r="NBM90" s="717"/>
      <c r="NBN90" s="717"/>
      <c r="NBO90" s="717"/>
      <c r="NBP90" s="717"/>
      <c r="NBQ90" s="717"/>
      <c r="NBR90" s="717"/>
      <c r="NBS90" s="717"/>
      <c r="NBT90" s="717"/>
      <c r="NBU90" s="717"/>
      <c r="NBV90" s="717"/>
      <c r="NBW90" s="717"/>
      <c r="NBX90" s="717"/>
      <c r="NBY90" s="717"/>
      <c r="NBZ90" s="717"/>
      <c r="NCA90" s="717"/>
      <c r="NCB90" s="717"/>
      <c r="NCC90" s="717"/>
      <c r="NCD90" s="717"/>
      <c r="NCE90" s="717"/>
      <c r="NCF90" s="717"/>
      <c r="NCG90" s="717"/>
      <c r="NCH90" s="717"/>
      <c r="NCI90" s="717"/>
      <c r="NCJ90" s="717"/>
      <c r="NCK90" s="717"/>
      <c r="NCL90" s="717"/>
      <c r="NCM90" s="717"/>
      <c r="NCN90" s="717"/>
      <c r="NCO90" s="717"/>
      <c r="NCP90" s="717"/>
      <c r="NCQ90" s="717"/>
      <c r="NCR90" s="717"/>
      <c r="NCS90" s="717"/>
      <c r="NCT90" s="717"/>
      <c r="NCU90" s="717"/>
      <c r="NCV90" s="717"/>
      <c r="NCW90" s="717"/>
      <c r="NCX90" s="717"/>
      <c r="NCY90" s="717"/>
      <c r="NCZ90" s="717"/>
      <c r="NDA90" s="717"/>
      <c r="NDB90" s="717"/>
      <c r="NDC90" s="717"/>
      <c r="NDD90" s="717"/>
      <c r="NDE90" s="717"/>
      <c r="NDF90" s="717"/>
      <c r="NDG90" s="717"/>
      <c r="NDH90" s="717"/>
      <c r="NDI90" s="717"/>
      <c r="NDJ90" s="717"/>
      <c r="NDK90" s="717"/>
      <c r="NDL90" s="717"/>
      <c r="NDM90" s="717"/>
      <c r="NDN90" s="717"/>
      <c r="NDO90" s="717"/>
      <c r="NDP90" s="717"/>
      <c r="NDQ90" s="717"/>
      <c r="NDR90" s="717"/>
      <c r="NDS90" s="717"/>
      <c r="NDT90" s="717"/>
      <c r="NDU90" s="717"/>
      <c r="NDV90" s="717"/>
      <c r="NDW90" s="717"/>
      <c r="NDX90" s="717"/>
      <c r="NDY90" s="717"/>
      <c r="NDZ90" s="717"/>
      <c r="NEA90" s="717"/>
      <c r="NEB90" s="717"/>
      <c r="NEC90" s="717"/>
      <c r="NED90" s="717"/>
      <c r="NEE90" s="717"/>
      <c r="NEF90" s="717"/>
      <c r="NEG90" s="717"/>
      <c r="NEH90" s="717"/>
      <c r="NEI90" s="717"/>
      <c r="NEJ90" s="717"/>
      <c r="NEK90" s="717"/>
      <c r="NEL90" s="717"/>
      <c r="NEM90" s="717"/>
      <c r="NEN90" s="717"/>
      <c r="NEO90" s="717"/>
      <c r="NEP90" s="717"/>
      <c r="NEQ90" s="717"/>
      <c r="NER90" s="717"/>
      <c r="NES90" s="717"/>
      <c r="NET90" s="717"/>
      <c r="NEU90" s="717"/>
      <c r="NEV90" s="717"/>
      <c r="NEW90" s="717"/>
      <c r="NEX90" s="717"/>
      <c r="NEY90" s="717"/>
      <c r="NEZ90" s="717"/>
      <c r="NFA90" s="717"/>
      <c r="NFB90" s="717"/>
      <c r="NFC90" s="717"/>
      <c r="NFD90" s="717"/>
      <c r="NFE90" s="717"/>
      <c r="NFF90" s="717"/>
      <c r="NFG90" s="717"/>
      <c r="NFH90" s="717"/>
      <c r="NFI90" s="717"/>
      <c r="NFJ90" s="717"/>
      <c r="NFK90" s="717"/>
      <c r="NFL90" s="717"/>
      <c r="NFM90" s="717"/>
      <c r="NFN90" s="717"/>
      <c r="NFO90" s="717"/>
      <c r="NFP90" s="717"/>
      <c r="NFQ90" s="717"/>
      <c r="NFR90" s="717"/>
      <c r="NFS90" s="717"/>
      <c r="NFT90" s="717"/>
      <c r="NFU90" s="717"/>
      <c r="NFV90" s="717"/>
      <c r="NFW90" s="717"/>
      <c r="NFX90" s="717"/>
      <c r="NFY90" s="717"/>
      <c r="NFZ90" s="717"/>
      <c r="NGA90" s="717"/>
      <c r="NGB90" s="717"/>
      <c r="NGC90" s="717"/>
      <c r="NGD90" s="717"/>
      <c r="NGE90" s="717"/>
      <c r="NGF90" s="717"/>
      <c r="NGG90" s="717"/>
      <c r="NGH90" s="717"/>
      <c r="NGI90" s="717"/>
      <c r="NGJ90" s="717"/>
      <c r="NGK90" s="717"/>
      <c r="NGL90" s="717"/>
      <c r="NGM90" s="717"/>
      <c r="NGN90" s="717"/>
      <c r="NGO90" s="717"/>
      <c r="NGP90" s="717"/>
      <c r="NGQ90" s="717"/>
      <c r="NGR90" s="717"/>
      <c r="NGS90" s="717"/>
      <c r="NGT90" s="717"/>
      <c r="NGU90" s="717"/>
      <c r="NGV90" s="717"/>
      <c r="NGW90" s="717"/>
      <c r="NGX90" s="717"/>
      <c r="NGY90" s="717"/>
      <c r="NGZ90" s="717"/>
      <c r="NHA90" s="717"/>
      <c r="NHB90" s="717"/>
      <c r="NHC90" s="717"/>
      <c r="NHD90" s="717"/>
      <c r="NHE90" s="717"/>
      <c r="NHF90" s="717"/>
      <c r="NHG90" s="717"/>
      <c r="NHH90" s="717"/>
      <c r="NHI90" s="717"/>
      <c r="NHJ90" s="717"/>
      <c r="NHK90" s="717"/>
      <c r="NHL90" s="717"/>
      <c r="NHM90" s="717"/>
      <c r="NHN90" s="717"/>
      <c r="NHO90" s="717"/>
      <c r="NHP90" s="717"/>
      <c r="NHQ90" s="717"/>
      <c r="NHR90" s="717"/>
      <c r="NHS90" s="717"/>
      <c r="NHT90" s="717"/>
      <c r="NHU90" s="717"/>
      <c r="NHV90" s="717"/>
      <c r="NHW90" s="717"/>
      <c r="NHX90" s="717"/>
      <c r="NHY90" s="717"/>
      <c r="NHZ90" s="717"/>
      <c r="NIA90" s="717"/>
      <c r="NIB90" s="717"/>
      <c r="NIC90" s="717"/>
      <c r="NID90" s="717"/>
      <c r="NIE90" s="717"/>
      <c r="NIF90" s="717"/>
      <c r="NIG90" s="717"/>
      <c r="NIH90" s="717"/>
      <c r="NII90" s="717"/>
      <c r="NIJ90" s="717"/>
      <c r="NIK90" s="717"/>
      <c r="NIL90" s="717"/>
      <c r="NIM90" s="717"/>
      <c r="NIN90" s="717"/>
      <c r="NIO90" s="717"/>
      <c r="NIP90" s="717"/>
      <c r="NIQ90" s="717"/>
      <c r="NIR90" s="717"/>
      <c r="NIS90" s="717"/>
      <c r="NIT90" s="717"/>
      <c r="NIU90" s="717"/>
      <c r="NIV90" s="717"/>
      <c r="NIW90" s="717"/>
      <c r="NIX90" s="717"/>
      <c r="NIY90" s="717"/>
      <c r="NIZ90" s="717"/>
      <c r="NJA90" s="717"/>
      <c r="NJB90" s="717"/>
      <c r="NJC90" s="717"/>
      <c r="NJJ90" s="717"/>
      <c r="NJK90" s="717"/>
      <c r="NJL90" s="717"/>
      <c r="NJM90" s="717"/>
      <c r="NJN90" s="717"/>
      <c r="NJO90" s="717"/>
      <c r="NJP90" s="717"/>
      <c r="NJQ90" s="717"/>
      <c r="NJR90" s="717"/>
      <c r="NJS90" s="717"/>
      <c r="NJT90" s="717"/>
      <c r="NJU90" s="717"/>
      <c r="NJV90" s="717"/>
      <c r="NJW90" s="717"/>
      <c r="NJX90" s="717"/>
      <c r="NJY90" s="717"/>
      <c r="NJZ90" s="717"/>
      <c r="NKA90" s="717"/>
      <c r="NKB90" s="717"/>
      <c r="NKC90" s="717"/>
      <c r="NKD90" s="717"/>
      <c r="NKE90" s="717"/>
      <c r="NKF90" s="717"/>
      <c r="NKG90" s="717"/>
      <c r="NKH90" s="717"/>
      <c r="NKI90" s="717"/>
      <c r="NKJ90" s="717"/>
      <c r="NKK90" s="717"/>
      <c r="NKL90" s="717"/>
      <c r="NKM90" s="717"/>
      <c r="NKN90" s="717"/>
      <c r="NKO90" s="717"/>
      <c r="NKP90" s="717"/>
      <c r="NKQ90" s="717"/>
      <c r="NKR90" s="717"/>
      <c r="NKS90" s="717"/>
      <c r="NKT90" s="717"/>
      <c r="NKU90" s="717"/>
      <c r="NKV90" s="717"/>
      <c r="NKW90" s="717"/>
      <c r="NKX90" s="717"/>
      <c r="NKY90" s="717"/>
      <c r="NKZ90" s="717"/>
      <c r="NLA90" s="717"/>
      <c r="NLB90" s="717"/>
      <c r="NLC90" s="717"/>
      <c r="NLD90" s="717"/>
      <c r="NLE90" s="717"/>
      <c r="NLF90" s="717"/>
      <c r="NLG90" s="717"/>
      <c r="NLH90" s="717"/>
      <c r="NLI90" s="717"/>
      <c r="NLJ90" s="717"/>
      <c r="NLK90" s="717"/>
      <c r="NLL90" s="717"/>
      <c r="NLM90" s="717"/>
      <c r="NLN90" s="717"/>
      <c r="NLO90" s="717"/>
      <c r="NLP90" s="717"/>
      <c r="NLQ90" s="717"/>
      <c r="NLR90" s="717"/>
      <c r="NLS90" s="717"/>
      <c r="NLT90" s="717"/>
      <c r="NLU90" s="717"/>
      <c r="NLV90" s="717"/>
      <c r="NLW90" s="717"/>
      <c r="NLX90" s="717"/>
      <c r="NLY90" s="717"/>
      <c r="NLZ90" s="717"/>
      <c r="NMA90" s="717"/>
      <c r="NMB90" s="717"/>
      <c r="NMC90" s="717"/>
      <c r="NMD90" s="717"/>
      <c r="NME90" s="717"/>
      <c r="NMF90" s="717"/>
      <c r="NMG90" s="717"/>
      <c r="NMH90" s="717"/>
      <c r="NMI90" s="717"/>
      <c r="NMJ90" s="717"/>
      <c r="NMK90" s="717"/>
      <c r="NML90" s="717"/>
      <c r="NMM90" s="717"/>
      <c r="NMN90" s="717"/>
      <c r="NMO90" s="717"/>
      <c r="NMP90" s="717"/>
      <c r="NMQ90" s="717"/>
      <c r="NMR90" s="717"/>
      <c r="NMS90" s="717"/>
      <c r="NMT90" s="717"/>
      <c r="NMU90" s="717"/>
      <c r="NMV90" s="717"/>
      <c r="NMW90" s="717"/>
      <c r="NMX90" s="717"/>
      <c r="NMY90" s="717"/>
      <c r="NMZ90" s="717"/>
      <c r="NNA90" s="717"/>
      <c r="NNB90" s="717"/>
      <c r="NNC90" s="717"/>
      <c r="NND90" s="717"/>
      <c r="NNE90" s="717"/>
      <c r="NNF90" s="717"/>
      <c r="NNG90" s="717"/>
      <c r="NNH90" s="717"/>
      <c r="NNI90" s="717"/>
      <c r="NNJ90" s="717"/>
      <c r="NNK90" s="717"/>
      <c r="NNL90" s="717"/>
      <c r="NNM90" s="717"/>
      <c r="NNN90" s="717"/>
      <c r="NNO90" s="717"/>
      <c r="NNP90" s="717"/>
      <c r="NNQ90" s="717"/>
      <c r="NNR90" s="717"/>
      <c r="NNS90" s="717"/>
      <c r="NNT90" s="717"/>
      <c r="NNU90" s="717"/>
      <c r="NNV90" s="717"/>
      <c r="NNW90" s="717"/>
      <c r="NNX90" s="717"/>
      <c r="NNY90" s="717"/>
      <c r="NNZ90" s="717"/>
      <c r="NOA90" s="717"/>
      <c r="NOB90" s="717"/>
      <c r="NOC90" s="717"/>
      <c r="NOD90" s="717"/>
      <c r="NOE90" s="717"/>
      <c r="NOF90" s="717"/>
      <c r="NOG90" s="717"/>
      <c r="NOH90" s="717"/>
      <c r="NOI90" s="717"/>
      <c r="NOJ90" s="717"/>
      <c r="NOK90" s="717"/>
      <c r="NOL90" s="717"/>
      <c r="NOM90" s="717"/>
      <c r="NON90" s="717"/>
      <c r="NOO90" s="717"/>
      <c r="NOP90" s="717"/>
      <c r="NOQ90" s="717"/>
      <c r="NOR90" s="717"/>
      <c r="NOS90" s="717"/>
      <c r="NOT90" s="717"/>
      <c r="NOU90" s="717"/>
      <c r="NOV90" s="717"/>
      <c r="NOW90" s="717"/>
      <c r="NOX90" s="717"/>
      <c r="NOY90" s="717"/>
      <c r="NOZ90" s="717"/>
      <c r="NPA90" s="717"/>
      <c r="NPB90" s="717"/>
      <c r="NPC90" s="717"/>
      <c r="NPD90" s="717"/>
      <c r="NPE90" s="717"/>
      <c r="NPF90" s="717"/>
      <c r="NPG90" s="717"/>
      <c r="NPH90" s="717"/>
      <c r="NPI90" s="717"/>
      <c r="NPJ90" s="717"/>
      <c r="NPK90" s="717"/>
      <c r="NPL90" s="717"/>
      <c r="NPM90" s="717"/>
      <c r="NPN90" s="717"/>
      <c r="NPO90" s="717"/>
      <c r="NPP90" s="717"/>
      <c r="NPQ90" s="717"/>
      <c r="NPR90" s="717"/>
      <c r="NPS90" s="717"/>
      <c r="NPT90" s="717"/>
      <c r="NPU90" s="717"/>
      <c r="NPV90" s="717"/>
      <c r="NPW90" s="717"/>
      <c r="NPX90" s="717"/>
      <c r="NPY90" s="717"/>
      <c r="NPZ90" s="717"/>
      <c r="NQA90" s="717"/>
      <c r="NQB90" s="717"/>
      <c r="NQC90" s="717"/>
      <c r="NQD90" s="717"/>
      <c r="NQE90" s="717"/>
      <c r="NQF90" s="717"/>
      <c r="NQG90" s="717"/>
      <c r="NQH90" s="717"/>
      <c r="NQI90" s="717"/>
      <c r="NQJ90" s="717"/>
      <c r="NQK90" s="717"/>
      <c r="NQL90" s="717"/>
      <c r="NQM90" s="717"/>
      <c r="NQN90" s="717"/>
      <c r="NQO90" s="717"/>
      <c r="NQP90" s="717"/>
      <c r="NQQ90" s="717"/>
      <c r="NQR90" s="717"/>
      <c r="NQS90" s="717"/>
      <c r="NQT90" s="717"/>
      <c r="NQU90" s="717"/>
      <c r="NQV90" s="717"/>
      <c r="NQW90" s="717"/>
      <c r="NQX90" s="717"/>
      <c r="NQY90" s="717"/>
      <c r="NQZ90" s="717"/>
      <c r="NRA90" s="717"/>
      <c r="NRB90" s="717"/>
      <c r="NRC90" s="717"/>
      <c r="NRD90" s="717"/>
      <c r="NRE90" s="717"/>
      <c r="NRF90" s="717"/>
      <c r="NRG90" s="717"/>
      <c r="NRH90" s="717"/>
      <c r="NRI90" s="717"/>
      <c r="NRJ90" s="717"/>
      <c r="NRK90" s="717"/>
      <c r="NRL90" s="717"/>
      <c r="NRM90" s="717"/>
      <c r="NRN90" s="717"/>
      <c r="NRO90" s="717"/>
      <c r="NRP90" s="717"/>
      <c r="NRQ90" s="717"/>
      <c r="NRR90" s="717"/>
      <c r="NRS90" s="717"/>
      <c r="NRT90" s="717"/>
      <c r="NRU90" s="717"/>
      <c r="NRV90" s="717"/>
      <c r="NRW90" s="717"/>
      <c r="NRX90" s="717"/>
      <c r="NRY90" s="717"/>
      <c r="NRZ90" s="717"/>
      <c r="NSA90" s="717"/>
      <c r="NSB90" s="717"/>
      <c r="NSC90" s="717"/>
      <c r="NSD90" s="717"/>
      <c r="NSE90" s="717"/>
      <c r="NSF90" s="717"/>
      <c r="NSG90" s="717"/>
      <c r="NSH90" s="717"/>
      <c r="NSI90" s="717"/>
      <c r="NSJ90" s="717"/>
      <c r="NSK90" s="717"/>
      <c r="NSL90" s="717"/>
      <c r="NSM90" s="717"/>
      <c r="NSN90" s="717"/>
      <c r="NSO90" s="717"/>
      <c r="NSP90" s="717"/>
      <c r="NSQ90" s="717"/>
      <c r="NSR90" s="717"/>
      <c r="NSS90" s="717"/>
      <c r="NST90" s="717"/>
      <c r="NSU90" s="717"/>
      <c r="NSV90" s="717"/>
      <c r="NSW90" s="717"/>
      <c r="NSX90" s="717"/>
      <c r="NSY90" s="717"/>
      <c r="NTF90" s="717"/>
      <c r="NTG90" s="717"/>
      <c r="NTH90" s="717"/>
      <c r="NTI90" s="717"/>
      <c r="NTJ90" s="717"/>
      <c r="NTK90" s="717"/>
      <c r="NTL90" s="717"/>
      <c r="NTM90" s="717"/>
      <c r="NTN90" s="717"/>
      <c r="NTO90" s="717"/>
      <c r="NTP90" s="717"/>
      <c r="NTQ90" s="717"/>
      <c r="NTR90" s="717"/>
      <c r="NTS90" s="717"/>
      <c r="NTT90" s="717"/>
      <c r="NTU90" s="717"/>
      <c r="NTV90" s="717"/>
      <c r="NTW90" s="717"/>
      <c r="NTX90" s="717"/>
      <c r="NTY90" s="717"/>
      <c r="NTZ90" s="717"/>
      <c r="NUA90" s="717"/>
      <c r="NUB90" s="717"/>
      <c r="NUC90" s="717"/>
      <c r="NUD90" s="717"/>
      <c r="NUE90" s="717"/>
      <c r="NUF90" s="717"/>
      <c r="NUG90" s="717"/>
      <c r="NUH90" s="717"/>
      <c r="NUI90" s="717"/>
      <c r="NUJ90" s="717"/>
      <c r="NUK90" s="717"/>
      <c r="NUL90" s="717"/>
      <c r="NUM90" s="717"/>
      <c r="NUN90" s="717"/>
      <c r="NUO90" s="717"/>
      <c r="NUP90" s="717"/>
      <c r="NUQ90" s="717"/>
      <c r="NUR90" s="717"/>
      <c r="NUS90" s="717"/>
      <c r="NUT90" s="717"/>
      <c r="NUU90" s="717"/>
      <c r="NUV90" s="717"/>
      <c r="NUW90" s="717"/>
      <c r="NUX90" s="717"/>
      <c r="NUY90" s="717"/>
      <c r="NUZ90" s="717"/>
      <c r="NVA90" s="717"/>
      <c r="NVB90" s="717"/>
      <c r="NVC90" s="717"/>
      <c r="NVD90" s="717"/>
      <c r="NVE90" s="717"/>
      <c r="NVF90" s="717"/>
      <c r="NVG90" s="717"/>
      <c r="NVH90" s="717"/>
      <c r="NVI90" s="717"/>
      <c r="NVJ90" s="717"/>
      <c r="NVK90" s="717"/>
      <c r="NVL90" s="717"/>
      <c r="NVM90" s="717"/>
      <c r="NVN90" s="717"/>
      <c r="NVO90" s="717"/>
      <c r="NVP90" s="717"/>
      <c r="NVQ90" s="717"/>
      <c r="NVR90" s="717"/>
      <c r="NVS90" s="717"/>
      <c r="NVT90" s="717"/>
      <c r="NVU90" s="717"/>
      <c r="NVV90" s="717"/>
      <c r="NVW90" s="717"/>
      <c r="NVX90" s="717"/>
      <c r="NVY90" s="717"/>
      <c r="NVZ90" s="717"/>
      <c r="NWA90" s="717"/>
      <c r="NWB90" s="717"/>
      <c r="NWC90" s="717"/>
      <c r="NWD90" s="717"/>
      <c r="NWE90" s="717"/>
      <c r="NWF90" s="717"/>
      <c r="NWG90" s="717"/>
      <c r="NWH90" s="717"/>
      <c r="NWI90" s="717"/>
      <c r="NWJ90" s="717"/>
      <c r="NWK90" s="717"/>
      <c r="NWL90" s="717"/>
      <c r="NWM90" s="717"/>
      <c r="NWN90" s="717"/>
      <c r="NWO90" s="717"/>
      <c r="NWP90" s="717"/>
      <c r="NWQ90" s="717"/>
      <c r="NWR90" s="717"/>
      <c r="NWS90" s="717"/>
      <c r="NWT90" s="717"/>
      <c r="NWU90" s="717"/>
      <c r="NWV90" s="717"/>
      <c r="NWW90" s="717"/>
      <c r="NWX90" s="717"/>
      <c r="NWY90" s="717"/>
      <c r="NWZ90" s="717"/>
      <c r="NXA90" s="717"/>
      <c r="NXB90" s="717"/>
      <c r="NXC90" s="717"/>
      <c r="NXD90" s="717"/>
      <c r="NXE90" s="717"/>
      <c r="NXF90" s="717"/>
      <c r="NXG90" s="717"/>
      <c r="NXH90" s="717"/>
      <c r="NXI90" s="717"/>
      <c r="NXJ90" s="717"/>
      <c r="NXK90" s="717"/>
      <c r="NXL90" s="717"/>
      <c r="NXM90" s="717"/>
      <c r="NXN90" s="717"/>
      <c r="NXO90" s="717"/>
      <c r="NXP90" s="717"/>
      <c r="NXQ90" s="717"/>
      <c r="NXR90" s="717"/>
      <c r="NXS90" s="717"/>
      <c r="NXT90" s="717"/>
      <c r="NXU90" s="717"/>
      <c r="NXV90" s="717"/>
      <c r="NXW90" s="717"/>
      <c r="NXX90" s="717"/>
      <c r="NXY90" s="717"/>
      <c r="NXZ90" s="717"/>
      <c r="NYA90" s="717"/>
      <c r="NYB90" s="717"/>
      <c r="NYC90" s="717"/>
      <c r="NYD90" s="717"/>
      <c r="NYE90" s="717"/>
      <c r="NYF90" s="717"/>
      <c r="NYG90" s="717"/>
      <c r="NYH90" s="717"/>
      <c r="NYI90" s="717"/>
      <c r="NYJ90" s="717"/>
      <c r="NYK90" s="717"/>
      <c r="NYL90" s="717"/>
      <c r="NYM90" s="717"/>
      <c r="NYN90" s="717"/>
      <c r="NYO90" s="717"/>
      <c r="NYP90" s="717"/>
      <c r="NYQ90" s="717"/>
      <c r="NYR90" s="717"/>
      <c r="NYS90" s="717"/>
      <c r="NYT90" s="717"/>
      <c r="NYU90" s="717"/>
      <c r="NYV90" s="717"/>
      <c r="NYW90" s="717"/>
      <c r="NYX90" s="717"/>
      <c r="NYY90" s="717"/>
      <c r="NYZ90" s="717"/>
      <c r="NZA90" s="717"/>
      <c r="NZB90" s="717"/>
      <c r="NZC90" s="717"/>
      <c r="NZD90" s="717"/>
      <c r="NZE90" s="717"/>
      <c r="NZF90" s="717"/>
      <c r="NZG90" s="717"/>
      <c r="NZH90" s="717"/>
      <c r="NZI90" s="717"/>
      <c r="NZJ90" s="717"/>
      <c r="NZK90" s="717"/>
      <c r="NZL90" s="717"/>
      <c r="NZM90" s="717"/>
      <c r="NZN90" s="717"/>
      <c r="NZO90" s="717"/>
      <c r="NZP90" s="717"/>
      <c r="NZQ90" s="717"/>
      <c r="NZR90" s="717"/>
      <c r="NZS90" s="717"/>
      <c r="NZT90" s="717"/>
      <c r="NZU90" s="717"/>
      <c r="NZV90" s="717"/>
      <c r="NZW90" s="717"/>
      <c r="NZX90" s="717"/>
      <c r="NZY90" s="717"/>
      <c r="NZZ90" s="717"/>
      <c r="OAA90" s="717"/>
      <c r="OAB90" s="717"/>
      <c r="OAC90" s="717"/>
      <c r="OAD90" s="717"/>
      <c r="OAE90" s="717"/>
      <c r="OAF90" s="717"/>
      <c r="OAG90" s="717"/>
      <c r="OAH90" s="717"/>
      <c r="OAI90" s="717"/>
      <c r="OAJ90" s="717"/>
      <c r="OAK90" s="717"/>
      <c r="OAL90" s="717"/>
      <c r="OAM90" s="717"/>
      <c r="OAN90" s="717"/>
      <c r="OAO90" s="717"/>
      <c r="OAP90" s="717"/>
      <c r="OAQ90" s="717"/>
      <c r="OAR90" s="717"/>
      <c r="OAS90" s="717"/>
      <c r="OAT90" s="717"/>
      <c r="OAU90" s="717"/>
      <c r="OAV90" s="717"/>
      <c r="OAW90" s="717"/>
      <c r="OAX90" s="717"/>
      <c r="OAY90" s="717"/>
      <c r="OAZ90" s="717"/>
      <c r="OBA90" s="717"/>
      <c r="OBB90" s="717"/>
      <c r="OBC90" s="717"/>
      <c r="OBD90" s="717"/>
      <c r="OBE90" s="717"/>
      <c r="OBF90" s="717"/>
      <c r="OBG90" s="717"/>
      <c r="OBH90" s="717"/>
      <c r="OBI90" s="717"/>
      <c r="OBJ90" s="717"/>
      <c r="OBK90" s="717"/>
      <c r="OBL90" s="717"/>
      <c r="OBM90" s="717"/>
      <c r="OBN90" s="717"/>
      <c r="OBO90" s="717"/>
      <c r="OBP90" s="717"/>
      <c r="OBQ90" s="717"/>
      <c r="OBR90" s="717"/>
      <c r="OBS90" s="717"/>
      <c r="OBT90" s="717"/>
      <c r="OBU90" s="717"/>
      <c r="OBV90" s="717"/>
      <c r="OBW90" s="717"/>
      <c r="OBX90" s="717"/>
      <c r="OBY90" s="717"/>
      <c r="OBZ90" s="717"/>
      <c r="OCA90" s="717"/>
      <c r="OCB90" s="717"/>
      <c r="OCC90" s="717"/>
      <c r="OCD90" s="717"/>
      <c r="OCE90" s="717"/>
      <c r="OCF90" s="717"/>
      <c r="OCG90" s="717"/>
      <c r="OCH90" s="717"/>
      <c r="OCI90" s="717"/>
      <c r="OCJ90" s="717"/>
      <c r="OCK90" s="717"/>
      <c r="OCL90" s="717"/>
      <c r="OCM90" s="717"/>
      <c r="OCN90" s="717"/>
      <c r="OCO90" s="717"/>
      <c r="OCP90" s="717"/>
      <c r="OCQ90" s="717"/>
      <c r="OCR90" s="717"/>
      <c r="OCS90" s="717"/>
      <c r="OCT90" s="717"/>
      <c r="OCU90" s="717"/>
      <c r="ODB90" s="717"/>
      <c r="ODC90" s="717"/>
      <c r="ODD90" s="717"/>
      <c r="ODE90" s="717"/>
      <c r="ODF90" s="717"/>
      <c r="ODG90" s="717"/>
      <c r="ODH90" s="717"/>
      <c r="ODI90" s="717"/>
      <c r="ODJ90" s="717"/>
      <c r="ODK90" s="717"/>
      <c r="ODL90" s="717"/>
      <c r="ODM90" s="717"/>
      <c r="ODN90" s="717"/>
      <c r="ODO90" s="717"/>
      <c r="ODP90" s="717"/>
      <c r="ODQ90" s="717"/>
      <c r="ODR90" s="717"/>
      <c r="ODS90" s="717"/>
      <c r="ODT90" s="717"/>
      <c r="ODU90" s="717"/>
      <c r="ODV90" s="717"/>
      <c r="ODW90" s="717"/>
      <c r="ODX90" s="717"/>
      <c r="ODY90" s="717"/>
      <c r="ODZ90" s="717"/>
      <c r="OEA90" s="717"/>
      <c r="OEB90" s="717"/>
      <c r="OEC90" s="717"/>
      <c r="OED90" s="717"/>
      <c r="OEE90" s="717"/>
      <c r="OEF90" s="717"/>
      <c r="OEG90" s="717"/>
      <c r="OEH90" s="717"/>
      <c r="OEI90" s="717"/>
      <c r="OEJ90" s="717"/>
      <c r="OEK90" s="717"/>
      <c r="OEL90" s="717"/>
      <c r="OEM90" s="717"/>
      <c r="OEN90" s="717"/>
      <c r="OEO90" s="717"/>
      <c r="OEP90" s="717"/>
      <c r="OEQ90" s="717"/>
      <c r="OER90" s="717"/>
      <c r="OES90" s="717"/>
      <c r="OET90" s="717"/>
      <c r="OEU90" s="717"/>
      <c r="OEV90" s="717"/>
      <c r="OEW90" s="717"/>
      <c r="OEX90" s="717"/>
      <c r="OEY90" s="717"/>
      <c r="OEZ90" s="717"/>
      <c r="OFA90" s="717"/>
      <c r="OFB90" s="717"/>
      <c r="OFC90" s="717"/>
      <c r="OFD90" s="717"/>
      <c r="OFE90" s="717"/>
      <c r="OFF90" s="717"/>
      <c r="OFG90" s="717"/>
      <c r="OFH90" s="717"/>
      <c r="OFI90" s="717"/>
      <c r="OFJ90" s="717"/>
      <c r="OFK90" s="717"/>
      <c r="OFL90" s="717"/>
      <c r="OFM90" s="717"/>
      <c r="OFN90" s="717"/>
      <c r="OFO90" s="717"/>
      <c r="OFP90" s="717"/>
      <c r="OFQ90" s="717"/>
      <c r="OFR90" s="717"/>
      <c r="OFS90" s="717"/>
      <c r="OFT90" s="717"/>
      <c r="OFU90" s="717"/>
      <c r="OFV90" s="717"/>
      <c r="OFW90" s="717"/>
      <c r="OFX90" s="717"/>
      <c r="OFY90" s="717"/>
      <c r="OFZ90" s="717"/>
      <c r="OGA90" s="717"/>
      <c r="OGB90" s="717"/>
      <c r="OGC90" s="717"/>
      <c r="OGD90" s="717"/>
      <c r="OGE90" s="717"/>
      <c r="OGF90" s="717"/>
      <c r="OGG90" s="717"/>
      <c r="OGH90" s="717"/>
      <c r="OGI90" s="717"/>
      <c r="OGJ90" s="717"/>
      <c r="OGK90" s="717"/>
      <c r="OGL90" s="717"/>
      <c r="OGM90" s="717"/>
      <c r="OGN90" s="717"/>
      <c r="OGO90" s="717"/>
      <c r="OGP90" s="717"/>
      <c r="OGQ90" s="717"/>
      <c r="OGR90" s="717"/>
      <c r="OGS90" s="717"/>
      <c r="OGT90" s="717"/>
      <c r="OGU90" s="717"/>
      <c r="OGV90" s="717"/>
      <c r="OGW90" s="717"/>
      <c r="OGX90" s="717"/>
      <c r="OGY90" s="717"/>
      <c r="OGZ90" s="717"/>
      <c r="OHA90" s="717"/>
      <c r="OHB90" s="717"/>
      <c r="OHC90" s="717"/>
      <c r="OHD90" s="717"/>
      <c r="OHE90" s="717"/>
      <c r="OHF90" s="717"/>
      <c r="OHG90" s="717"/>
      <c r="OHH90" s="717"/>
      <c r="OHI90" s="717"/>
      <c r="OHJ90" s="717"/>
      <c r="OHK90" s="717"/>
      <c r="OHL90" s="717"/>
      <c r="OHM90" s="717"/>
      <c r="OHN90" s="717"/>
      <c r="OHO90" s="717"/>
      <c r="OHP90" s="717"/>
      <c r="OHQ90" s="717"/>
      <c r="OHR90" s="717"/>
      <c r="OHS90" s="717"/>
      <c r="OHT90" s="717"/>
      <c r="OHU90" s="717"/>
      <c r="OHV90" s="717"/>
      <c r="OHW90" s="717"/>
      <c r="OHX90" s="717"/>
      <c r="OHY90" s="717"/>
      <c r="OHZ90" s="717"/>
      <c r="OIA90" s="717"/>
      <c r="OIB90" s="717"/>
      <c r="OIC90" s="717"/>
      <c r="OID90" s="717"/>
      <c r="OIE90" s="717"/>
      <c r="OIF90" s="717"/>
      <c r="OIG90" s="717"/>
      <c r="OIH90" s="717"/>
      <c r="OII90" s="717"/>
      <c r="OIJ90" s="717"/>
      <c r="OIK90" s="717"/>
      <c r="OIL90" s="717"/>
      <c r="OIM90" s="717"/>
      <c r="OIN90" s="717"/>
      <c r="OIO90" s="717"/>
      <c r="OIP90" s="717"/>
      <c r="OIQ90" s="717"/>
      <c r="OIR90" s="717"/>
      <c r="OIS90" s="717"/>
      <c r="OIT90" s="717"/>
      <c r="OIU90" s="717"/>
      <c r="OIV90" s="717"/>
      <c r="OIW90" s="717"/>
      <c r="OIX90" s="717"/>
      <c r="OIY90" s="717"/>
      <c r="OIZ90" s="717"/>
      <c r="OJA90" s="717"/>
      <c r="OJB90" s="717"/>
      <c r="OJC90" s="717"/>
      <c r="OJD90" s="717"/>
      <c r="OJE90" s="717"/>
      <c r="OJF90" s="717"/>
      <c r="OJG90" s="717"/>
      <c r="OJH90" s="717"/>
      <c r="OJI90" s="717"/>
      <c r="OJJ90" s="717"/>
      <c r="OJK90" s="717"/>
      <c r="OJL90" s="717"/>
      <c r="OJM90" s="717"/>
      <c r="OJN90" s="717"/>
      <c r="OJO90" s="717"/>
      <c r="OJP90" s="717"/>
      <c r="OJQ90" s="717"/>
      <c r="OJR90" s="717"/>
      <c r="OJS90" s="717"/>
      <c r="OJT90" s="717"/>
      <c r="OJU90" s="717"/>
      <c r="OJV90" s="717"/>
      <c r="OJW90" s="717"/>
      <c r="OJX90" s="717"/>
      <c r="OJY90" s="717"/>
      <c r="OJZ90" s="717"/>
      <c r="OKA90" s="717"/>
      <c r="OKB90" s="717"/>
      <c r="OKC90" s="717"/>
      <c r="OKD90" s="717"/>
      <c r="OKE90" s="717"/>
      <c r="OKF90" s="717"/>
      <c r="OKG90" s="717"/>
      <c r="OKH90" s="717"/>
      <c r="OKI90" s="717"/>
      <c r="OKJ90" s="717"/>
      <c r="OKK90" s="717"/>
      <c r="OKL90" s="717"/>
      <c r="OKM90" s="717"/>
      <c r="OKN90" s="717"/>
      <c r="OKO90" s="717"/>
      <c r="OKP90" s="717"/>
      <c r="OKQ90" s="717"/>
      <c r="OKR90" s="717"/>
      <c r="OKS90" s="717"/>
      <c r="OKT90" s="717"/>
      <c r="OKU90" s="717"/>
      <c r="OKV90" s="717"/>
      <c r="OKW90" s="717"/>
      <c r="OKX90" s="717"/>
      <c r="OKY90" s="717"/>
      <c r="OKZ90" s="717"/>
      <c r="OLA90" s="717"/>
      <c r="OLB90" s="717"/>
      <c r="OLC90" s="717"/>
      <c r="OLD90" s="717"/>
      <c r="OLE90" s="717"/>
      <c r="OLF90" s="717"/>
      <c r="OLG90" s="717"/>
      <c r="OLH90" s="717"/>
      <c r="OLI90" s="717"/>
      <c r="OLJ90" s="717"/>
      <c r="OLK90" s="717"/>
      <c r="OLL90" s="717"/>
      <c r="OLM90" s="717"/>
      <c r="OLN90" s="717"/>
      <c r="OLO90" s="717"/>
      <c r="OLP90" s="717"/>
      <c r="OLQ90" s="717"/>
      <c r="OLR90" s="717"/>
      <c r="OLS90" s="717"/>
      <c r="OLT90" s="717"/>
      <c r="OLU90" s="717"/>
      <c r="OLV90" s="717"/>
      <c r="OLW90" s="717"/>
      <c r="OLX90" s="717"/>
      <c r="OLY90" s="717"/>
      <c r="OLZ90" s="717"/>
      <c r="OMA90" s="717"/>
      <c r="OMB90" s="717"/>
      <c r="OMC90" s="717"/>
      <c r="OMD90" s="717"/>
      <c r="OME90" s="717"/>
      <c r="OMF90" s="717"/>
      <c r="OMG90" s="717"/>
      <c r="OMH90" s="717"/>
      <c r="OMI90" s="717"/>
      <c r="OMJ90" s="717"/>
      <c r="OMK90" s="717"/>
      <c r="OML90" s="717"/>
      <c r="OMM90" s="717"/>
      <c r="OMN90" s="717"/>
      <c r="OMO90" s="717"/>
      <c r="OMP90" s="717"/>
      <c r="OMQ90" s="717"/>
      <c r="OMX90" s="717"/>
      <c r="OMY90" s="717"/>
      <c r="OMZ90" s="717"/>
      <c r="ONA90" s="717"/>
      <c r="ONB90" s="717"/>
      <c r="ONC90" s="717"/>
      <c r="OND90" s="717"/>
      <c r="ONE90" s="717"/>
      <c r="ONF90" s="717"/>
      <c r="ONG90" s="717"/>
      <c r="ONH90" s="717"/>
      <c r="ONI90" s="717"/>
      <c r="ONJ90" s="717"/>
      <c r="ONK90" s="717"/>
      <c r="ONL90" s="717"/>
      <c r="ONM90" s="717"/>
      <c r="ONN90" s="717"/>
      <c r="ONO90" s="717"/>
      <c r="ONP90" s="717"/>
      <c r="ONQ90" s="717"/>
      <c r="ONR90" s="717"/>
      <c r="ONS90" s="717"/>
      <c r="ONT90" s="717"/>
      <c r="ONU90" s="717"/>
      <c r="ONV90" s="717"/>
      <c r="ONW90" s="717"/>
      <c r="ONX90" s="717"/>
      <c r="ONY90" s="717"/>
      <c r="ONZ90" s="717"/>
      <c r="OOA90" s="717"/>
      <c r="OOB90" s="717"/>
      <c r="OOC90" s="717"/>
      <c r="OOD90" s="717"/>
      <c r="OOE90" s="717"/>
      <c r="OOF90" s="717"/>
      <c r="OOG90" s="717"/>
      <c r="OOH90" s="717"/>
      <c r="OOI90" s="717"/>
      <c r="OOJ90" s="717"/>
      <c r="OOK90" s="717"/>
      <c r="OOL90" s="717"/>
      <c r="OOM90" s="717"/>
      <c r="OON90" s="717"/>
      <c r="OOO90" s="717"/>
      <c r="OOP90" s="717"/>
      <c r="OOQ90" s="717"/>
      <c r="OOR90" s="717"/>
      <c r="OOS90" s="717"/>
      <c r="OOT90" s="717"/>
      <c r="OOU90" s="717"/>
      <c r="OOV90" s="717"/>
      <c r="OOW90" s="717"/>
      <c r="OOX90" s="717"/>
      <c r="OOY90" s="717"/>
      <c r="OOZ90" s="717"/>
      <c r="OPA90" s="717"/>
      <c r="OPB90" s="717"/>
      <c r="OPC90" s="717"/>
      <c r="OPD90" s="717"/>
      <c r="OPE90" s="717"/>
      <c r="OPF90" s="717"/>
      <c r="OPG90" s="717"/>
      <c r="OPH90" s="717"/>
      <c r="OPI90" s="717"/>
      <c r="OPJ90" s="717"/>
      <c r="OPK90" s="717"/>
      <c r="OPL90" s="717"/>
      <c r="OPM90" s="717"/>
      <c r="OPN90" s="717"/>
      <c r="OPO90" s="717"/>
      <c r="OPP90" s="717"/>
      <c r="OPQ90" s="717"/>
      <c r="OPR90" s="717"/>
      <c r="OPS90" s="717"/>
      <c r="OPT90" s="717"/>
      <c r="OPU90" s="717"/>
      <c r="OPV90" s="717"/>
      <c r="OPW90" s="717"/>
      <c r="OPX90" s="717"/>
      <c r="OPY90" s="717"/>
      <c r="OPZ90" s="717"/>
      <c r="OQA90" s="717"/>
      <c r="OQB90" s="717"/>
      <c r="OQC90" s="717"/>
      <c r="OQD90" s="717"/>
      <c r="OQE90" s="717"/>
      <c r="OQF90" s="717"/>
      <c r="OQG90" s="717"/>
      <c r="OQH90" s="717"/>
      <c r="OQI90" s="717"/>
      <c r="OQJ90" s="717"/>
      <c r="OQK90" s="717"/>
      <c r="OQL90" s="717"/>
      <c r="OQM90" s="717"/>
      <c r="OQN90" s="717"/>
      <c r="OQO90" s="717"/>
      <c r="OQP90" s="717"/>
      <c r="OQQ90" s="717"/>
      <c r="OQR90" s="717"/>
      <c r="OQS90" s="717"/>
      <c r="OQT90" s="717"/>
      <c r="OQU90" s="717"/>
      <c r="OQV90" s="717"/>
      <c r="OQW90" s="717"/>
      <c r="OQX90" s="717"/>
      <c r="OQY90" s="717"/>
      <c r="OQZ90" s="717"/>
      <c r="ORA90" s="717"/>
      <c r="ORB90" s="717"/>
      <c r="ORC90" s="717"/>
      <c r="ORD90" s="717"/>
      <c r="ORE90" s="717"/>
      <c r="ORF90" s="717"/>
      <c r="ORG90" s="717"/>
      <c r="ORH90" s="717"/>
      <c r="ORI90" s="717"/>
      <c r="ORJ90" s="717"/>
      <c r="ORK90" s="717"/>
      <c r="ORL90" s="717"/>
      <c r="ORM90" s="717"/>
      <c r="ORN90" s="717"/>
      <c r="ORO90" s="717"/>
      <c r="ORP90" s="717"/>
      <c r="ORQ90" s="717"/>
      <c r="ORR90" s="717"/>
      <c r="ORS90" s="717"/>
      <c r="ORT90" s="717"/>
      <c r="ORU90" s="717"/>
      <c r="ORV90" s="717"/>
      <c r="ORW90" s="717"/>
      <c r="ORX90" s="717"/>
      <c r="ORY90" s="717"/>
      <c r="ORZ90" s="717"/>
      <c r="OSA90" s="717"/>
      <c r="OSB90" s="717"/>
      <c r="OSC90" s="717"/>
      <c r="OSD90" s="717"/>
      <c r="OSE90" s="717"/>
      <c r="OSF90" s="717"/>
      <c r="OSG90" s="717"/>
      <c r="OSH90" s="717"/>
      <c r="OSI90" s="717"/>
      <c r="OSJ90" s="717"/>
      <c r="OSK90" s="717"/>
      <c r="OSL90" s="717"/>
      <c r="OSM90" s="717"/>
      <c r="OSN90" s="717"/>
      <c r="OSO90" s="717"/>
      <c r="OSP90" s="717"/>
      <c r="OSQ90" s="717"/>
      <c r="OSR90" s="717"/>
      <c r="OSS90" s="717"/>
      <c r="OST90" s="717"/>
      <c r="OSU90" s="717"/>
      <c r="OSV90" s="717"/>
      <c r="OSW90" s="717"/>
      <c r="OSX90" s="717"/>
      <c r="OSY90" s="717"/>
      <c r="OSZ90" s="717"/>
      <c r="OTA90" s="717"/>
      <c r="OTB90" s="717"/>
      <c r="OTC90" s="717"/>
      <c r="OTD90" s="717"/>
      <c r="OTE90" s="717"/>
      <c r="OTF90" s="717"/>
      <c r="OTG90" s="717"/>
      <c r="OTH90" s="717"/>
      <c r="OTI90" s="717"/>
      <c r="OTJ90" s="717"/>
      <c r="OTK90" s="717"/>
      <c r="OTL90" s="717"/>
      <c r="OTM90" s="717"/>
      <c r="OTN90" s="717"/>
      <c r="OTO90" s="717"/>
      <c r="OTP90" s="717"/>
      <c r="OTQ90" s="717"/>
      <c r="OTR90" s="717"/>
      <c r="OTS90" s="717"/>
      <c r="OTT90" s="717"/>
      <c r="OTU90" s="717"/>
      <c r="OTV90" s="717"/>
      <c r="OTW90" s="717"/>
      <c r="OTX90" s="717"/>
      <c r="OTY90" s="717"/>
      <c r="OTZ90" s="717"/>
      <c r="OUA90" s="717"/>
      <c r="OUB90" s="717"/>
      <c r="OUC90" s="717"/>
      <c r="OUD90" s="717"/>
      <c r="OUE90" s="717"/>
      <c r="OUF90" s="717"/>
      <c r="OUG90" s="717"/>
      <c r="OUH90" s="717"/>
      <c r="OUI90" s="717"/>
      <c r="OUJ90" s="717"/>
      <c r="OUK90" s="717"/>
      <c r="OUL90" s="717"/>
      <c r="OUM90" s="717"/>
      <c r="OUN90" s="717"/>
      <c r="OUO90" s="717"/>
      <c r="OUP90" s="717"/>
      <c r="OUQ90" s="717"/>
      <c r="OUR90" s="717"/>
      <c r="OUS90" s="717"/>
      <c r="OUT90" s="717"/>
      <c r="OUU90" s="717"/>
      <c r="OUV90" s="717"/>
      <c r="OUW90" s="717"/>
      <c r="OUX90" s="717"/>
      <c r="OUY90" s="717"/>
      <c r="OUZ90" s="717"/>
      <c r="OVA90" s="717"/>
      <c r="OVB90" s="717"/>
      <c r="OVC90" s="717"/>
      <c r="OVD90" s="717"/>
      <c r="OVE90" s="717"/>
      <c r="OVF90" s="717"/>
      <c r="OVG90" s="717"/>
      <c r="OVH90" s="717"/>
      <c r="OVI90" s="717"/>
      <c r="OVJ90" s="717"/>
      <c r="OVK90" s="717"/>
      <c r="OVL90" s="717"/>
      <c r="OVM90" s="717"/>
      <c r="OVN90" s="717"/>
      <c r="OVO90" s="717"/>
      <c r="OVP90" s="717"/>
      <c r="OVQ90" s="717"/>
      <c r="OVR90" s="717"/>
      <c r="OVS90" s="717"/>
      <c r="OVT90" s="717"/>
      <c r="OVU90" s="717"/>
      <c r="OVV90" s="717"/>
      <c r="OVW90" s="717"/>
      <c r="OVX90" s="717"/>
      <c r="OVY90" s="717"/>
      <c r="OVZ90" s="717"/>
      <c r="OWA90" s="717"/>
      <c r="OWB90" s="717"/>
      <c r="OWC90" s="717"/>
      <c r="OWD90" s="717"/>
      <c r="OWE90" s="717"/>
      <c r="OWF90" s="717"/>
      <c r="OWG90" s="717"/>
      <c r="OWH90" s="717"/>
      <c r="OWI90" s="717"/>
      <c r="OWJ90" s="717"/>
      <c r="OWK90" s="717"/>
      <c r="OWL90" s="717"/>
      <c r="OWM90" s="717"/>
      <c r="OWT90" s="717"/>
      <c r="OWU90" s="717"/>
      <c r="OWV90" s="717"/>
      <c r="OWW90" s="717"/>
      <c r="OWX90" s="717"/>
      <c r="OWY90" s="717"/>
      <c r="OWZ90" s="717"/>
      <c r="OXA90" s="717"/>
      <c r="OXB90" s="717"/>
      <c r="OXC90" s="717"/>
      <c r="OXD90" s="717"/>
      <c r="OXE90" s="717"/>
      <c r="OXF90" s="717"/>
      <c r="OXG90" s="717"/>
      <c r="OXH90" s="717"/>
      <c r="OXI90" s="717"/>
      <c r="OXJ90" s="717"/>
      <c r="OXK90" s="717"/>
      <c r="OXL90" s="717"/>
      <c r="OXM90" s="717"/>
      <c r="OXN90" s="717"/>
      <c r="OXO90" s="717"/>
      <c r="OXP90" s="717"/>
      <c r="OXQ90" s="717"/>
      <c r="OXR90" s="717"/>
      <c r="OXS90" s="717"/>
      <c r="OXT90" s="717"/>
      <c r="OXU90" s="717"/>
      <c r="OXV90" s="717"/>
      <c r="OXW90" s="717"/>
      <c r="OXX90" s="717"/>
      <c r="OXY90" s="717"/>
      <c r="OXZ90" s="717"/>
      <c r="OYA90" s="717"/>
      <c r="OYB90" s="717"/>
      <c r="OYC90" s="717"/>
      <c r="OYD90" s="717"/>
      <c r="OYE90" s="717"/>
      <c r="OYF90" s="717"/>
      <c r="OYG90" s="717"/>
      <c r="OYH90" s="717"/>
      <c r="OYI90" s="717"/>
      <c r="OYJ90" s="717"/>
      <c r="OYK90" s="717"/>
      <c r="OYL90" s="717"/>
      <c r="OYM90" s="717"/>
      <c r="OYN90" s="717"/>
      <c r="OYO90" s="717"/>
      <c r="OYP90" s="717"/>
      <c r="OYQ90" s="717"/>
      <c r="OYR90" s="717"/>
      <c r="OYS90" s="717"/>
      <c r="OYT90" s="717"/>
      <c r="OYU90" s="717"/>
      <c r="OYV90" s="717"/>
      <c r="OYW90" s="717"/>
      <c r="OYX90" s="717"/>
      <c r="OYY90" s="717"/>
      <c r="OYZ90" s="717"/>
      <c r="OZA90" s="717"/>
      <c r="OZB90" s="717"/>
      <c r="OZC90" s="717"/>
      <c r="OZD90" s="717"/>
      <c r="OZE90" s="717"/>
      <c r="OZF90" s="717"/>
      <c r="OZG90" s="717"/>
      <c r="OZH90" s="717"/>
      <c r="OZI90" s="717"/>
      <c r="OZJ90" s="717"/>
      <c r="OZK90" s="717"/>
      <c r="OZL90" s="717"/>
      <c r="OZM90" s="717"/>
      <c r="OZN90" s="717"/>
      <c r="OZO90" s="717"/>
      <c r="OZP90" s="717"/>
      <c r="OZQ90" s="717"/>
      <c r="OZR90" s="717"/>
      <c r="OZS90" s="717"/>
      <c r="OZT90" s="717"/>
      <c r="OZU90" s="717"/>
      <c r="OZV90" s="717"/>
      <c r="OZW90" s="717"/>
      <c r="OZX90" s="717"/>
      <c r="OZY90" s="717"/>
      <c r="OZZ90" s="717"/>
      <c r="PAA90" s="717"/>
      <c r="PAB90" s="717"/>
      <c r="PAC90" s="717"/>
      <c r="PAD90" s="717"/>
      <c r="PAE90" s="717"/>
      <c r="PAF90" s="717"/>
      <c r="PAG90" s="717"/>
      <c r="PAH90" s="717"/>
      <c r="PAI90" s="717"/>
      <c r="PAJ90" s="717"/>
      <c r="PAK90" s="717"/>
      <c r="PAL90" s="717"/>
      <c r="PAM90" s="717"/>
      <c r="PAN90" s="717"/>
      <c r="PAO90" s="717"/>
      <c r="PAP90" s="717"/>
      <c r="PAQ90" s="717"/>
      <c r="PAR90" s="717"/>
      <c r="PAS90" s="717"/>
      <c r="PAT90" s="717"/>
      <c r="PAU90" s="717"/>
      <c r="PAV90" s="717"/>
      <c r="PAW90" s="717"/>
      <c r="PAX90" s="717"/>
      <c r="PAY90" s="717"/>
      <c r="PAZ90" s="717"/>
      <c r="PBA90" s="717"/>
      <c r="PBB90" s="717"/>
      <c r="PBC90" s="717"/>
      <c r="PBD90" s="717"/>
      <c r="PBE90" s="717"/>
      <c r="PBF90" s="717"/>
      <c r="PBG90" s="717"/>
      <c r="PBH90" s="717"/>
      <c r="PBI90" s="717"/>
      <c r="PBJ90" s="717"/>
      <c r="PBK90" s="717"/>
      <c r="PBL90" s="717"/>
      <c r="PBM90" s="717"/>
      <c r="PBN90" s="717"/>
      <c r="PBO90" s="717"/>
      <c r="PBP90" s="717"/>
      <c r="PBQ90" s="717"/>
      <c r="PBR90" s="717"/>
      <c r="PBS90" s="717"/>
      <c r="PBT90" s="717"/>
      <c r="PBU90" s="717"/>
      <c r="PBV90" s="717"/>
      <c r="PBW90" s="717"/>
      <c r="PBX90" s="717"/>
      <c r="PBY90" s="717"/>
      <c r="PBZ90" s="717"/>
      <c r="PCA90" s="717"/>
      <c r="PCB90" s="717"/>
      <c r="PCC90" s="717"/>
      <c r="PCD90" s="717"/>
      <c r="PCE90" s="717"/>
      <c r="PCF90" s="717"/>
      <c r="PCG90" s="717"/>
      <c r="PCH90" s="717"/>
      <c r="PCI90" s="717"/>
      <c r="PCJ90" s="717"/>
      <c r="PCK90" s="717"/>
      <c r="PCL90" s="717"/>
      <c r="PCM90" s="717"/>
      <c r="PCN90" s="717"/>
      <c r="PCO90" s="717"/>
      <c r="PCP90" s="717"/>
      <c r="PCQ90" s="717"/>
      <c r="PCR90" s="717"/>
      <c r="PCS90" s="717"/>
      <c r="PCT90" s="717"/>
      <c r="PCU90" s="717"/>
      <c r="PCV90" s="717"/>
      <c r="PCW90" s="717"/>
      <c r="PCX90" s="717"/>
      <c r="PCY90" s="717"/>
      <c r="PCZ90" s="717"/>
      <c r="PDA90" s="717"/>
      <c r="PDB90" s="717"/>
      <c r="PDC90" s="717"/>
      <c r="PDD90" s="717"/>
      <c r="PDE90" s="717"/>
      <c r="PDF90" s="717"/>
      <c r="PDG90" s="717"/>
      <c r="PDH90" s="717"/>
      <c r="PDI90" s="717"/>
      <c r="PDJ90" s="717"/>
      <c r="PDK90" s="717"/>
      <c r="PDL90" s="717"/>
      <c r="PDM90" s="717"/>
      <c r="PDN90" s="717"/>
      <c r="PDO90" s="717"/>
      <c r="PDP90" s="717"/>
      <c r="PDQ90" s="717"/>
      <c r="PDR90" s="717"/>
      <c r="PDS90" s="717"/>
      <c r="PDT90" s="717"/>
      <c r="PDU90" s="717"/>
      <c r="PDV90" s="717"/>
      <c r="PDW90" s="717"/>
      <c r="PDX90" s="717"/>
      <c r="PDY90" s="717"/>
      <c r="PDZ90" s="717"/>
      <c r="PEA90" s="717"/>
      <c r="PEB90" s="717"/>
      <c r="PEC90" s="717"/>
      <c r="PED90" s="717"/>
      <c r="PEE90" s="717"/>
      <c r="PEF90" s="717"/>
      <c r="PEG90" s="717"/>
      <c r="PEH90" s="717"/>
      <c r="PEI90" s="717"/>
      <c r="PEJ90" s="717"/>
      <c r="PEK90" s="717"/>
      <c r="PEL90" s="717"/>
      <c r="PEM90" s="717"/>
      <c r="PEN90" s="717"/>
      <c r="PEO90" s="717"/>
      <c r="PEP90" s="717"/>
      <c r="PEQ90" s="717"/>
      <c r="PER90" s="717"/>
      <c r="PES90" s="717"/>
      <c r="PET90" s="717"/>
      <c r="PEU90" s="717"/>
      <c r="PEV90" s="717"/>
      <c r="PEW90" s="717"/>
      <c r="PEX90" s="717"/>
      <c r="PEY90" s="717"/>
      <c r="PEZ90" s="717"/>
      <c r="PFA90" s="717"/>
      <c r="PFB90" s="717"/>
      <c r="PFC90" s="717"/>
      <c r="PFD90" s="717"/>
      <c r="PFE90" s="717"/>
      <c r="PFF90" s="717"/>
      <c r="PFG90" s="717"/>
      <c r="PFH90" s="717"/>
      <c r="PFI90" s="717"/>
      <c r="PFJ90" s="717"/>
      <c r="PFK90" s="717"/>
      <c r="PFL90" s="717"/>
      <c r="PFM90" s="717"/>
      <c r="PFN90" s="717"/>
      <c r="PFO90" s="717"/>
      <c r="PFP90" s="717"/>
      <c r="PFQ90" s="717"/>
      <c r="PFR90" s="717"/>
      <c r="PFS90" s="717"/>
      <c r="PFT90" s="717"/>
      <c r="PFU90" s="717"/>
      <c r="PFV90" s="717"/>
      <c r="PFW90" s="717"/>
      <c r="PFX90" s="717"/>
      <c r="PFY90" s="717"/>
      <c r="PFZ90" s="717"/>
      <c r="PGA90" s="717"/>
      <c r="PGB90" s="717"/>
      <c r="PGC90" s="717"/>
      <c r="PGD90" s="717"/>
      <c r="PGE90" s="717"/>
      <c r="PGF90" s="717"/>
      <c r="PGG90" s="717"/>
      <c r="PGH90" s="717"/>
      <c r="PGI90" s="717"/>
      <c r="PGP90" s="717"/>
      <c r="PGQ90" s="717"/>
      <c r="PGR90" s="717"/>
      <c r="PGS90" s="717"/>
      <c r="PGT90" s="717"/>
      <c r="PGU90" s="717"/>
      <c r="PGV90" s="717"/>
      <c r="PGW90" s="717"/>
      <c r="PGX90" s="717"/>
      <c r="PGY90" s="717"/>
      <c r="PGZ90" s="717"/>
      <c r="PHA90" s="717"/>
      <c r="PHB90" s="717"/>
      <c r="PHC90" s="717"/>
      <c r="PHD90" s="717"/>
      <c r="PHE90" s="717"/>
      <c r="PHF90" s="717"/>
      <c r="PHG90" s="717"/>
      <c r="PHH90" s="717"/>
      <c r="PHI90" s="717"/>
      <c r="PHJ90" s="717"/>
      <c r="PHK90" s="717"/>
      <c r="PHL90" s="717"/>
      <c r="PHM90" s="717"/>
      <c r="PHN90" s="717"/>
      <c r="PHO90" s="717"/>
      <c r="PHP90" s="717"/>
      <c r="PHQ90" s="717"/>
      <c r="PHR90" s="717"/>
      <c r="PHS90" s="717"/>
      <c r="PHT90" s="717"/>
      <c r="PHU90" s="717"/>
      <c r="PHV90" s="717"/>
      <c r="PHW90" s="717"/>
      <c r="PHX90" s="717"/>
      <c r="PHY90" s="717"/>
      <c r="PHZ90" s="717"/>
      <c r="PIA90" s="717"/>
      <c r="PIB90" s="717"/>
      <c r="PIC90" s="717"/>
      <c r="PID90" s="717"/>
      <c r="PIE90" s="717"/>
      <c r="PIF90" s="717"/>
      <c r="PIG90" s="717"/>
      <c r="PIH90" s="717"/>
      <c r="PII90" s="717"/>
      <c r="PIJ90" s="717"/>
      <c r="PIK90" s="717"/>
      <c r="PIL90" s="717"/>
      <c r="PIM90" s="717"/>
      <c r="PIN90" s="717"/>
      <c r="PIO90" s="717"/>
      <c r="PIP90" s="717"/>
      <c r="PIQ90" s="717"/>
      <c r="PIR90" s="717"/>
      <c r="PIS90" s="717"/>
      <c r="PIT90" s="717"/>
      <c r="PIU90" s="717"/>
      <c r="PIV90" s="717"/>
      <c r="PIW90" s="717"/>
      <c r="PIX90" s="717"/>
      <c r="PIY90" s="717"/>
      <c r="PIZ90" s="717"/>
      <c r="PJA90" s="717"/>
      <c r="PJB90" s="717"/>
      <c r="PJC90" s="717"/>
      <c r="PJD90" s="717"/>
      <c r="PJE90" s="717"/>
      <c r="PJF90" s="717"/>
      <c r="PJG90" s="717"/>
      <c r="PJH90" s="717"/>
      <c r="PJI90" s="717"/>
      <c r="PJJ90" s="717"/>
      <c r="PJK90" s="717"/>
      <c r="PJL90" s="717"/>
      <c r="PJM90" s="717"/>
      <c r="PJN90" s="717"/>
      <c r="PJO90" s="717"/>
      <c r="PJP90" s="717"/>
      <c r="PJQ90" s="717"/>
      <c r="PJR90" s="717"/>
      <c r="PJS90" s="717"/>
      <c r="PJT90" s="717"/>
      <c r="PJU90" s="717"/>
      <c r="PJV90" s="717"/>
      <c r="PJW90" s="717"/>
      <c r="PJX90" s="717"/>
      <c r="PJY90" s="717"/>
      <c r="PJZ90" s="717"/>
      <c r="PKA90" s="717"/>
      <c r="PKB90" s="717"/>
      <c r="PKC90" s="717"/>
      <c r="PKD90" s="717"/>
      <c r="PKE90" s="717"/>
      <c r="PKF90" s="717"/>
      <c r="PKG90" s="717"/>
      <c r="PKH90" s="717"/>
      <c r="PKI90" s="717"/>
      <c r="PKJ90" s="717"/>
      <c r="PKK90" s="717"/>
      <c r="PKL90" s="717"/>
      <c r="PKM90" s="717"/>
      <c r="PKN90" s="717"/>
      <c r="PKO90" s="717"/>
      <c r="PKP90" s="717"/>
      <c r="PKQ90" s="717"/>
      <c r="PKR90" s="717"/>
      <c r="PKS90" s="717"/>
      <c r="PKT90" s="717"/>
      <c r="PKU90" s="717"/>
      <c r="PKV90" s="717"/>
      <c r="PKW90" s="717"/>
      <c r="PKX90" s="717"/>
      <c r="PKY90" s="717"/>
      <c r="PKZ90" s="717"/>
      <c r="PLA90" s="717"/>
      <c r="PLB90" s="717"/>
      <c r="PLC90" s="717"/>
      <c r="PLD90" s="717"/>
      <c r="PLE90" s="717"/>
      <c r="PLF90" s="717"/>
      <c r="PLG90" s="717"/>
      <c r="PLH90" s="717"/>
      <c r="PLI90" s="717"/>
      <c r="PLJ90" s="717"/>
      <c r="PLK90" s="717"/>
      <c r="PLL90" s="717"/>
      <c r="PLM90" s="717"/>
      <c r="PLN90" s="717"/>
      <c r="PLO90" s="717"/>
      <c r="PLP90" s="717"/>
      <c r="PLQ90" s="717"/>
      <c r="PLR90" s="717"/>
      <c r="PLS90" s="717"/>
      <c r="PLT90" s="717"/>
      <c r="PLU90" s="717"/>
      <c r="PLV90" s="717"/>
      <c r="PLW90" s="717"/>
      <c r="PLX90" s="717"/>
      <c r="PLY90" s="717"/>
      <c r="PLZ90" s="717"/>
      <c r="PMA90" s="717"/>
      <c r="PMB90" s="717"/>
      <c r="PMC90" s="717"/>
      <c r="PMD90" s="717"/>
      <c r="PME90" s="717"/>
      <c r="PMF90" s="717"/>
      <c r="PMG90" s="717"/>
      <c r="PMH90" s="717"/>
      <c r="PMI90" s="717"/>
      <c r="PMJ90" s="717"/>
      <c r="PMK90" s="717"/>
      <c r="PML90" s="717"/>
      <c r="PMM90" s="717"/>
      <c r="PMN90" s="717"/>
      <c r="PMO90" s="717"/>
      <c r="PMP90" s="717"/>
      <c r="PMQ90" s="717"/>
      <c r="PMR90" s="717"/>
      <c r="PMS90" s="717"/>
      <c r="PMT90" s="717"/>
      <c r="PMU90" s="717"/>
      <c r="PMV90" s="717"/>
      <c r="PMW90" s="717"/>
      <c r="PMX90" s="717"/>
      <c r="PMY90" s="717"/>
      <c r="PMZ90" s="717"/>
      <c r="PNA90" s="717"/>
      <c r="PNB90" s="717"/>
      <c r="PNC90" s="717"/>
      <c r="PND90" s="717"/>
      <c r="PNE90" s="717"/>
      <c r="PNF90" s="717"/>
      <c r="PNG90" s="717"/>
      <c r="PNH90" s="717"/>
      <c r="PNI90" s="717"/>
      <c r="PNJ90" s="717"/>
      <c r="PNK90" s="717"/>
      <c r="PNL90" s="717"/>
      <c r="PNM90" s="717"/>
      <c r="PNN90" s="717"/>
      <c r="PNO90" s="717"/>
      <c r="PNP90" s="717"/>
      <c r="PNQ90" s="717"/>
      <c r="PNR90" s="717"/>
      <c r="PNS90" s="717"/>
      <c r="PNT90" s="717"/>
      <c r="PNU90" s="717"/>
      <c r="PNV90" s="717"/>
      <c r="PNW90" s="717"/>
      <c r="PNX90" s="717"/>
      <c r="PNY90" s="717"/>
      <c r="PNZ90" s="717"/>
      <c r="POA90" s="717"/>
      <c r="POB90" s="717"/>
      <c r="POC90" s="717"/>
      <c r="POD90" s="717"/>
      <c r="POE90" s="717"/>
      <c r="POF90" s="717"/>
      <c r="POG90" s="717"/>
      <c r="POH90" s="717"/>
      <c r="POI90" s="717"/>
      <c r="POJ90" s="717"/>
      <c r="POK90" s="717"/>
      <c r="POL90" s="717"/>
      <c r="POM90" s="717"/>
      <c r="PON90" s="717"/>
      <c r="POO90" s="717"/>
      <c r="POP90" s="717"/>
      <c r="POQ90" s="717"/>
      <c r="POR90" s="717"/>
      <c r="POS90" s="717"/>
      <c r="POT90" s="717"/>
      <c r="POU90" s="717"/>
      <c r="POV90" s="717"/>
      <c r="POW90" s="717"/>
      <c r="POX90" s="717"/>
      <c r="POY90" s="717"/>
      <c r="POZ90" s="717"/>
      <c r="PPA90" s="717"/>
      <c r="PPB90" s="717"/>
      <c r="PPC90" s="717"/>
      <c r="PPD90" s="717"/>
      <c r="PPE90" s="717"/>
      <c r="PPF90" s="717"/>
      <c r="PPG90" s="717"/>
      <c r="PPH90" s="717"/>
      <c r="PPI90" s="717"/>
      <c r="PPJ90" s="717"/>
      <c r="PPK90" s="717"/>
      <c r="PPL90" s="717"/>
      <c r="PPM90" s="717"/>
      <c r="PPN90" s="717"/>
      <c r="PPO90" s="717"/>
      <c r="PPP90" s="717"/>
      <c r="PPQ90" s="717"/>
      <c r="PPR90" s="717"/>
      <c r="PPS90" s="717"/>
      <c r="PPT90" s="717"/>
      <c r="PPU90" s="717"/>
      <c r="PPV90" s="717"/>
      <c r="PPW90" s="717"/>
      <c r="PPX90" s="717"/>
      <c r="PPY90" s="717"/>
      <c r="PPZ90" s="717"/>
      <c r="PQA90" s="717"/>
      <c r="PQB90" s="717"/>
      <c r="PQC90" s="717"/>
      <c r="PQD90" s="717"/>
      <c r="PQE90" s="717"/>
      <c r="PQL90" s="717"/>
      <c r="PQM90" s="717"/>
      <c r="PQN90" s="717"/>
      <c r="PQO90" s="717"/>
      <c r="PQP90" s="717"/>
      <c r="PQQ90" s="717"/>
      <c r="PQR90" s="717"/>
      <c r="PQS90" s="717"/>
      <c r="PQT90" s="717"/>
      <c r="PQU90" s="717"/>
      <c r="PQV90" s="717"/>
      <c r="PQW90" s="717"/>
      <c r="PQX90" s="717"/>
      <c r="PQY90" s="717"/>
      <c r="PQZ90" s="717"/>
      <c r="PRA90" s="717"/>
      <c r="PRB90" s="717"/>
      <c r="PRC90" s="717"/>
      <c r="PRD90" s="717"/>
      <c r="PRE90" s="717"/>
      <c r="PRF90" s="717"/>
      <c r="PRG90" s="717"/>
      <c r="PRH90" s="717"/>
      <c r="PRI90" s="717"/>
      <c r="PRJ90" s="717"/>
      <c r="PRK90" s="717"/>
      <c r="PRL90" s="717"/>
      <c r="PRM90" s="717"/>
      <c r="PRN90" s="717"/>
      <c r="PRO90" s="717"/>
      <c r="PRP90" s="717"/>
      <c r="PRQ90" s="717"/>
      <c r="PRR90" s="717"/>
      <c r="PRS90" s="717"/>
      <c r="PRT90" s="717"/>
      <c r="PRU90" s="717"/>
      <c r="PRV90" s="717"/>
      <c r="PRW90" s="717"/>
      <c r="PRX90" s="717"/>
      <c r="PRY90" s="717"/>
      <c r="PRZ90" s="717"/>
      <c r="PSA90" s="717"/>
      <c r="PSB90" s="717"/>
      <c r="PSC90" s="717"/>
      <c r="PSD90" s="717"/>
      <c r="PSE90" s="717"/>
      <c r="PSF90" s="717"/>
      <c r="PSG90" s="717"/>
      <c r="PSH90" s="717"/>
      <c r="PSI90" s="717"/>
      <c r="PSJ90" s="717"/>
      <c r="PSK90" s="717"/>
      <c r="PSL90" s="717"/>
      <c r="PSM90" s="717"/>
      <c r="PSN90" s="717"/>
      <c r="PSO90" s="717"/>
      <c r="PSP90" s="717"/>
      <c r="PSQ90" s="717"/>
      <c r="PSR90" s="717"/>
      <c r="PSS90" s="717"/>
      <c r="PST90" s="717"/>
      <c r="PSU90" s="717"/>
      <c r="PSV90" s="717"/>
      <c r="PSW90" s="717"/>
      <c r="PSX90" s="717"/>
      <c r="PSY90" s="717"/>
      <c r="PSZ90" s="717"/>
      <c r="PTA90" s="717"/>
      <c r="PTB90" s="717"/>
      <c r="PTC90" s="717"/>
      <c r="PTD90" s="717"/>
      <c r="PTE90" s="717"/>
      <c r="PTF90" s="717"/>
      <c r="PTG90" s="717"/>
      <c r="PTH90" s="717"/>
      <c r="PTI90" s="717"/>
      <c r="PTJ90" s="717"/>
      <c r="PTK90" s="717"/>
      <c r="PTL90" s="717"/>
      <c r="PTM90" s="717"/>
      <c r="PTN90" s="717"/>
      <c r="PTO90" s="717"/>
      <c r="PTP90" s="717"/>
      <c r="PTQ90" s="717"/>
      <c r="PTR90" s="717"/>
      <c r="PTS90" s="717"/>
      <c r="PTT90" s="717"/>
      <c r="PTU90" s="717"/>
      <c r="PTV90" s="717"/>
      <c r="PTW90" s="717"/>
      <c r="PTX90" s="717"/>
      <c r="PTY90" s="717"/>
      <c r="PTZ90" s="717"/>
      <c r="PUA90" s="717"/>
      <c r="PUB90" s="717"/>
      <c r="PUC90" s="717"/>
      <c r="PUD90" s="717"/>
      <c r="PUE90" s="717"/>
      <c r="PUF90" s="717"/>
      <c r="PUG90" s="717"/>
      <c r="PUH90" s="717"/>
      <c r="PUI90" s="717"/>
      <c r="PUJ90" s="717"/>
      <c r="PUK90" s="717"/>
      <c r="PUL90" s="717"/>
      <c r="PUM90" s="717"/>
      <c r="PUN90" s="717"/>
      <c r="PUO90" s="717"/>
      <c r="PUP90" s="717"/>
      <c r="PUQ90" s="717"/>
      <c r="PUR90" s="717"/>
      <c r="PUS90" s="717"/>
      <c r="PUT90" s="717"/>
      <c r="PUU90" s="717"/>
      <c r="PUV90" s="717"/>
      <c r="PUW90" s="717"/>
      <c r="PUX90" s="717"/>
      <c r="PUY90" s="717"/>
      <c r="PUZ90" s="717"/>
      <c r="PVA90" s="717"/>
      <c r="PVB90" s="717"/>
      <c r="PVC90" s="717"/>
      <c r="PVD90" s="717"/>
      <c r="PVE90" s="717"/>
      <c r="PVF90" s="717"/>
      <c r="PVG90" s="717"/>
      <c r="PVH90" s="717"/>
      <c r="PVI90" s="717"/>
      <c r="PVJ90" s="717"/>
      <c r="PVK90" s="717"/>
      <c r="PVL90" s="717"/>
      <c r="PVM90" s="717"/>
      <c r="PVN90" s="717"/>
      <c r="PVO90" s="717"/>
      <c r="PVP90" s="717"/>
      <c r="PVQ90" s="717"/>
      <c r="PVR90" s="717"/>
      <c r="PVS90" s="717"/>
      <c r="PVT90" s="717"/>
      <c r="PVU90" s="717"/>
      <c r="PVV90" s="717"/>
      <c r="PVW90" s="717"/>
      <c r="PVX90" s="717"/>
      <c r="PVY90" s="717"/>
      <c r="PVZ90" s="717"/>
      <c r="PWA90" s="717"/>
      <c r="PWB90" s="717"/>
      <c r="PWC90" s="717"/>
      <c r="PWD90" s="717"/>
      <c r="PWE90" s="717"/>
      <c r="PWF90" s="717"/>
      <c r="PWG90" s="717"/>
      <c r="PWH90" s="717"/>
      <c r="PWI90" s="717"/>
      <c r="PWJ90" s="717"/>
      <c r="PWK90" s="717"/>
      <c r="PWL90" s="717"/>
      <c r="PWM90" s="717"/>
      <c r="PWN90" s="717"/>
      <c r="PWO90" s="717"/>
      <c r="PWP90" s="717"/>
      <c r="PWQ90" s="717"/>
      <c r="PWR90" s="717"/>
      <c r="PWS90" s="717"/>
      <c r="PWT90" s="717"/>
      <c r="PWU90" s="717"/>
      <c r="PWV90" s="717"/>
      <c r="PWW90" s="717"/>
      <c r="PWX90" s="717"/>
      <c r="PWY90" s="717"/>
      <c r="PWZ90" s="717"/>
      <c r="PXA90" s="717"/>
      <c r="PXB90" s="717"/>
      <c r="PXC90" s="717"/>
      <c r="PXD90" s="717"/>
      <c r="PXE90" s="717"/>
      <c r="PXF90" s="717"/>
      <c r="PXG90" s="717"/>
      <c r="PXH90" s="717"/>
      <c r="PXI90" s="717"/>
      <c r="PXJ90" s="717"/>
      <c r="PXK90" s="717"/>
      <c r="PXL90" s="717"/>
      <c r="PXM90" s="717"/>
      <c r="PXN90" s="717"/>
      <c r="PXO90" s="717"/>
      <c r="PXP90" s="717"/>
      <c r="PXQ90" s="717"/>
      <c r="PXR90" s="717"/>
      <c r="PXS90" s="717"/>
      <c r="PXT90" s="717"/>
      <c r="PXU90" s="717"/>
      <c r="PXV90" s="717"/>
      <c r="PXW90" s="717"/>
      <c r="PXX90" s="717"/>
      <c r="PXY90" s="717"/>
      <c r="PXZ90" s="717"/>
      <c r="PYA90" s="717"/>
      <c r="PYB90" s="717"/>
      <c r="PYC90" s="717"/>
      <c r="PYD90" s="717"/>
      <c r="PYE90" s="717"/>
      <c r="PYF90" s="717"/>
      <c r="PYG90" s="717"/>
      <c r="PYH90" s="717"/>
      <c r="PYI90" s="717"/>
      <c r="PYJ90" s="717"/>
      <c r="PYK90" s="717"/>
      <c r="PYL90" s="717"/>
      <c r="PYM90" s="717"/>
      <c r="PYN90" s="717"/>
      <c r="PYO90" s="717"/>
      <c r="PYP90" s="717"/>
      <c r="PYQ90" s="717"/>
      <c r="PYR90" s="717"/>
      <c r="PYS90" s="717"/>
      <c r="PYT90" s="717"/>
      <c r="PYU90" s="717"/>
      <c r="PYV90" s="717"/>
      <c r="PYW90" s="717"/>
      <c r="PYX90" s="717"/>
      <c r="PYY90" s="717"/>
      <c r="PYZ90" s="717"/>
      <c r="PZA90" s="717"/>
      <c r="PZB90" s="717"/>
      <c r="PZC90" s="717"/>
      <c r="PZD90" s="717"/>
      <c r="PZE90" s="717"/>
      <c r="PZF90" s="717"/>
      <c r="PZG90" s="717"/>
      <c r="PZH90" s="717"/>
      <c r="PZI90" s="717"/>
      <c r="PZJ90" s="717"/>
      <c r="PZK90" s="717"/>
      <c r="PZL90" s="717"/>
      <c r="PZM90" s="717"/>
      <c r="PZN90" s="717"/>
      <c r="PZO90" s="717"/>
      <c r="PZP90" s="717"/>
      <c r="PZQ90" s="717"/>
      <c r="PZR90" s="717"/>
      <c r="PZS90" s="717"/>
      <c r="PZT90" s="717"/>
      <c r="PZU90" s="717"/>
      <c r="PZV90" s="717"/>
      <c r="PZW90" s="717"/>
      <c r="PZX90" s="717"/>
      <c r="PZY90" s="717"/>
      <c r="PZZ90" s="717"/>
      <c r="QAA90" s="717"/>
      <c r="QAH90" s="717"/>
      <c r="QAI90" s="717"/>
      <c r="QAJ90" s="717"/>
      <c r="QAK90" s="717"/>
      <c r="QAL90" s="717"/>
      <c r="QAM90" s="717"/>
      <c r="QAN90" s="717"/>
      <c r="QAO90" s="717"/>
      <c r="QAP90" s="717"/>
      <c r="QAQ90" s="717"/>
      <c r="QAR90" s="717"/>
      <c r="QAS90" s="717"/>
      <c r="QAT90" s="717"/>
      <c r="QAU90" s="717"/>
      <c r="QAV90" s="717"/>
      <c r="QAW90" s="717"/>
      <c r="QAX90" s="717"/>
      <c r="QAY90" s="717"/>
      <c r="QAZ90" s="717"/>
      <c r="QBA90" s="717"/>
      <c r="QBB90" s="717"/>
      <c r="QBC90" s="717"/>
      <c r="QBD90" s="717"/>
      <c r="QBE90" s="717"/>
      <c r="QBF90" s="717"/>
      <c r="QBG90" s="717"/>
      <c r="QBH90" s="717"/>
      <c r="QBI90" s="717"/>
      <c r="QBJ90" s="717"/>
      <c r="QBK90" s="717"/>
      <c r="QBL90" s="717"/>
      <c r="QBM90" s="717"/>
      <c r="QBN90" s="717"/>
      <c r="QBO90" s="717"/>
      <c r="QBP90" s="717"/>
      <c r="QBQ90" s="717"/>
      <c r="QBR90" s="717"/>
      <c r="QBS90" s="717"/>
      <c r="QBT90" s="717"/>
      <c r="QBU90" s="717"/>
      <c r="QBV90" s="717"/>
      <c r="QBW90" s="717"/>
      <c r="QBX90" s="717"/>
      <c r="QBY90" s="717"/>
      <c r="QBZ90" s="717"/>
      <c r="QCA90" s="717"/>
      <c r="QCB90" s="717"/>
      <c r="QCC90" s="717"/>
      <c r="QCD90" s="717"/>
      <c r="QCE90" s="717"/>
      <c r="QCF90" s="717"/>
      <c r="QCG90" s="717"/>
      <c r="QCH90" s="717"/>
      <c r="QCI90" s="717"/>
      <c r="QCJ90" s="717"/>
      <c r="QCK90" s="717"/>
      <c r="QCL90" s="717"/>
      <c r="QCM90" s="717"/>
      <c r="QCN90" s="717"/>
      <c r="QCO90" s="717"/>
      <c r="QCP90" s="717"/>
      <c r="QCQ90" s="717"/>
      <c r="QCR90" s="717"/>
      <c r="QCS90" s="717"/>
      <c r="QCT90" s="717"/>
      <c r="QCU90" s="717"/>
      <c r="QCV90" s="717"/>
      <c r="QCW90" s="717"/>
      <c r="QCX90" s="717"/>
      <c r="QCY90" s="717"/>
      <c r="QCZ90" s="717"/>
      <c r="QDA90" s="717"/>
      <c r="QDB90" s="717"/>
      <c r="QDC90" s="717"/>
      <c r="QDD90" s="717"/>
      <c r="QDE90" s="717"/>
      <c r="QDF90" s="717"/>
      <c r="QDG90" s="717"/>
      <c r="QDH90" s="717"/>
      <c r="QDI90" s="717"/>
      <c r="QDJ90" s="717"/>
      <c r="QDK90" s="717"/>
      <c r="QDL90" s="717"/>
      <c r="QDM90" s="717"/>
      <c r="QDN90" s="717"/>
      <c r="QDO90" s="717"/>
      <c r="QDP90" s="717"/>
      <c r="QDQ90" s="717"/>
      <c r="QDR90" s="717"/>
      <c r="QDS90" s="717"/>
      <c r="QDT90" s="717"/>
      <c r="QDU90" s="717"/>
      <c r="QDV90" s="717"/>
      <c r="QDW90" s="717"/>
      <c r="QDX90" s="717"/>
      <c r="QDY90" s="717"/>
      <c r="QDZ90" s="717"/>
      <c r="QEA90" s="717"/>
      <c r="QEB90" s="717"/>
      <c r="QEC90" s="717"/>
      <c r="QED90" s="717"/>
      <c r="QEE90" s="717"/>
      <c r="QEF90" s="717"/>
      <c r="QEG90" s="717"/>
      <c r="QEH90" s="717"/>
      <c r="QEI90" s="717"/>
      <c r="QEJ90" s="717"/>
      <c r="QEK90" s="717"/>
      <c r="QEL90" s="717"/>
      <c r="QEM90" s="717"/>
      <c r="QEN90" s="717"/>
      <c r="QEO90" s="717"/>
      <c r="QEP90" s="717"/>
      <c r="QEQ90" s="717"/>
      <c r="QER90" s="717"/>
      <c r="QES90" s="717"/>
      <c r="QET90" s="717"/>
      <c r="QEU90" s="717"/>
      <c r="QEV90" s="717"/>
      <c r="QEW90" s="717"/>
      <c r="QEX90" s="717"/>
      <c r="QEY90" s="717"/>
      <c r="QEZ90" s="717"/>
      <c r="QFA90" s="717"/>
      <c r="QFB90" s="717"/>
      <c r="QFC90" s="717"/>
      <c r="QFD90" s="717"/>
      <c r="QFE90" s="717"/>
      <c r="QFF90" s="717"/>
      <c r="QFG90" s="717"/>
      <c r="QFH90" s="717"/>
      <c r="QFI90" s="717"/>
      <c r="QFJ90" s="717"/>
      <c r="QFK90" s="717"/>
      <c r="QFL90" s="717"/>
      <c r="QFM90" s="717"/>
      <c r="QFN90" s="717"/>
      <c r="QFO90" s="717"/>
      <c r="QFP90" s="717"/>
      <c r="QFQ90" s="717"/>
      <c r="QFR90" s="717"/>
      <c r="QFS90" s="717"/>
      <c r="QFT90" s="717"/>
      <c r="QFU90" s="717"/>
      <c r="QFV90" s="717"/>
      <c r="QFW90" s="717"/>
      <c r="QFX90" s="717"/>
      <c r="QFY90" s="717"/>
      <c r="QFZ90" s="717"/>
      <c r="QGA90" s="717"/>
      <c r="QGB90" s="717"/>
      <c r="QGC90" s="717"/>
      <c r="QGD90" s="717"/>
      <c r="QGE90" s="717"/>
      <c r="QGF90" s="717"/>
      <c r="QGG90" s="717"/>
      <c r="QGH90" s="717"/>
      <c r="QGI90" s="717"/>
      <c r="QGJ90" s="717"/>
      <c r="QGK90" s="717"/>
      <c r="QGL90" s="717"/>
      <c r="QGM90" s="717"/>
      <c r="QGN90" s="717"/>
      <c r="QGO90" s="717"/>
      <c r="QGP90" s="717"/>
      <c r="QGQ90" s="717"/>
      <c r="QGR90" s="717"/>
      <c r="QGS90" s="717"/>
      <c r="QGT90" s="717"/>
      <c r="QGU90" s="717"/>
      <c r="QGV90" s="717"/>
      <c r="QGW90" s="717"/>
      <c r="QGX90" s="717"/>
      <c r="QGY90" s="717"/>
      <c r="QGZ90" s="717"/>
      <c r="QHA90" s="717"/>
      <c r="QHB90" s="717"/>
      <c r="QHC90" s="717"/>
      <c r="QHD90" s="717"/>
      <c r="QHE90" s="717"/>
      <c r="QHF90" s="717"/>
      <c r="QHG90" s="717"/>
      <c r="QHH90" s="717"/>
      <c r="QHI90" s="717"/>
      <c r="QHJ90" s="717"/>
      <c r="QHK90" s="717"/>
      <c r="QHL90" s="717"/>
      <c r="QHM90" s="717"/>
      <c r="QHN90" s="717"/>
      <c r="QHO90" s="717"/>
      <c r="QHP90" s="717"/>
      <c r="QHQ90" s="717"/>
      <c r="QHR90" s="717"/>
      <c r="QHS90" s="717"/>
      <c r="QHT90" s="717"/>
      <c r="QHU90" s="717"/>
      <c r="QHV90" s="717"/>
      <c r="QHW90" s="717"/>
      <c r="QHX90" s="717"/>
      <c r="QHY90" s="717"/>
      <c r="QHZ90" s="717"/>
      <c r="QIA90" s="717"/>
      <c r="QIB90" s="717"/>
      <c r="QIC90" s="717"/>
      <c r="QID90" s="717"/>
      <c r="QIE90" s="717"/>
      <c r="QIF90" s="717"/>
      <c r="QIG90" s="717"/>
      <c r="QIH90" s="717"/>
      <c r="QII90" s="717"/>
      <c r="QIJ90" s="717"/>
      <c r="QIK90" s="717"/>
      <c r="QIL90" s="717"/>
      <c r="QIM90" s="717"/>
      <c r="QIN90" s="717"/>
      <c r="QIO90" s="717"/>
      <c r="QIP90" s="717"/>
      <c r="QIQ90" s="717"/>
      <c r="QIR90" s="717"/>
      <c r="QIS90" s="717"/>
      <c r="QIT90" s="717"/>
      <c r="QIU90" s="717"/>
      <c r="QIV90" s="717"/>
      <c r="QIW90" s="717"/>
      <c r="QIX90" s="717"/>
      <c r="QIY90" s="717"/>
      <c r="QIZ90" s="717"/>
      <c r="QJA90" s="717"/>
      <c r="QJB90" s="717"/>
      <c r="QJC90" s="717"/>
      <c r="QJD90" s="717"/>
      <c r="QJE90" s="717"/>
      <c r="QJF90" s="717"/>
      <c r="QJG90" s="717"/>
      <c r="QJH90" s="717"/>
      <c r="QJI90" s="717"/>
      <c r="QJJ90" s="717"/>
      <c r="QJK90" s="717"/>
      <c r="QJL90" s="717"/>
      <c r="QJM90" s="717"/>
      <c r="QJN90" s="717"/>
      <c r="QJO90" s="717"/>
      <c r="QJP90" s="717"/>
      <c r="QJQ90" s="717"/>
      <c r="QJR90" s="717"/>
      <c r="QJS90" s="717"/>
      <c r="QJT90" s="717"/>
      <c r="QJU90" s="717"/>
      <c r="QJV90" s="717"/>
      <c r="QJW90" s="717"/>
      <c r="QKD90" s="717"/>
      <c r="QKE90" s="717"/>
      <c r="QKF90" s="717"/>
      <c r="QKG90" s="717"/>
      <c r="QKH90" s="717"/>
      <c r="QKI90" s="717"/>
      <c r="QKJ90" s="717"/>
      <c r="QKK90" s="717"/>
      <c r="QKL90" s="717"/>
      <c r="QKM90" s="717"/>
      <c r="QKN90" s="717"/>
      <c r="QKO90" s="717"/>
      <c r="QKP90" s="717"/>
      <c r="QKQ90" s="717"/>
      <c r="QKR90" s="717"/>
      <c r="QKS90" s="717"/>
      <c r="QKT90" s="717"/>
      <c r="QKU90" s="717"/>
      <c r="QKV90" s="717"/>
      <c r="QKW90" s="717"/>
      <c r="QKX90" s="717"/>
      <c r="QKY90" s="717"/>
      <c r="QKZ90" s="717"/>
      <c r="QLA90" s="717"/>
      <c r="QLB90" s="717"/>
      <c r="QLC90" s="717"/>
      <c r="QLD90" s="717"/>
      <c r="QLE90" s="717"/>
      <c r="QLF90" s="717"/>
      <c r="QLG90" s="717"/>
      <c r="QLH90" s="717"/>
      <c r="QLI90" s="717"/>
      <c r="QLJ90" s="717"/>
      <c r="QLK90" s="717"/>
      <c r="QLL90" s="717"/>
      <c r="QLM90" s="717"/>
      <c r="QLN90" s="717"/>
      <c r="QLO90" s="717"/>
      <c r="QLP90" s="717"/>
      <c r="QLQ90" s="717"/>
      <c r="QLR90" s="717"/>
      <c r="QLS90" s="717"/>
      <c r="QLT90" s="717"/>
      <c r="QLU90" s="717"/>
      <c r="QLV90" s="717"/>
      <c r="QLW90" s="717"/>
      <c r="QLX90" s="717"/>
      <c r="QLY90" s="717"/>
      <c r="QLZ90" s="717"/>
      <c r="QMA90" s="717"/>
      <c r="QMB90" s="717"/>
      <c r="QMC90" s="717"/>
      <c r="QMD90" s="717"/>
      <c r="QME90" s="717"/>
      <c r="QMF90" s="717"/>
      <c r="QMG90" s="717"/>
      <c r="QMH90" s="717"/>
      <c r="QMI90" s="717"/>
      <c r="QMJ90" s="717"/>
      <c r="QMK90" s="717"/>
      <c r="QML90" s="717"/>
      <c r="QMM90" s="717"/>
      <c r="QMN90" s="717"/>
      <c r="QMO90" s="717"/>
      <c r="QMP90" s="717"/>
      <c r="QMQ90" s="717"/>
      <c r="QMR90" s="717"/>
      <c r="QMS90" s="717"/>
      <c r="QMT90" s="717"/>
      <c r="QMU90" s="717"/>
      <c r="QMV90" s="717"/>
      <c r="QMW90" s="717"/>
      <c r="QMX90" s="717"/>
      <c r="QMY90" s="717"/>
      <c r="QMZ90" s="717"/>
      <c r="QNA90" s="717"/>
      <c r="QNB90" s="717"/>
      <c r="QNC90" s="717"/>
      <c r="QND90" s="717"/>
      <c r="QNE90" s="717"/>
      <c r="QNF90" s="717"/>
      <c r="QNG90" s="717"/>
      <c r="QNH90" s="717"/>
      <c r="QNI90" s="717"/>
      <c r="QNJ90" s="717"/>
      <c r="QNK90" s="717"/>
      <c r="QNL90" s="717"/>
      <c r="QNM90" s="717"/>
      <c r="QNN90" s="717"/>
      <c r="QNO90" s="717"/>
      <c r="QNP90" s="717"/>
      <c r="QNQ90" s="717"/>
      <c r="QNR90" s="717"/>
      <c r="QNS90" s="717"/>
      <c r="QNT90" s="717"/>
      <c r="QNU90" s="717"/>
      <c r="QNV90" s="717"/>
      <c r="QNW90" s="717"/>
      <c r="QNX90" s="717"/>
      <c r="QNY90" s="717"/>
      <c r="QNZ90" s="717"/>
      <c r="QOA90" s="717"/>
      <c r="QOB90" s="717"/>
      <c r="QOC90" s="717"/>
      <c r="QOD90" s="717"/>
      <c r="QOE90" s="717"/>
      <c r="QOF90" s="717"/>
      <c r="QOG90" s="717"/>
      <c r="QOH90" s="717"/>
      <c r="QOI90" s="717"/>
      <c r="QOJ90" s="717"/>
      <c r="QOK90" s="717"/>
      <c r="QOL90" s="717"/>
      <c r="QOM90" s="717"/>
      <c r="QON90" s="717"/>
      <c r="QOO90" s="717"/>
      <c r="QOP90" s="717"/>
      <c r="QOQ90" s="717"/>
      <c r="QOR90" s="717"/>
      <c r="QOS90" s="717"/>
      <c r="QOT90" s="717"/>
      <c r="QOU90" s="717"/>
      <c r="QOV90" s="717"/>
      <c r="QOW90" s="717"/>
      <c r="QOX90" s="717"/>
      <c r="QOY90" s="717"/>
      <c r="QOZ90" s="717"/>
      <c r="QPA90" s="717"/>
      <c r="QPB90" s="717"/>
      <c r="QPC90" s="717"/>
      <c r="QPD90" s="717"/>
      <c r="QPE90" s="717"/>
      <c r="QPF90" s="717"/>
      <c r="QPG90" s="717"/>
      <c r="QPH90" s="717"/>
      <c r="QPI90" s="717"/>
      <c r="QPJ90" s="717"/>
      <c r="QPK90" s="717"/>
      <c r="QPL90" s="717"/>
      <c r="QPM90" s="717"/>
      <c r="QPN90" s="717"/>
      <c r="QPO90" s="717"/>
      <c r="QPP90" s="717"/>
      <c r="QPQ90" s="717"/>
      <c r="QPR90" s="717"/>
      <c r="QPS90" s="717"/>
      <c r="QPT90" s="717"/>
      <c r="QPU90" s="717"/>
      <c r="QPV90" s="717"/>
      <c r="QPW90" s="717"/>
      <c r="QPX90" s="717"/>
      <c r="QPY90" s="717"/>
      <c r="QPZ90" s="717"/>
      <c r="QQA90" s="717"/>
      <c r="QQB90" s="717"/>
      <c r="QQC90" s="717"/>
      <c r="QQD90" s="717"/>
      <c r="QQE90" s="717"/>
      <c r="QQF90" s="717"/>
      <c r="QQG90" s="717"/>
      <c r="QQH90" s="717"/>
      <c r="QQI90" s="717"/>
      <c r="QQJ90" s="717"/>
      <c r="QQK90" s="717"/>
      <c r="QQL90" s="717"/>
      <c r="QQM90" s="717"/>
      <c r="QQN90" s="717"/>
      <c r="QQO90" s="717"/>
      <c r="QQP90" s="717"/>
      <c r="QQQ90" s="717"/>
      <c r="QQR90" s="717"/>
      <c r="QQS90" s="717"/>
      <c r="QQT90" s="717"/>
      <c r="QQU90" s="717"/>
      <c r="QQV90" s="717"/>
      <c r="QQW90" s="717"/>
      <c r="QQX90" s="717"/>
      <c r="QQY90" s="717"/>
      <c r="QQZ90" s="717"/>
      <c r="QRA90" s="717"/>
      <c r="QRB90" s="717"/>
      <c r="QRC90" s="717"/>
      <c r="QRD90" s="717"/>
      <c r="QRE90" s="717"/>
      <c r="QRF90" s="717"/>
      <c r="QRG90" s="717"/>
      <c r="QRH90" s="717"/>
      <c r="QRI90" s="717"/>
      <c r="QRJ90" s="717"/>
      <c r="QRK90" s="717"/>
      <c r="QRL90" s="717"/>
      <c r="QRM90" s="717"/>
      <c r="QRN90" s="717"/>
      <c r="QRO90" s="717"/>
      <c r="QRP90" s="717"/>
      <c r="QRQ90" s="717"/>
      <c r="QRR90" s="717"/>
      <c r="QRS90" s="717"/>
      <c r="QRT90" s="717"/>
      <c r="QRU90" s="717"/>
      <c r="QRV90" s="717"/>
      <c r="QRW90" s="717"/>
      <c r="QRX90" s="717"/>
      <c r="QRY90" s="717"/>
      <c r="QRZ90" s="717"/>
      <c r="QSA90" s="717"/>
      <c r="QSB90" s="717"/>
      <c r="QSC90" s="717"/>
      <c r="QSD90" s="717"/>
      <c r="QSE90" s="717"/>
      <c r="QSF90" s="717"/>
      <c r="QSG90" s="717"/>
      <c r="QSH90" s="717"/>
      <c r="QSI90" s="717"/>
      <c r="QSJ90" s="717"/>
      <c r="QSK90" s="717"/>
      <c r="QSL90" s="717"/>
      <c r="QSM90" s="717"/>
      <c r="QSN90" s="717"/>
      <c r="QSO90" s="717"/>
      <c r="QSP90" s="717"/>
      <c r="QSQ90" s="717"/>
      <c r="QSR90" s="717"/>
      <c r="QSS90" s="717"/>
      <c r="QST90" s="717"/>
      <c r="QSU90" s="717"/>
      <c r="QSV90" s="717"/>
      <c r="QSW90" s="717"/>
      <c r="QSX90" s="717"/>
      <c r="QSY90" s="717"/>
      <c r="QSZ90" s="717"/>
      <c r="QTA90" s="717"/>
      <c r="QTB90" s="717"/>
      <c r="QTC90" s="717"/>
      <c r="QTD90" s="717"/>
      <c r="QTE90" s="717"/>
      <c r="QTF90" s="717"/>
      <c r="QTG90" s="717"/>
      <c r="QTH90" s="717"/>
      <c r="QTI90" s="717"/>
      <c r="QTJ90" s="717"/>
      <c r="QTK90" s="717"/>
      <c r="QTL90" s="717"/>
      <c r="QTM90" s="717"/>
      <c r="QTN90" s="717"/>
      <c r="QTO90" s="717"/>
      <c r="QTP90" s="717"/>
      <c r="QTQ90" s="717"/>
      <c r="QTR90" s="717"/>
      <c r="QTS90" s="717"/>
      <c r="QTZ90" s="717"/>
      <c r="QUA90" s="717"/>
      <c r="QUB90" s="717"/>
      <c r="QUC90" s="717"/>
      <c r="QUD90" s="717"/>
      <c r="QUE90" s="717"/>
      <c r="QUF90" s="717"/>
      <c r="QUG90" s="717"/>
      <c r="QUH90" s="717"/>
      <c r="QUI90" s="717"/>
      <c r="QUJ90" s="717"/>
      <c r="QUK90" s="717"/>
      <c r="QUL90" s="717"/>
      <c r="QUM90" s="717"/>
      <c r="QUN90" s="717"/>
      <c r="QUO90" s="717"/>
      <c r="QUP90" s="717"/>
      <c r="QUQ90" s="717"/>
      <c r="QUR90" s="717"/>
      <c r="QUS90" s="717"/>
      <c r="QUT90" s="717"/>
      <c r="QUU90" s="717"/>
      <c r="QUV90" s="717"/>
      <c r="QUW90" s="717"/>
      <c r="QUX90" s="717"/>
      <c r="QUY90" s="717"/>
      <c r="QUZ90" s="717"/>
      <c r="QVA90" s="717"/>
      <c r="QVB90" s="717"/>
      <c r="QVC90" s="717"/>
      <c r="QVD90" s="717"/>
      <c r="QVE90" s="717"/>
      <c r="QVF90" s="717"/>
      <c r="QVG90" s="717"/>
      <c r="QVH90" s="717"/>
      <c r="QVI90" s="717"/>
      <c r="QVJ90" s="717"/>
      <c r="QVK90" s="717"/>
      <c r="QVL90" s="717"/>
      <c r="QVM90" s="717"/>
      <c r="QVN90" s="717"/>
      <c r="QVO90" s="717"/>
      <c r="QVP90" s="717"/>
      <c r="QVQ90" s="717"/>
      <c r="QVR90" s="717"/>
      <c r="QVS90" s="717"/>
      <c r="QVT90" s="717"/>
      <c r="QVU90" s="717"/>
      <c r="QVV90" s="717"/>
      <c r="QVW90" s="717"/>
      <c r="QVX90" s="717"/>
      <c r="QVY90" s="717"/>
      <c r="QVZ90" s="717"/>
      <c r="QWA90" s="717"/>
      <c r="QWB90" s="717"/>
      <c r="QWC90" s="717"/>
      <c r="QWD90" s="717"/>
      <c r="QWE90" s="717"/>
      <c r="QWF90" s="717"/>
      <c r="QWG90" s="717"/>
      <c r="QWH90" s="717"/>
      <c r="QWI90" s="717"/>
      <c r="QWJ90" s="717"/>
      <c r="QWK90" s="717"/>
      <c r="QWL90" s="717"/>
      <c r="QWM90" s="717"/>
      <c r="QWN90" s="717"/>
      <c r="QWO90" s="717"/>
      <c r="QWP90" s="717"/>
      <c r="QWQ90" s="717"/>
      <c r="QWR90" s="717"/>
      <c r="QWS90" s="717"/>
      <c r="QWT90" s="717"/>
      <c r="QWU90" s="717"/>
      <c r="QWV90" s="717"/>
      <c r="QWW90" s="717"/>
      <c r="QWX90" s="717"/>
      <c r="QWY90" s="717"/>
      <c r="QWZ90" s="717"/>
      <c r="QXA90" s="717"/>
      <c r="QXB90" s="717"/>
      <c r="QXC90" s="717"/>
      <c r="QXD90" s="717"/>
      <c r="QXE90" s="717"/>
      <c r="QXF90" s="717"/>
      <c r="QXG90" s="717"/>
      <c r="QXH90" s="717"/>
      <c r="QXI90" s="717"/>
      <c r="QXJ90" s="717"/>
      <c r="QXK90" s="717"/>
      <c r="QXL90" s="717"/>
      <c r="QXM90" s="717"/>
      <c r="QXN90" s="717"/>
      <c r="QXO90" s="717"/>
      <c r="QXP90" s="717"/>
      <c r="QXQ90" s="717"/>
      <c r="QXR90" s="717"/>
      <c r="QXS90" s="717"/>
      <c r="QXT90" s="717"/>
      <c r="QXU90" s="717"/>
      <c r="QXV90" s="717"/>
      <c r="QXW90" s="717"/>
      <c r="QXX90" s="717"/>
      <c r="QXY90" s="717"/>
      <c r="QXZ90" s="717"/>
      <c r="QYA90" s="717"/>
      <c r="QYB90" s="717"/>
      <c r="QYC90" s="717"/>
      <c r="QYD90" s="717"/>
      <c r="QYE90" s="717"/>
      <c r="QYF90" s="717"/>
      <c r="QYG90" s="717"/>
      <c r="QYH90" s="717"/>
      <c r="QYI90" s="717"/>
      <c r="QYJ90" s="717"/>
      <c r="QYK90" s="717"/>
      <c r="QYL90" s="717"/>
      <c r="QYM90" s="717"/>
      <c r="QYN90" s="717"/>
      <c r="QYO90" s="717"/>
      <c r="QYP90" s="717"/>
      <c r="QYQ90" s="717"/>
      <c r="QYR90" s="717"/>
      <c r="QYS90" s="717"/>
      <c r="QYT90" s="717"/>
      <c r="QYU90" s="717"/>
      <c r="QYV90" s="717"/>
      <c r="QYW90" s="717"/>
      <c r="QYX90" s="717"/>
      <c r="QYY90" s="717"/>
      <c r="QYZ90" s="717"/>
      <c r="QZA90" s="717"/>
      <c r="QZB90" s="717"/>
      <c r="QZC90" s="717"/>
      <c r="QZD90" s="717"/>
      <c r="QZE90" s="717"/>
      <c r="QZF90" s="717"/>
      <c r="QZG90" s="717"/>
      <c r="QZH90" s="717"/>
      <c r="QZI90" s="717"/>
      <c r="QZJ90" s="717"/>
      <c r="QZK90" s="717"/>
      <c r="QZL90" s="717"/>
      <c r="QZM90" s="717"/>
      <c r="QZN90" s="717"/>
      <c r="QZO90" s="717"/>
      <c r="QZP90" s="717"/>
      <c r="QZQ90" s="717"/>
      <c r="QZR90" s="717"/>
      <c r="QZS90" s="717"/>
      <c r="QZT90" s="717"/>
      <c r="QZU90" s="717"/>
      <c r="QZV90" s="717"/>
      <c r="QZW90" s="717"/>
      <c r="QZX90" s="717"/>
      <c r="QZY90" s="717"/>
      <c r="QZZ90" s="717"/>
      <c r="RAA90" s="717"/>
      <c r="RAB90" s="717"/>
      <c r="RAC90" s="717"/>
      <c r="RAD90" s="717"/>
      <c r="RAE90" s="717"/>
      <c r="RAF90" s="717"/>
      <c r="RAG90" s="717"/>
      <c r="RAH90" s="717"/>
      <c r="RAI90" s="717"/>
      <c r="RAJ90" s="717"/>
      <c r="RAK90" s="717"/>
      <c r="RAL90" s="717"/>
      <c r="RAM90" s="717"/>
      <c r="RAN90" s="717"/>
      <c r="RAO90" s="717"/>
      <c r="RAP90" s="717"/>
      <c r="RAQ90" s="717"/>
      <c r="RAR90" s="717"/>
      <c r="RAS90" s="717"/>
      <c r="RAT90" s="717"/>
      <c r="RAU90" s="717"/>
      <c r="RAV90" s="717"/>
      <c r="RAW90" s="717"/>
      <c r="RAX90" s="717"/>
      <c r="RAY90" s="717"/>
      <c r="RAZ90" s="717"/>
      <c r="RBA90" s="717"/>
      <c r="RBB90" s="717"/>
      <c r="RBC90" s="717"/>
      <c r="RBD90" s="717"/>
      <c r="RBE90" s="717"/>
      <c r="RBF90" s="717"/>
      <c r="RBG90" s="717"/>
      <c r="RBH90" s="717"/>
      <c r="RBI90" s="717"/>
      <c r="RBJ90" s="717"/>
      <c r="RBK90" s="717"/>
      <c r="RBL90" s="717"/>
      <c r="RBM90" s="717"/>
      <c r="RBN90" s="717"/>
      <c r="RBO90" s="717"/>
      <c r="RBP90" s="717"/>
      <c r="RBQ90" s="717"/>
      <c r="RBR90" s="717"/>
      <c r="RBS90" s="717"/>
      <c r="RBT90" s="717"/>
      <c r="RBU90" s="717"/>
      <c r="RBV90" s="717"/>
      <c r="RBW90" s="717"/>
      <c r="RBX90" s="717"/>
      <c r="RBY90" s="717"/>
      <c r="RBZ90" s="717"/>
      <c r="RCA90" s="717"/>
      <c r="RCB90" s="717"/>
      <c r="RCC90" s="717"/>
      <c r="RCD90" s="717"/>
      <c r="RCE90" s="717"/>
      <c r="RCF90" s="717"/>
      <c r="RCG90" s="717"/>
      <c r="RCH90" s="717"/>
      <c r="RCI90" s="717"/>
      <c r="RCJ90" s="717"/>
      <c r="RCK90" s="717"/>
      <c r="RCL90" s="717"/>
      <c r="RCM90" s="717"/>
      <c r="RCN90" s="717"/>
      <c r="RCO90" s="717"/>
      <c r="RCP90" s="717"/>
      <c r="RCQ90" s="717"/>
      <c r="RCR90" s="717"/>
      <c r="RCS90" s="717"/>
      <c r="RCT90" s="717"/>
      <c r="RCU90" s="717"/>
      <c r="RCV90" s="717"/>
      <c r="RCW90" s="717"/>
      <c r="RCX90" s="717"/>
      <c r="RCY90" s="717"/>
      <c r="RCZ90" s="717"/>
      <c r="RDA90" s="717"/>
      <c r="RDB90" s="717"/>
      <c r="RDC90" s="717"/>
      <c r="RDD90" s="717"/>
      <c r="RDE90" s="717"/>
      <c r="RDF90" s="717"/>
      <c r="RDG90" s="717"/>
      <c r="RDH90" s="717"/>
      <c r="RDI90" s="717"/>
      <c r="RDJ90" s="717"/>
      <c r="RDK90" s="717"/>
      <c r="RDL90" s="717"/>
      <c r="RDM90" s="717"/>
      <c r="RDN90" s="717"/>
      <c r="RDO90" s="717"/>
      <c r="RDV90" s="717"/>
      <c r="RDW90" s="717"/>
      <c r="RDX90" s="717"/>
      <c r="RDY90" s="717"/>
      <c r="RDZ90" s="717"/>
      <c r="REA90" s="717"/>
      <c r="REB90" s="717"/>
      <c r="REC90" s="717"/>
      <c r="RED90" s="717"/>
      <c r="REE90" s="717"/>
      <c r="REF90" s="717"/>
      <c r="REG90" s="717"/>
      <c r="REH90" s="717"/>
      <c r="REI90" s="717"/>
      <c r="REJ90" s="717"/>
      <c r="REK90" s="717"/>
      <c r="REL90" s="717"/>
      <c r="REM90" s="717"/>
      <c r="REN90" s="717"/>
      <c r="REO90" s="717"/>
      <c r="REP90" s="717"/>
      <c r="REQ90" s="717"/>
      <c r="RER90" s="717"/>
      <c r="RES90" s="717"/>
      <c r="RET90" s="717"/>
      <c r="REU90" s="717"/>
      <c r="REV90" s="717"/>
      <c r="REW90" s="717"/>
      <c r="REX90" s="717"/>
      <c r="REY90" s="717"/>
      <c r="REZ90" s="717"/>
      <c r="RFA90" s="717"/>
      <c r="RFB90" s="717"/>
      <c r="RFC90" s="717"/>
      <c r="RFD90" s="717"/>
      <c r="RFE90" s="717"/>
      <c r="RFF90" s="717"/>
      <c r="RFG90" s="717"/>
      <c r="RFH90" s="717"/>
      <c r="RFI90" s="717"/>
      <c r="RFJ90" s="717"/>
      <c r="RFK90" s="717"/>
      <c r="RFL90" s="717"/>
      <c r="RFM90" s="717"/>
      <c r="RFN90" s="717"/>
      <c r="RFO90" s="717"/>
      <c r="RFP90" s="717"/>
      <c r="RFQ90" s="717"/>
      <c r="RFR90" s="717"/>
      <c r="RFS90" s="717"/>
      <c r="RFT90" s="717"/>
      <c r="RFU90" s="717"/>
      <c r="RFV90" s="717"/>
      <c r="RFW90" s="717"/>
      <c r="RFX90" s="717"/>
      <c r="RFY90" s="717"/>
      <c r="RFZ90" s="717"/>
      <c r="RGA90" s="717"/>
      <c r="RGB90" s="717"/>
      <c r="RGC90" s="717"/>
      <c r="RGD90" s="717"/>
      <c r="RGE90" s="717"/>
      <c r="RGF90" s="717"/>
      <c r="RGG90" s="717"/>
      <c r="RGH90" s="717"/>
      <c r="RGI90" s="717"/>
      <c r="RGJ90" s="717"/>
      <c r="RGK90" s="717"/>
      <c r="RGL90" s="717"/>
      <c r="RGM90" s="717"/>
      <c r="RGN90" s="717"/>
      <c r="RGO90" s="717"/>
      <c r="RGP90" s="717"/>
      <c r="RGQ90" s="717"/>
      <c r="RGR90" s="717"/>
      <c r="RGS90" s="717"/>
      <c r="RGT90" s="717"/>
      <c r="RGU90" s="717"/>
      <c r="RGV90" s="717"/>
      <c r="RGW90" s="717"/>
      <c r="RGX90" s="717"/>
      <c r="RGY90" s="717"/>
      <c r="RGZ90" s="717"/>
      <c r="RHA90" s="717"/>
      <c r="RHB90" s="717"/>
      <c r="RHC90" s="717"/>
      <c r="RHD90" s="717"/>
      <c r="RHE90" s="717"/>
      <c r="RHF90" s="717"/>
      <c r="RHG90" s="717"/>
      <c r="RHH90" s="717"/>
      <c r="RHI90" s="717"/>
      <c r="RHJ90" s="717"/>
      <c r="RHK90" s="717"/>
      <c r="RHL90" s="717"/>
      <c r="RHM90" s="717"/>
      <c r="RHN90" s="717"/>
      <c r="RHO90" s="717"/>
      <c r="RHP90" s="717"/>
      <c r="RHQ90" s="717"/>
      <c r="RHR90" s="717"/>
      <c r="RHS90" s="717"/>
      <c r="RHT90" s="717"/>
      <c r="RHU90" s="717"/>
      <c r="RHV90" s="717"/>
      <c r="RHW90" s="717"/>
      <c r="RHX90" s="717"/>
      <c r="RHY90" s="717"/>
      <c r="RHZ90" s="717"/>
      <c r="RIA90" s="717"/>
      <c r="RIB90" s="717"/>
      <c r="RIC90" s="717"/>
      <c r="RID90" s="717"/>
      <c r="RIE90" s="717"/>
      <c r="RIF90" s="717"/>
      <c r="RIG90" s="717"/>
      <c r="RIH90" s="717"/>
      <c r="RII90" s="717"/>
      <c r="RIJ90" s="717"/>
      <c r="RIK90" s="717"/>
      <c r="RIL90" s="717"/>
      <c r="RIM90" s="717"/>
      <c r="RIN90" s="717"/>
      <c r="RIO90" s="717"/>
      <c r="RIP90" s="717"/>
      <c r="RIQ90" s="717"/>
      <c r="RIR90" s="717"/>
      <c r="RIS90" s="717"/>
      <c r="RIT90" s="717"/>
      <c r="RIU90" s="717"/>
      <c r="RIV90" s="717"/>
      <c r="RIW90" s="717"/>
      <c r="RIX90" s="717"/>
      <c r="RIY90" s="717"/>
      <c r="RIZ90" s="717"/>
      <c r="RJA90" s="717"/>
      <c r="RJB90" s="717"/>
      <c r="RJC90" s="717"/>
      <c r="RJD90" s="717"/>
      <c r="RJE90" s="717"/>
      <c r="RJF90" s="717"/>
      <c r="RJG90" s="717"/>
      <c r="RJH90" s="717"/>
      <c r="RJI90" s="717"/>
      <c r="RJJ90" s="717"/>
      <c r="RJK90" s="717"/>
      <c r="RJL90" s="717"/>
      <c r="RJM90" s="717"/>
      <c r="RJN90" s="717"/>
      <c r="RJO90" s="717"/>
      <c r="RJP90" s="717"/>
      <c r="RJQ90" s="717"/>
      <c r="RJR90" s="717"/>
      <c r="RJS90" s="717"/>
      <c r="RJT90" s="717"/>
      <c r="RJU90" s="717"/>
      <c r="RJV90" s="717"/>
      <c r="RJW90" s="717"/>
      <c r="RJX90" s="717"/>
      <c r="RJY90" s="717"/>
      <c r="RJZ90" s="717"/>
      <c r="RKA90" s="717"/>
      <c r="RKB90" s="717"/>
      <c r="RKC90" s="717"/>
      <c r="RKD90" s="717"/>
      <c r="RKE90" s="717"/>
      <c r="RKF90" s="717"/>
      <c r="RKG90" s="717"/>
      <c r="RKH90" s="717"/>
      <c r="RKI90" s="717"/>
      <c r="RKJ90" s="717"/>
      <c r="RKK90" s="717"/>
      <c r="RKL90" s="717"/>
      <c r="RKM90" s="717"/>
      <c r="RKN90" s="717"/>
      <c r="RKO90" s="717"/>
      <c r="RKP90" s="717"/>
      <c r="RKQ90" s="717"/>
      <c r="RKR90" s="717"/>
      <c r="RKS90" s="717"/>
      <c r="RKT90" s="717"/>
      <c r="RKU90" s="717"/>
      <c r="RKV90" s="717"/>
      <c r="RKW90" s="717"/>
      <c r="RKX90" s="717"/>
      <c r="RKY90" s="717"/>
      <c r="RKZ90" s="717"/>
      <c r="RLA90" s="717"/>
      <c r="RLB90" s="717"/>
      <c r="RLC90" s="717"/>
      <c r="RLD90" s="717"/>
      <c r="RLE90" s="717"/>
      <c r="RLF90" s="717"/>
      <c r="RLG90" s="717"/>
      <c r="RLH90" s="717"/>
      <c r="RLI90" s="717"/>
      <c r="RLJ90" s="717"/>
      <c r="RLK90" s="717"/>
      <c r="RLL90" s="717"/>
      <c r="RLM90" s="717"/>
      <c r="RLN90" s="717"/>
      <c r="RLO90" s="717"/>
      <c r="RLP90" s="717"/>
      <c r="RLQ90" s="717"/>
      <c r="RLR90" s="717"/>
      <c r="RLS90" s="717"/>
      <c r="RLT90" s="717"/>
      <c r="RLU90" s="717"/>
      <c r="RLV90" s="717"/>
      <c r="RLW90" s="717"/>
      <c r="RLX90" s="717"/>
      <c r="RLY90" s="717"/>
      <c r="RLZ90" s="717"/>
      <c r="RMA90" s="717"/>
      <c r="RMB90" s="717"/>
      <c r="RMC90" s="717"/>
      <c r="RMD90" s="717"/>
      <c r="RME90" s="717"/>
      <c r="RMF90" s="717"/>
      <c r="RMG90" s="717"/>
      <c r="RMH90" s="717"/>
      <c r="RMI90" s="717"/>
      <c r="RMJ90" s="717"/>
      <c r="RMK90" s="717"/>
      <c r="RML90" s="717"/>
      <c r="RMM90" s="717"/>
      <c r="RMN90" s="717"/>
      <c r="RMO90" s="717"/>
      <c r="RMP90" s="717"/>
      <c r="RMQ90" s="717"/>
      <c r="RMR90" s="717"/>
      <c r="RMS90" s="717"/>
      <c r="RMT90" s="717"/>
      <c r="RMU90" s="717"/>
      <c r="RMV90" s="717"/>
      <c r="RMW90" s="717"/>
      <c r="RMX90" s="717"/>
      <c r="RMY90" s="717"/>
      <c r="RMZ90" s="717"/>
      <c r="RNA90" s="717"/>
      <c r="RNB90" s="717"/>
      <c r="RNC90" s="717"/>
      <c r="RND90" s="717"/>
      <c r="RNE90" s="717"/>
      <c r="RNF90" s="717"/>
      <c r="RNG90" s="717"/>
      <c r="RNH90" s="717"/>
      <c r="RNI90" s="717"/>
      <c r="RNJ90" s="717"/>
      <c r="RNK90" s="717"/>
      <c r="RNR90" s="717"/>
      <c r="RNS90" s="717"/>
      <c r="RNT90" s="717"/>
      <c r="RNU90" s="717"/>
      <c r="RNV90" s="717"/>
      <c r="RNW90" s="717"/>
      <c r="RNX90" s="717"/>
      <c r="RNY90" s="717"/>
      <c r="RNZ90" s="717"/>
      <c r="ROA90" s="717"/>
      <c r="ROB90" s="717"/>
      <c r="ROC90" s="717"/>
      <c r="ROD90" s="717"/>
      <c r="ROE90" s="717"/>
      <c r="ROF90" s="717"/>
      <c r="ROG90" s="717"/>
      <c r="ROH90" s="717"/>
      <c r="ROI90" s="717"/>
      <c r="ROJ90" s="717"/>
      <c r="ROK90" s="717"/>
      <c r="ROL90" s="717"/>
      <c r="ROM90" s="717"/>
      <c r="RON90" s="717"/>
      <c r="ROO90" s="717"/>
      <c r="ROP90" s="717"/>
      <c r="ROQ90" s="717"/>
      <c r="ROR90" s="717"/>
      <c r="ROS90" s="717"/>
      <c r="ROT90" s="717"/>
      <c r="ROU90" s="717"/>
      <c r="ROV90" s="717"/>
      <c r="ROW90" s="717"/>
      <c r="ROX90" s="717"/>
      <c r="ROY90" s="717"/>
      <c r="ROZ90" s="717"/>
      <c r="RPA90" s="717"/>
      <c r="RPB90" s="717"/>
      <c r="RPC90" s="717"/>
      <c r="RPD90" s="717"/>
      <c r="RPE90" s="717"/>
      <c r="RPF90" s="717"/>
      <c r="RPG90" s="717"/>
      <c r="RPH90" s="717"/>
      <c r="RPI90" s="717"/>
      <c r="RPJ90" s="717"/>
      <c r="RPK90" s="717"/>
      <c r="RPL90" s="717"/>
      <c r="RPM90" s="717"/>
      <c r="RPN90" s="717"/>
      <c r="RPO90" s="717"/>
      <c r="RPP90" s="717"/>
      <c r="RPQ90" s="717"/>
      <c r="RPR90" s="717"/>
      <c r="RPS90" s="717"/>
      <c r="RPT90" s="717"/>
      <c r="RPU90" s="717"/>
      <c r="RPV90" s="717"/>
      <c r="RPW90" s="717"/>
      <c r="RPX90" s="717"/>
      <c r="RPY90" s="717"/>
      <c r="RPZ90" s="717"/>
      <c r="RQA90" s="717"/>
      <c r="RQB90" s="717"/>
      <c r="RQC90" s="717"/>
      <c r="RQD90" s="717"/>
      <c r="RQE90" s="717"/>
      <c r="RQF90" s="717"/>
      <c r="RQG90" s="717"/>
      <c r="RQH90" s="717"/>
      <c r="RQI90" s="717"/>
      <c r="RQJ90" s="717"/>
      <c r="RQK90" s="717"/>
      <c r="RQL90" s="717"/>
      <c r="RQM90" s="717"/>
      <c r="RQN90" s="717"/>
      <c r="RQO90" s="717"/>
      <c r="RQP90" s="717"/>
      <c r="RQQ90" s="717"/>
      <c r="RQR90" s="717"/>
      <c r="RQS90" s="717"/>
      <c r="RQT90" s="717"/>
      <c r="RQU90" s="717"/>
      <c r="RQV90" s="717"/>
      <c r="RQW90" s="717"/>
      <c r="RQX90" s="717"/>
      <c r="RQY90" s="717"/>
      <c r="RQZ90" s="717"/>
      <c r="RRA90" s="717"/>
      <c r="RRB90" s="717"/>
      <c r="RRC90" s="717"/>
      <c r="RRD90" s="717"/>
      <c r="RRE90" s="717"/>
      <c r="RRF90" s="717"/>
      <c r="RRG90" s="717"/>
      <c r="RRH90" s="717"/>
      <c r="RRI90" s="717"/>
      <c r="RRJ90" s="717"/>
      <c r="RRK90" s="717"/>
      <c r="RRL90" s="717"/>
      <c r="RRM90" s="717"/>
      <c r="RRN90" s="717"/>
      <c r="RRO90" s="717"/>
      <c r="RRP90" s="717"/>
      <c r="RRQ90" s="717"/>
      <c r="RRR90" s="717"/>
      <c r="RRS90" s="717"/>
      <c r="RRT90" s="717"/>
      <c r="RRU90" s="717"/>
      <c r="RRV90" s="717"/>
      <c r="RRW90" s="717"/>
      <c r="RRX90" s="717"/>
      <c r="RRY90" s="717"/>
      <c r="RRZ90" s="717"/>
      <c r="RSA90" s="717"/>
      <c r="RSB90" s="717"/>
      <c r="RSC90" s="717"/>
      <c r="RSD90" s="717"/>
      <c r="RSE90" s="717"/>
      <c r="RSF90" s="717"/>
      <c r="RSG90" s="717"/>
      <c r="RSH90" s="717"/>
      <c r="RSI90" s="717"/>
      <c r="RSJ90" s="717"/>
      <c r="RSK90" s="717"/>
      <c r="RSL90" s="717"/>
      <c r="RSM90" s="717"/>
      <c r="RSN90" s="717"/>
      <c r="RSO90" s="717"/>
      <c r="RSP90" s="717"/>
      <c r="RSQ90" s="717"/>
      <c r="RSR90" s="717"/>
      <c r="RSS90" s="717"/>
      <c r="RST90" s="717"/>
      <c r="RSU90" s="717"/>
      <c r="RSV90" s="717"/>
      <c r="RSW90" s="717"/>
      <c r="RSX90" s="717"/>
      <c r="RSY90" s="717"/>
      <c r="RSZ90" s="717"/>
      <c r="RTA90" s="717"/>
      <c r="RTB90" s="717"/>
      <c r="RTC90" s="717"/>
      <c r="RTD90" s="717"/>
      <c r="RTE90" s="717"/>
      <c r="RTF90" s="717"/>
      <c r="RTG90" s="717"/>
      <c r="RTH90" s="717"/>
      <c r="RTI90" s="717"/>
      <c r="RTJ90" s="717"/>
      <c r="RTK90" s="717"/>
      <c r="RTL90" s="717"/>
      <c r="RTM90" s="717"/>
      <c r="RTN90" s="717"/>
      <c r="RTO90" s="717"/>
      <c r="RTP90" s="717"/>
      <c r="RTQ90" s="717"/>
      <c r="RTR90" s="717"/>
      <c r="RTS90" s="717"/>
      <c r="RTT90" s="717"/>
      <c r="RTU90" s="717"/>
      <c r="RTV90" s="717"/>
      <c r="RTW90" s="717"/>
      <c r="RTX90" s="717"/>
      <c r="RTY90" s="717"/>
      <c r="RTZ90" s="717"/>
      <c r="RUA90" s="717"/>
      <c r="RUB90" s="717"/>
      <c r="RUC90" s="717"/>
      <c r="RUD90" s="717"/>
      <c r="RUE90" s="717"/>
      <c r="RUF90" s="717"/>
      <c r="RUG90" s="717"/>
      <c r="RUH90" s="717"/>
      <c r="RUI90" s="717"/>
      <c r="RUJ90" s="717"/>
      <c r="RUK90" s="717"/>
      <c r="RUL90" s="717"/>
      <c r="RUM90" s="717"/>
      <c r="RUN90" s="717"/>
      <c r="RUO90" s="717"/>
      <c r="RUP90" s="717"/>
      <c r="RUQ90" s="717"/>
      <c r="RUR90" s="717"/>
      <c r="RUS90" s="717"/>
      <c r="RUT90" s="717"/>
      <c r="RUU90" s="717"/>
      <c r="RUV90" s="717"/>
      <c r="RUW90" s="717"/>
      <c r="RUX90" s="717"/>
      <c r="RUY90" s="717"/>
      <c r="RUZ90" s="717"/>
      <c r="RVA90" s="717"/>
      <c r="RVB90" s="717"/>
      <c r="RVC90" s="717"/>
      <c r="RVD90" s="717"/>
      <c r="RVE90" s="717"/>
      <c r="RVF90" s="717"/>
      <c r="RVG90" s="717"/>
      <c r="RVH90" s="717"/>
      <c r="RVI90" s="717"/>
      <c r="RVJ90" s="717"/>
      <c r="RVK90" s="717"/>
      <c r="RVL90" s="717"/>
      <c r="RVM90" s="717"/>
      <c r="RVN90" s="717"/>
      <c r="RVO90" s="717"/>
      <c r="RVP90" s="717"/>
      <c r="RVQ90" s="717"/>
      <c r="RVR90" s="717"/>
      <c r="RVS90" s="717"/>
      <c r="RVT90" s="717"/>
      <c r="RVU90" s="717"/>
      <c r="RVV90" s="717"/>
      <c r="RVW90" s="717"/>
      <c r="RVX90" s="717"/>
      <c r="RVY90" s="717"/>
      <c r="RVZ90" s="717"/>
      <c r="RWA90" s="717"/>
      <c r="RWB90" s="717"/>
      <c r="RWC90" s="717"/>
      <c r="RWD90" s="717"/>
      <c r="RWE90" s="717"/>
      <c r="RWF90" s="717"/>
      <c r="RWG90" s="717"/>
      <c r="RWH90" s="717"/>
      <c r="RWI90" s="717"/>
      <c r="RWJ90" s="717"/>
      <c r="RWK90" s="717"/>
      <c r="RWL90" s="717"/>
      <c r="RWM90" s="717"/>
      <c r="RWN90" s="717"/>
      <c r="RWO90" s="717"/>
      <c r="RWP90" s="717"/>
      <c r="RWQ90" s="717"/>
      <c r="RWR90" s="717"/>
      <c r="RWS90" s="717"/>
      <c r="RWT90" s="717"/>
      <c r="RWU90" s="717"/>
      <c r="RWV90" s="717"/>
      <c r="RWW90" s="717"/>
      <c r="RWX90" s="717"/>
      <c r="RWY90" s="717"/>
      <c r="RWZ90" s="717"/>
      <c r="RXA90" s="717"/>
      <c r="RXB90" s="717"/>
      <c r="RXC90" s="717"/>
      <c r="RXD90" s="717"/>
      <c r="RXE90" s="717"/>
      <c r="RXF90" s="717"/>
      <c r="RXG90" s="717"/>
      <c r="RXN90" s="717"/>
      <c r="RXO90" s="717"/>
      <c r="RXP90" s="717"/>
      <c r="RXQ90" s="717"/>
      <c r="RXR90" s="717"/>
      <c r="RXS90" s="717"/>
      <c r="RXT90" s="717"/>
      <c r="RXU90" s="717"/>
      <c r="RXV90" s="717"/>
      <c r="RXW90" s="717"/>
      <c r="RXX90" s="717"/>
      <c r="RXY90" s="717"/>
      <c r="RXZ90" s="717"/>
      <c r="RYA90" s="717"/>
      <c r="RYB90" s="717"/>
      <c r="RYC90" s="717"/>
      <c r="RYD90" s="717"/>
      <c r="RYE90" s="717"/>
      <c r="RYF90" s="717"/>
      <c r="RYG90" s="717"/>
      <c r="RYH90" s="717"/>
      <c r="RYI90" s="717"/>
      <c r="RYJ90" s="717"/>
      <c r="RYK90" s="717"/>
      <c r="RYL90" s="717"/>
      <c r="RYM90" s="717"/>
      <c r="RYN90" s="717"/>
      <c r="RYO90" s="717"/>
      <c r="RYP90" s="717"/>
      <c r="RYQ90" s="717"/>
      <c r="RYR90" s="717"/>
      <c r="RYS90" s="717"/>
      <c r="RYT90" s="717"/>
      <c r="RYU90" s="717"/>
      <c r="RYV90" s="717"/>
      <c r="RYW90" s="717"/>
      <c r="RYX90" s="717"/>
      <c r="RYY90" s="717"/>
      <c r="RYZ90" s="717"/>
      <c r="RZA90" s="717"/>
      <c r="RZB90" s="717"/>
      <c r="RZC90" s="717"/>
      <c r="RZD90" s="717"/>
      <c r="RZE90" s="717"/>
      <c r="RZF90" s="717"/>
      <c r="RZG90" s="717"/>
      <c r="RZH90" s="717"/>
      <c r="RZI90" s="717"/>
      <c r="RZJ90" s="717"/>
      <c r="RZK90" s="717"/>
      <c r="RZL90" s="717"/>
      <c r="RZM90" s="717"/>
      <c r="RZN90" s="717"/>
      <c r="RZO90" s="717"/>
      <c r="RZP90" s="717"/>
      <c r="RZQ90" s="717"/>
      <c r="RZR90" s="717"/>
      <c r="RZS90" s="717"/>
      <c r="RZT90" s="717"/>
      <c r="RZU90" s="717"/>
      <c r="RZV90" s="717"/>
      <c r="RZW90" s="717"/>
      <c r="RZX90" s="717"/>
      <c r="RZY90" s="717"/>
      <c r="RZZ90" s="717"/>
      <c r="SAA90" s="717"/>
      <c r="SAB90" s="717"/>
      <c r="SAC90" s="717"/>
      <c r="SAD90" s="717"/>
      <c r="SAE90" s="717"/>
      <c r="SAF90" s="717"/>
      <c r="SAG90" s="717"/>
      <c r="SAH90" s="717"/>
      <c r="SAI90" s="717"/>
      <c r="SAJ90" s="717"/>
      <c r="SAK90" s="717"/>
      <c r="SAL90" s="717"/>
      <c r="SAM90" s="717"/>
      <c r="SAN90" s="717"/>
      <c r="SAO90" s="717"/>
      <c r="SAP90" s="717"/>
      <c r="SAQ90" s="717"/>
      <c r="SAR90" s="717"/>
      <c r="SAS90" s="717"/>
      <c r="SAT90" s="717"/>
      <c r="SAU90" s="717"/>
      <c r="SAV90" s="717"/>
      <c r="SAW90" s="717"/>
      <c r="SAX90" s="717"/>
      <c r="SAY90" s="717"/>
      <c r="SAZ90" s="717"/>
      <c r="SBA90" s="717"/>
      <c r="SBB90" s="717"/>
      <c r="SBC90" s="717"/>
      <c r="SBD90" s="717"/>
      <c r="SBE90" s="717"/>
      <c r="SBF90" s="717"/>
      <c r="SBG90" s="717"/>
      <c r="SBH90" s="717"/>
      <c r="SBI90" s="717"/>
      <c r="SBJ90" s="717"/>
      <c r="SBK90" s="717"/>
      <c r="SBL90" s="717"/>
      <c r="SBM90" s="717"/>
      <c r="SBN90" s="717"/>
      <c r="SBO90" s="717"/>
      <c r="SBP90" s="717"/>
      <c r="SBQ90" s="717"/>
      <c r="SBR90" s="717"/>
      <c r="SBS90" s="717"/>
      <c r="SBT90" s="717"/>
      <c r="SBU90" s="717"/>
      <c r="SBV90" s="717"/>
      <c r="SBW90" s="717"/>
      <c r="SBX90" s="717"/>
      <c r="SBY90" s="717"/>
      <c r="SBZ90" s="717"/>
      <c r="SCA90" s="717"/>
      <c r="SCB90" s="717"/>
      <c r="SCC90" s="717"/>
      <c r="SCD90" s="717"/>
      <c r="SCE90" s="717"/>
      <c r="SCF90" s="717"/>
      <c r="SCG90" s="717"/>
      <c r="SCH90" s="717"/>
      <c r="SCI90" s="717"/>
      <c r="SCJ90" s="717"/>
      <c r="SCK90" s="717"/>
      <c r="SCL90" s="717"/>
      <c r="SCM90" s="717"/>
      <c r="SCN90" s="717"/>
      <c r="SCO90" s="717"/>
      <c r="SCP90" s="717"/>
      <c r="SCQ90" s="717"/>
      <c r="SCR90" s="717"/>
      <c r="SCS90" s="717"/>
      <c r="SCT90" s="717"/>
      <c r="SCU90" s="717"/>
      <c r="SCV90" s="717"/>
      <c r="SCW90" s="717"/>
      <c r="SCX90" s="717"/>
      <c r="SCY90" s="717"/>
      <c r="SCZ90" s="717"/>
      <c r="SDA90" s="717"/>
      <c r="SDB90" s="717"/>
      <c r="SDC90" s="717"/>
      <c r="SDD90" s="717"/>
      <c r="SDE90" s="717"/>
      <c r="SDF90" s="717"/>
      <c r="SDG90" s="717"/>
      <c r="SDH90" s="717"/>
      <c r="SDI90" s="717"/>
      <c r="SDJ90" s="717"/>
      <c r="SDK90" s="717"/>
      <c r="SDL90" s="717"/>
      <c r="SDM90" s="717"/>
      <c r="SDN90" s="717"/>
      <c r="SDO90" s="717"/>
      <c r="SDP90" s="717"/>
      <c r="SDQ90" s="717"/>
      <c r="SDR90" s="717"/>
      <c r="SDS90" s="717"/>
      <c r="SDT90" s="717"/>
      <c r="SDU90" s="717"/>
      <c r="SDV90" s="717"/>
      <c r="SDW90" s="717"/>
      <c r="SDX90" s="717"/>
      <c r="SDY90" s="717"/>
      <c r="SDZ90" s="717"/>
      <c r="SEA90" s="717"/>
      <c r="SEB90" s="717"/>
      <c r="SEC90" s="717"/>
      <c r="SED90" s="717"/>
      <c r="SEE90" s="717"/>
      <c r="SEF90" s="717"/>
      <c r="SEG90" s="717"/>
      <c r="SEH90" s="717"/>
      <c r="SEI90" s="717"/>
      <c r="SEJ90" s="717"/>
      <c r="SEK90" s="717"/>
      <c r="SEL90" s="717"/>
      <c r="SEM90" s="717"/>
      <c r="SEN90" s="717"/>
      <c r="SEO90" s="717"/>
      <c r="SEP90" s="717"/>
      <c r="SEQ90" s="717"/>
      <c r="SER90" s="717"/>
      <c r="SES90" s="717"/>
      <c r="SET90" s="717"/>
      <c r="SEU90" s="717"/>
      <c r="SEV90" s="717"/>
      <c r="SEW90" s="717"/>
      <c r="SEX90" s="717"/>
      <c r="SEY90" s="717"/>
      <c r="SEZ90" s="717"/>
      <c r="SFA90" s="717"/>
      <c r="SFB90" s="717"/>
      <c r="SFC90" s="717"/>
      <c r="SFD90" s="717"/>
      <c r="SFE90" s="717"/>
      <c r="SFF90" s="717"/>
      <c r="SFG90" s="717"/>
      <c r="SFH90" s="717"/>
      <c r="SFI90" s="717"/>
      <c r="SFJ90" s="717"/>
      <c r="SFK90" s="717"/>
      <c r="SFL90" s="717"/>
      <c r="SFM90" s="717"/>
      <c r="SFN90" s="717"/>
      <c r="SFO90" s="717"/>
      <c r="SFP90" s="717"/>
      <c r="SFQ90" s="717"/>
      <c r="SFR90" s="717"/>
      <c r="SFS90" s="717"/>
      <c r="SFT90" s="717"/>
      <c r="SFU90" s="717"/>
      <c r="SFV90" s="717"/>
      <c r="SFW90" s="717"/>
      <c r="SFX90" s="717"/>
      <c r="SFY90" s="717"/>
      <c r="SFZ90" s="717"/>
      <c r="SGA90" s="717"/>
      <c r="SGB90" s="717"/>
      <c r="SGC90" s="717"/>
      <c r="SGD90" s="717"/>
      <c r="SGE90" s="717"/>
      <c r="SGF90" s="717"/>
      <c r="SGG90" s="717"/>
      <c r="SGH90" s="717"/>
      <c r="SGI90" s="717"/>
      <c r="SGJ90" s="717"/>
      <c r="SGK90" s="717"/>
      <c r="SGL90" s="717"/>
      <c r="SGM90" s="717"/>
      <c r="SGN90" s="717"/>
      <c r="SGO90" s="717"/>
      <c r="SGP90" s="717"/>
      <c r="SGQ90" s="717"/>
      <c r="SGR90" s="717"/>
      <c r="SGS90" s="717"/>
      <c r="SGT90" s="717"/>
      <c r="SGU90" s="717"/>
      <c r="SGV90" s="717"/>
      <c r="SGW90" s="717"/>
      <c r="SGX90" s="717"/>
      <c r="SGY90" s="717"/>
      <c r="SGZ90" s="717"/>
      <c r="SHA90" s="717"/>
      <c r="SHB90" s="717"/>
      <c r="SHC90" s="717"/>
      <c r="SHJ90" s="717"/>
      <c r="SHK90" s="717"/>
      <c r="SHL90" s="717"/>
      <c r="SHM90" s="717"/>
      <c r="SHN90" s="717"/>
      <c r="SHO90" s="717"/>
      <c r="SHP90" s="717"/>
      <c r="SHQ90" s="717"/>
      <c r="SHR90" s="717"/>
      <c r="SHS90" s="717"/>
      <c r="SHT90" s="717"/>
      <c r="SHU90" s="717"/>
      <c r="SHV90" s="717"/>
      <c r="SHW90" s="717"/>
      <c r="SHX90" s="717"/>
      <c r="SHY90" s="717"/>
      <c r="SHZ90" s="717"/>
      <c r="SIA90" s="717"/>
      <c r="SIB90" s="717"/>
      <c r="SIC90" s="717"/>
      <c r="SID90" s="717"/>
      <c r="SIE90" s="717"/>
      <c r="SIF90" s="717"/>
      <c r="SIG90" s="717"/>
      <c r="SIH90" s="717"/>
      <c r="SII90" s="717"/>
      <c r="SIJ90" s="717"/>
      <c r="SIK90" s="717"/>
      <c r="SIL90" s="717"/>
      <c r="SIM90" s="717"/>
      <c r="SIN90" s="717"/>
      <c r="SIO90" s="717"/>
      <c r="SIP90" s="717"/>
      <c r="SIQ90" s="717"/>
      <c r="SIR90" s="717"/>
      <c r="SIS90" s="717"/>
      <c r="SIT90" s="717"/>
      <c r="SIU90" s="717"/>
      <c r="SIV90" s="717"/>
      <c r="SIW90" s="717"/>
      <c r="SIX90" s="717"/>
      <c r="SIY90" s="717"/>
      <c r="SIZ90" s="717"/>
      <c r="SJA90" s="717"/>
      <c r="SJB90" s="717"/>
      <c r="SJC90" s="717"/>
      <c r="SJD90" s="717"/>
      <c r="SJE90" s="717"/>
      <c r="SJF90" s="717"/>
      <c r="SJG90" s="717"/>
      <c r="SJH90" s="717"/>
      <c r="SJI90" s="717"/>
      <c r="SJJ90" s="717"/>
      <c r="SJK90" s="717"/>
      <c r="SJL90" s="717"/>
      <c r="SJM90" s="717"/>
      <c r="SJN90" s="717"/>
      <c r="SJO90" s="717"/>
      <c r="SJP90" s="717"/>
      <c r="SJQ90" s="717"/>
      <c r="SJR90" s="717"/>
      <c r="SJS90" s="717"/>
      <c r="SJT90" s="717"/>
      <c r="SJU90" s="717"/>
      <c r="SJV90" s="717"/>
      <c r="SJW90" s="717"/>
      <c r="SJX90" s="717"/>
      <c r="SJY90" s="717"/>
      <c r="SJZ90" s="717"/>
      <c r="SKA90" s="717"/>
      <c r="SKB90" s="717"/>
      <c r="SKC90" s="717"/>
      <c r="SKD90" s="717"/>
      <c r="SKE90" s="717"/>
      <c r="SKF90" s="717"/>
      <c r="SKG90" s="717"/>
      <c r="SKH90" s="717"/>
      <c r="SKI90" s="717"/>
      <c r="SKJ90" s="717"/>
      <c r="SKK90" s="717"/>
      <c r="SKL90" s="717"/>
      <c r="SKM90" s="717"/>
      <c r="SKN90" s="717"/>
      <c r="SKO90" s="717"/>
      <c r="SKP90" s="717"/>
      <c r="SKQ90" s="717"/>
      <c r="SKR90" s="717"/>
      <c r="SKS90" s="717"/>
      <c r="SKT90" s="717"/>
      <c r="SKU90" s="717"/>
      <c r="SKV90" s="717"/>
      <c r="SKW90" s="717"/>
      <c r="SKX90" s="717"/>
      <c r="SKY90" s="717"/>
      <c r="SKZ90" s="717"/>
      <c r="SLA90" s="717"/>
      <c r="SLB90" s="717"/>
      <c r="SLC90" s="717"/>
      <c r="SLD90" s="717"/>
      <c r="SLE90" s="717"/>
      <c r="SLF90" s="717"/>
      <c r="SLG90" s="717"/>
      <c r="SLH90" s="717"/>
      <c r="SLI90" s="717"/>
      <c r="SLJ90" s="717"/>
      <c r="SLK90" s="717"/>
      <c r="SLL90" s="717"/>
      <c r="SLM90" s="717"/>
      <c r="SLN90" s="717"/>
      <c r="SLO90" s="717"/>
      <c r="SLP90" s="717"/>
      <c r="SLQ90" s="717"/>
      <c r="SLR90" s="717"/>
      <c r="SLS90" s="717"/>
      <c r="SLT90" s="717"/>
      <c r="SLU90" s="717"/>
      <c r="SLV90" s="717"/>
      <c r="SLW90" s="717"/>
      <c r="SLX90" s="717"/>
      <c r="SLY90" s="717"/>
      <c r="SLZ90" s="717"/>
      <c r="SMA90" s="717"/>
      <c r="SMB90" s="717"/>
      <c r="SMC90" s="717"/>
      <c r="SMD90" s="717"/>
      <c r="SME90" s="717"/>
      <c r="SMF90" s="717"/>
      <c r="SMG90" s="717"/>
      <c r="SMH90" s="717"/>
      <c r="SMI90" s="717"/>
      <c r="SMJ90" s="717"/>
      <c r="SMK90" s="717"/>
      <c r="SML90" s="717"/>
      <c r="SMM90" s="717"/>
      <c r="SMN90" s="717"/>
      <c r="SMO90" s="717"/>
      <c r="SMP90" s="717"/>
      <c r="SMQ90" s="717"/>
      <c r="SMR90" s="717"/>
      <c r="SMS90" s="717"/>
      <c r="SMT90" s="717"/>
      <c r="SMU90" s="717"/>
      <c r="SMV90" s="717"/>
      <c r="SMW90" s="717"/>
      <c r="SMX90" s="717"/>
      <c r="SMY90" s="717"/>
      <c r="SMZ90" s="717"/>
      <c r="SNA90" s="717"/>
      <c r="SNB90" s="717"/>
      <c r="SNC90" s="717"/>
      <c r="SND90" s="717"/>
      <c r="SNE90" s="717"/>
      <c r="SNF90" s="717"/>
      <c r="SNG90" s="717"/>
      <c r="SNH90" s="717"/>
      <c r="SNI90" s="717"/>
      <c r="SNJ90" s="717"/>
      <c r="SNK90" s="717"/>
      <c r="SNL90" s="717"/>
      <c r="SNM90" s="717"/>
      <c r="SNN90" s="717"/>
      <c r="SNO90" s="717"/>
      <c r="SNP90" s="717"/>
      <c r="SNQ90" s="717"/>
      <c r="SNR90" s="717"/>
      <c r="SNS90" s="717"/>
      <c r="SNT90" s="717"/>
      <c r="SNU90" s="717"/>
      <c r="SNV90" s="717"/>
      <c r="SNW90" s="717"/>
      <c r="SNX90" s="717"/>
      <c r="SNY90" s="717"/>
      <c r="SNZ90" s="717"/>
      <c r="SOA90" s="717"/>
      <c r="SOB90" s="717"/>
      <c r="SOC90" s="717"/>
      <c r="SOD90" s="717"/>
      <c r="SOE90" s="717"/>
      <c r="SOF90" s="717"/>
      <c r="SOG90" s="717"/>
      <c r="SOH90" s="717"/>
      <c r="SOI90" s="717"/>
      <c r="SOJ90" s="717"/>
      <c r="SOK90" s="717"/>
      <c r="SOL90" s="717"/>
      <c r="SOM90" s="717"/>
      <c r="SON90" s="717"/>
      <c r="SOO90" s="717"/>
      <c r="SOP90" s="717"/>
      <c r="SOQ90" s="717"/>
      <c r="SOR90" s="717"/>
      <c r="SOS90" s="717"/>
      <c r="SOT90" s="717"/>
      <c r="SOU90" s="717"/>
      <c r="SOV90" s="717"/>
      <c r="SOW90" s="717"/>
      <c r="SOX90" s="717"/>
      <c r="SOY90" s="717"/>
      <c r="SOZ90" s="717"/>
      <c r="SPA90" s="717"/>
      <c r="SPB90" s="717"/>
      <c r="SPC90" s="717"/>
      <c r="SPD90" s="717"/>
      <c r="SPE90" s="717"/>
      <c r="SPF90" s="717"/>
      <c r="SPG90" s="717"/>
      <c r="SPH90" s="717"/>
      <c r="SPI90" s="717"/>
      <c r="SPJ90" s="717"/>
      <c r="SPK90" s="717"/>
      <c r="SPL90" s="717"/>
      <c r="SPM90" s="717"/>
      <c r="SPN90" s="717"/>
      <c r="SPO90" s="717"/>
      <c r="SPP90" s="717"/>
      <c r="SPQ90" s="717"/>
      <c r="SPR90" s="717"/>
      <c r="SPS90" s="717"/>
      <c r="SPT90" s="717"/>
      <c r="SPU90" s="717"/>
      <c r="SPV90" s="717"/>
      <c r="SPW90" s="717"/>
      <c r="SPX90" s="717"/>
      <c r="SPY90" s="717"/>
      <c r="SPZ90" s="717"/>
      <c r="SQA90" s="717"/>
      <c r="SQB90" s="717"/>
      <c r="SQC90" s="717"/>
      <c r="SQD90" s="717"/>
      <c r="SQE90" s="717"/>
      <c r="SQF90" s="717"/>
      <c r="SQG90" s="717"/>
      <c r="SQH90" s="717"/>
      <c r="SQI90" s="717"/>
      <c r="SQJ90" s="717"/>
      <c r="SQK90" s="717"/>
      <c r="SQL90" s="717"/>
      <c r="SQM90" s="717"/>
      <c r="SQN90" s="717"/>
      <c r="SQO90" s="717"/>
      <c r="SQP90" s="717"/>
      <c r="SQQ90" s="717"/>
      <c r="SQR90" s="717"/>
      <c r="SQS90" s="717"/>
      <c r="SQT90" s="717"/>
      <c r="SQU90" s="717"/>
      <c r="SQV90" s="717"/>
      <c r="SQW90" s="717"/>
      <c r="SQX90" s="717"/>
      <c r="SQY90" s="717"/>
      <c r="SRF90" s="717"/>
      <c r="SRG90" s="717"/>
      <c r="SRH90" s="717"/>
      <c r="SRI90" s="717"/>
      <c r="SRJ90" s="717"/>
      <c r="SRK90" s="717"/>
      <c r="SRL90" s="717"/>
      <c r="SRM90" s="717"/>
      <c r="SRN90" s="717"/>
      <c r="SRO90" s="717"/>
      <c r="SRP90" s="717"/>
      <c r="SRQ90" s="717"/>
      <c r="SRR90" s="717"/>
      <c r="SRS90" s="717"/>
      <c r="SRT90" s="717"/>
      <c r="SRU90" s="717"/>
      <c r="SRV90" s="717"/>
      <c r="SRW90" s="717"/>
      <c r="SRX90" s="717"/>
      <c r="SRY90" s="717"/>
      <c r="SRZ90" s="717"/>
      <c r="SSA90" s="717"/>
      <c r="SSB90" s="717"/>
      <c r="SSC90" s="717"/>
      <c r="SSD90" s="717"/>
      <c r="SSE90" s="717"/>
      <c r="SSF90" s="717"/>
      <c r="SSG90" s="717"/>
      <c r="SSH90" s="717"/>
      <c r="SSI90" s="717"/>
      <c r="SSJ90" s="717"/>
      <c r="SSK90" s="717"/>
      <c r="SSL90" s="717"/>
      <c r="SSM90" s="717"/>
      <c r="SSN90" s="717"/>
      <c r="SSO90" s="717"/>
      <c r="SSP90" s="717"/>
      <c r="SSQ90" s="717"/>
      <c r="SSR90" s="717"/>
      <c r="SSS90" s="717"/>
      <c r="SST90" s="717"/>
      <c r="SSU90" s="717"/>
      <c r="SSV90" s="717"/>
      <c r="SSW90" s="717"/>
      <c r="SSX90" s="717"/>
      <c r="SSY90" s="717"/>
      <c r="SSZ90" s="717"/>
      <c r="STA90" s="717"/>
      <c r="STB90" s="717"/>
      <c r="STC90" s="717"/>
      <c r="STD90" s="717"/>
      <c r="STE90" s="717"/>
      <c r="STF90" s="717"/>
      <c r="STG90" s="717"/>
      <c r="STH90" s="717"/>
      <c r="STI90" s="717"/>
      <c r="STJ90" s="717"/>
      <c r="STK90" s="717"/>
      <c r="STL90" s="717"/>
      <c r="STM90" s="717"/>
      <c r="STN90" s="717"/>
      <c r="STO90" s="717"/>
      <c r="STP90" s="717"/>
      <c r="STQ90" s="717"/>
      <c r="STR90" s="717"/>
      <c r="STS90" s="717"/>
      <c r="STT90" s="717"/>
      <c r="STU90" s="717"/>
      <c r="STV90" s="717"/>
      <c r="STW90" s="717"/>
      <c r="STX90" s="717"/>
      <c r="STY90" s="717"/>
      <c r="STZ90" s="717"/>
      <c r="SUA90" s="717"/>
      <c r="SUB90" s="717"/>
      <c r="SUC90" s="717"/>
      <c r="SUD90" s="717"/>
      <c r="SUE90" s="717"/>
      <c r="SUF90" s="717"/>
      <c r="SUG90" s="717"/>
      <c r="SUH90" s="717"/>
      <c r="SUI90" s="717"/>
      <c r="SUJ90" s="717"/>
      <c r="SUK90" s="717"/>
      <c r="SUL90" s="717"/>
      <c r="SUM90" s="717"/>
      <c r="SUN90" s="717"/>
      <c r="SUO90" s="717"/>
      <c r="SUP90" s="717"/>
      <c r="SUQ90" s="717"/>
      <c r="SUR90" s="717"/>
      <c r="SUS90" s="717"/>
      <c r="SUT90" s="717"/>
      <c r="SUU90" s="717"/>
      <c r="SUV90" s="717"/>
      <c r="SUW90" s="717"/>
      <c r="SUX90" s="717"/>
      <c r="SUY90" s="717"/>
      <c r="SUZ90" s="717"/>
      <c r="SVA90" s="717"/>
      <c r="SVB90" s="717"/>
      <c r="SVC90" s="717"/>
      <c r="SVD90" s="717"/>
      <c r="SVE90" s="717"/>
      <c r="SVF90" s="717"/>
      <c r="SVG90" s="717"/>
      <c r="SVH90" s="717"/>
      <c r="SVI90" s="717"/>
      <c r="SVJ90" s="717"/>
      <c r="SVK90" s="717"/>
      <c r="SVL90" s="717"/>
      <c r="SVM90" s="717"/>
      <c r="SVN90" s="717"/>
      <c r="SVO90" s="717"/>
      <c r="SVP90" s="717"/>
      <c r="SVQ90" s="717"/>
      <c r="SVR90" s="717"/>
      <c r="SVS90" s="717"/>
      <c r="SVT90" s="717"/>
      <c r="SVU90" s="717"/>
      <c r="SVV90" s="717"/>
      <c r="SVW90" s="717"/>
      <c r="SVX90" s="717"/>
      <c r="SVY90" s="717"/>
      <c r="SVZ90" s="717"/>
      <c r="SWA90" s="717"/>
      <c r="SWB90" s="717"/>
      <c r="SWC90" s="717"/>
      <c r="SWD90" s="717"/>
      <c r="SWE90" s="717"/>
      <c r="SWF90" s="717"/>
      <c r="SWG90" s="717"/>
      <c r="SWH90" s="717"/>
      <c r="SWI90" s="717"/>
      <c r="SWJ90" s="717"/>
      <c r="SWK90" s="717"/>
      <c r="SWL90" s="717"/>
      <c r="SWM90" s="717"/>
      <c r="SWN90" s="717"/>
      <c r="SWO90" s="717"/>
      <c r="SWP90" s="717"/>
      <c r="SWQ90" s="717"/>
      <c r="SWR90" s="717"/>
      <c r="SWS90" s="717"/>
      <c r="SWT90" s="717"/>
      <c r="SWU90" s="717"/>
      <c r="SWV90" s="717"/>
      <c r="SWW90" s="717"/>
      <c r="SWX90" s="717"/>
      <c r="SWY90" s="717"/>
      <c r="SWZ90" s="717"/>
      <c r="SXA90" s="717"/>
      <c r="SXB90" s="717"/>
      <c r="SXC90" s="717"/>
      <c r="SXD90" s="717"/>
      <c r="SXE90" s="717"/>
      <c r="SXF90" s="717"/>
      <c r="SXG90" s="717"/>
      <c r="SXH90" s="717"/>
      <c r="SXI90" s="717"/>
      <c r="SXJ90" s="717"/>
      <c r="SXK90" s="717"/>
      <c r="SXL90" s="717"/>
      <c r="SXM90" s="717"/>
      <c r="SXN90" s="717"/>
      <c r="SXO90" s="717"/>
      <c r="SXP90" s="717"/>
      <c r="SXQ90" s="717"/>
      <c r="SXR90" s="717"/>
      <c r="SXS90" s="717"/>
      <c r="SXT90" s="717"/>
      <c r="SXU90" s="717"/>
      <c r="SXV90" s="717"/>
      <c r="SXW90" s="717"/>
      <c r="SXX90" s="717"/>
      <c r="SXY90" s="717"/>
      <c r="SXZ90" s="717"/>
      <c r="SYA90" s="717"/>
      <c r="SYB90" s="717"/>
      <c r="SYC90" s="717"/>
      <c r="SYD90" s="717"/>
      <c r="SYE90" s="717"/>
      <c r="SYF90" s="717"/>
      <c r="SYG90" s="717"/>
      <c r="SYH90" s="717"/>
      <c r="SYI90" s="717"/>
      <c r="SYJ90" s="717"/>
      <c r="SYK90" s="717"/>
      <c r="SYL90" s="717"/>
      <c r="SYM90" s="717"/>
      <c r="SYN90" s="717"/>
      <c r="SYO90" s="717"/>
      <c r="SYP90" s="717"/>
      <c r="SYQ90" s="717"/>
      <c r="SYR90" s="717"/>
      <c r="SYS90" s="717"/>
      <c r="SYT90" s="717"/>
      <c r="SYU90" s="717"/>
      <c r="SYV90" s="717"/>
      <c r="SYW90" s="717"/>
      <c r="SYX90" s="717"/>
      <c r="SYY90" s="717"/>
      <c r="SYZ90" s="717"/>
      <c r="SZA90" s="717"/>
      <c r="SZB90" s="717"/>
      <c r="SZC90" s="717"/>
      <c r="SZD90" s="717"/>
      <c r="SZE90" s="717"/>
      <c r="SZF90" s="717"/>
      <c r="SZG90" s="717"/>
      <c r="SZH90" s="717"/>
      <c r="SZI90" s="717"/>
      <c r="SZJ90" s="717"/>
      <c r="SZK90" s="717"/>
      <c r="SZL90" s="717"/>
      <c r="SZM90" s="717"/>
      <c r="SZN90" s="717"/>
      <c r="SZO90" s="717"/>
      <c r="SZP90" s="717"/>
      <c r="SZQ90" s="717"/>
      <c r="SZR90" s="717"/>
      <c r="SZS90" s="717"/>
      <c r="SZT90" s="717"/>
      <c r="SZU90" s="717"/>
      <c r="SZV90" s="717"/>
      <c r="SZW90" s="717"/>
      <c r="SZX90" s="717"/>
      <c r="SZY90" s="717"/>
      <c r="SZZ90" s="717"/>
      <c r="TAA90" s="717"/>
      <c r="TAB90" s="717"/>
      <c r="TAC90" s="717"/>
      <c r="TAD90" s="717"/>
      <c r="TAE90" s="717"/>
      <c r="TAF90" s="717"/>
      <c r="TAG90" s="717"/>
      <c r="TAH90" s="717"/>
      <c r="TAI90" s="717"/>
      <c r="TAJ90" s="717"/>
      <c r="TAK90" s="717"/>
      <c r="TAL90" s="717"/>
      <c r="TAM90" s="717"/>
      <c r="TAN90" s="717"/>
      <c r="TAO90" s="717"/>
      <c r="TAP90" s="717"/>
      <c r="TAQ90" s="717"/>
      <c r="TAR90" s="717"/>
      <c r="TAS90" s="717"/>
      <c r="TAT90" s="717"/>
      <c r="TAU90" s="717"/>
      <c r="TBB90" s="717"/>
      <c r="TBC90" s="717"/>
      <c r="TBD90" s="717"/>
      <c r="TBE90" s="717"/>
      <c r="TBF90" s="717"/>
      <c r="TBG90" s="717"/>
      <c r="TBH90" s="717"/>
      <c r="TBI90" s="717"/>
      <c r="TBJ90" s="717"/>
      <c r="TBK90" s="717"/>
      <c r="TBL90" s="717"/>
      <c r="TBM90" s="717"/>
      <c r="TBN90" s="717"/>
      <c r="TBO90" s="717"/>
      <c r="TBP90" s="717"/>
      <c r="TBQ90" s="717"/>
      <c r="TBR90" s="717"/>
      <c r="TBS90" s="717"/>
      <c r="TBT90" s="717"/>
      <c r="TBU90" s="717"/>
      <c r="TBV90" s="717"/>
      <c r="TBW90" s="717"/>
      <c r="TBX90" s="717"/>
      <c r="TBY90" s="717"/>
      <c r="TBZ90" s="717"/>
      <c r="TCA90" s="717"/>
      <c r="TCB90" s="717"/>
      <c r="TCC90" s="717"/>
      <c r="TCD90" s="717"/>
      <c r="TCE90" s="717"/>
      <c r="TCF90" s="717"/>
      <c r="TCG90" s="717"/>
      <c r="TCH90" s="717"/>
      <c r="TCI90" s="717"/>
      <c r="TCJ90" s="717"/>
      <c r="TCK90" s="717"/>
      <c r="TCL90" s="717"/>
      <c r="TCM90" s="717"/>
      <c r="TCN90" s="717"/>
      <c r="TCO90" s="717"/>
      <c r="TCP90" s="717"/>
      <c r="TCQ90" s="717"/>
      <c r="TCR90" s="717"/>
      <c r="TCS90" s="717"/>
      <c r="TCT90" s="717"/>
      <c r="TCU90" s="717"/>
      <c r="TCV90" s="717"/>
      <c r="TCW90" s="717"/>
      <c r="TCX90" s="717"/>
      <c r="TCY90" s="717"/>
      <c r="TCZ90" s="717"/>
      <c r="TDA90" s="717"/>
      <c r="TDB90" s="717"/>
      <c r="TDC90" s="717"/>
      <c r="TDD90" s="717"/>
      <c r="TDE90" s="717"/>
      <c r="TDF90" s="717"/>
      <c r="TDG90" s="717"/>
      <c r="TDH90" s="717"/>
      <c r="TDI90" s="717"/>
      <c r="TDJ90" s="717"/>
      <c r="TDK90" s="717"/>
      <c r="TDL90" s="717"/>
      <c r="TDM90" s="717"/>
      <c r="TDN90" s="717"/>
      <c r="TDO90" s="717"/>
      <c r="TDP90" s="717"/>
      <c r="TDQ90" s="717"/>
      <c r="TDR90" s="717"/>
      <c r="TDS90" s="717"/>
      <c r="TDT90" s="717"/>
      <c r="TDU90" s="717"/>
      <c r="TDV90" s="717"/>
      <c r="TDW90" s="717"/>
      <c r="TDX90" s="717"/>
      <c r="TDY90" s="717"/>
      <c r="TDZ90" s="717"/>
      <c r="TEA90" s="717"/>
      <c r="TEB90" s="717"/>
      <c r="TEC90" s="717"/>
      <c r="TED90" s="717"/>
      <c r="TEE90" s="717"/>
      <c r="TEF90" s="717"/>
      <c r="TEG90" s="717"/>
      <c r="TEH90" s="717"/>
      <c r="TEI90" s="717"/>
      <c r="TEJ90" s="717"/>
      <c r="TEK90" s="717"/>
      <c r="TEL90" s="717"/>
      <c r="TEM90" s="717"/>
      <c r="TEN90" s="717"/>
      <c r="TEO90" s="717"/>
      <c r="TEP90" s="717"/>
      <c r="TEQ90" s="717"/>
      <c r="TER90" s="717"/>
      <c r="TES90" s="717"/>
      <c r="TET90" s="717"/>
      <c r="TEU90" s="717"/>
      <c r="TEV90" s="717"/>
      <c r="TEW90" s="717"/>
      <c r="TEX90" s="717"/>
      <c r="TEY90" s="717"/>
      <c r="TEZ90" s="717"/>
      <c r="TFA90" s="717"/>
      <c r="TFB90" s="717"/>
      <c r="TFC90" s="717"/>
      <c r="TFD90" s="717"/>
      <c r="TFE90" s="717"/>
      <c r="TFF90" s="717"/>
      <c r="TFG90" s="717"/>
      <c r="TFH90" s="717"/>
      <c r="TFI90" s="717"/>
      <c r="TFJ90" s="717"/>
      <c r="TFK90" s="717"/>
      <c r="TFL90" s="717"/>
      <c r="TFM90" s="717"/>
      <c r="TFN90" s="717"/>
      <c r="TFO90" s="717"/>
      <c r="TFP90" s="717"/>
      <c r="TFQ90" s="717"/>
      <c r="TFR90" s="717"/>
      <c r="TFS90" s="717"/>
      <c r="TFT90" s="717"/>
      <c r="TFU90" s="717"/>
      <c r="TFV90" s="717"/>
      <c r="TFW90" s="717"/>
      <c r="TFX90" s="717"/>
      <c r="TFY90" s="717"/>
      <c r="TFZ90" s="717"/>
      <c r="TGA90" s="717"/>
      <c r="TGB90" s="717"/>
      <c r="TGC90" s="717"/>
      <c r="TGD90" s="717"/>
      <c r="TGE90" s="717"/>
      <c r="TGF90" s="717"/>
      <c r="TGG90" s="717"/>
      <c r="TGH90" s="717"/>
      <c r="TGI90" s="717"/>
      <c r="TGJ90" s="717"/>
      <c r="TGK90" s="717"/>
      <c r="TGL90" s="717"/>
      <c r="TGM90" s="717"/>
      <c r="TGN90" s="717"/>
      <c r="TGO90" s="717"/>
      <c r="TGP90" s="717"/>
      <c r="TGQ90" s="717"/>
      <c r="TGR90" s="717"/>
      <c r="TGS90" s="717"/>
      <c r="TGT90" s="717"/>
      <c r="TGU90" s="717"/>
      <c r="TGV90" s="717"/>
      <c r="TGW90" s="717"/>
      <c r="TGX90" s="717"/>
      <c r="TGY90" s="717"/>
      <c r="TGZ90" s="717"/>
      <c r="THA90" s="717"/>
      <c r="THB90" s="717"/>
      <c r="THC90" s="717"/>
      <c r="THD90" s="717"/>
      <c r="THE90" s="717"/>
      <c r="THF90" s="717"/>
      <c r="THG90" s="717"/>
      <c r="THH90" s="717"/>
      <c r="THI90" s="717"/>
      <c r="THJ90" s="717"/>
      <c r="THK90" s="717"/>
      <c r="THL90" s="717"/>
      <c r="THM90" s="717"/>
      <c r="THN90" s="717"/>
      <c r="THO90" s="717"/>
      <c r="THP90" s="717"/>
      <c r="THQ90" s="717"/>
      <c r="THR90" s="717"/>
      <c r="THS90" s="717"/>
      <c r="THT90" s="717"/>
      <c r="THU90" s="717"/>
      <c r="THV90" s="717"/>
      <c r="THW90" s="717"/>
      <c r="THX90" s="717"/>
      <c r="THY90" s="717"/>
      <c r="THZ90" s="717"/>
      <c r="TIA90" s="717"/>
      <c r="TIB90" s="717"/>
      <c r="TIC90" s="717"/>
      <c r="TID90" s="717"/>
      <c r="TIE90" s="717"/>
      <c r="TIF90" s="717"/>
      <c r="TIG90" s="717"/>
      <c r="TIH90" s="717"/>
      <c r="TII90" s="717"/>
      <c r="TIJ90" s="717"/>
      <c r="TIK90" s="717"/>
      <c r="TIL90" s="717"/>
      <c r="TIM90" s="717"/>
      <c r="TIN90" s="717"/>
      <c r="TIO90" s="717"/>
      <c r="TIP90" s="717"/>
      <c r="TIQ90" s="717"/>
      <c r="TIR90" s="717"/>
      <c r="TIS90" s="717"/>
      <c r="TIT90" s="717"/>
      <c r="TIU90" s="717"/>
      <c r="TIV90" s="717"/>
      <c r="TIW90" s="717"/>
      <c r="TIX90" s="717"/>
      <c r="TIY90" s="717"/>
      <c r="TIZ90" s="717"/>
      <c r="TJA90" s="717"/>
      <c r="TJB90" s="717"/>
      <c r="TJC90" s="717"/>
      <c r="TJD90" s="717"/>
      <c r="TJE90" s="717"/>
      <c r="TJF90" s="717"/>
      <c r="TJG90" s="717"/>
      <c r="TJH90" s="717"/>
      <c r="TJI90" s="717"/>
      <c r="TJJ90" s="717"/>
      <c r="TJK90" s="717"/>
      <c r="TJL90" s="717"/>
      <c r="TJM90" s="717"/>
      <c r="TJN90" s="717"/>
      <c r="TJO90" s="717"/>
      <c r="TJP90" s="717"/>
      <c r="TJQ90" s="717"/>
      <c r="TJR90" s="717"/>
      <c r="TJS90" s="717"/>
      <c r="TJT90" s="717"/>
      <c r="TJU90" s="717"/>
      <c r="TJV90" s="717"/>
      <c r="TJW90" s="717"/>
      <c r="TJX90" s="717"/>
      <c r="TJY90" s="717"/>
      <c r="TJZ90" s="717"/>
      <c r="TKA90" s="717"/>
      <c r="TKB90" s="717"/>
      <c r="TKC90" s="717"/>
      <c r="TKD90" s="717"/>
      <c r="TKE90" s="717"/>
      <c r="TKF90" s="717"/>
      <c r="TKG90" s="717"/>
      <c r="TKH90" s="717"/>
      <c r="TKI90" s="717"/>
      <c r="TKJ90" s="717"/>
      <c r="TKK90" s="717"/>
      <c r="TKL90" s="717"/>
      <c r="TKM90" s="717"/>
      <c r="TKN90" s="717"/>
      <c r="TKO90" s="717"/>
      <c r="TKP90" s="717"/>
      <c r="TKQ90" s="717"/>
      <c r="TKX90" s="717"/>
      <c r="TKY90" s="717"/>
      <c r="TKZ90" s="717"/>
      <c r="TLA90" s="717"/>
      <c r="TLB90" s="717"/>
      <c r="TLC90" s="717"/>
      <c r="TLD90" s="717"/>
      <c r="TLE90" s="717"/>
      <c r="TLF90" s="717"/>
      <c r="TLG90" s="717"/>
      <c r="TLH90" s="717"/>
      <c r="TLI90" s="717"/>
      <c r="TLJ90" s="717"/>
      <c r="TLK90" s="717"/>
      <c r="TLL90" s="717"/>
      <c r="TLM90" s="717"/>
      <c r="TLN90" s="717"/>
      <c r="TLO90" s="717"/>
      <c r="TLP90" s="717"/>
      <c r="TLQ90" s="717"/>
      <c r="TLR90" s="717"/>
      <c r="TLS90" s="717"/>
      <c r="TLT90" s="717"/>
      <c r="TLU90" s="717"/>
      <c r="TLV90" s="717"/>
      <c r="TLW90" s="717"/>
      <c r="TLX90" s="717"/>
      <c r="TLY90" s="717"/>
      <c r="TLZ90" s="717"/>
      <c r="TMA90" s="717"/>
      <c r="TMB90" s="717"/>
      <c r="TMC90" s="717"/>
      <c r="TMD90" s="717"/>
      <c r="TME90" s="717"/>
      <c r="TMF90" s="717"/>
      <c r="TMG90" s="717"/>
      <c r="TMH90" s="717"/>
      <c r="TMI90" s="717"/>
      <c r="TMJ90" s="717"/>
      <c r="TMK90" s="717"/>
      <c r="TML90" s="717"/>
      <c r="TMM90" s="717"/>
      <c r="TMN90" s="717"/>
      <c r="TMO90" s="717"/>
      <c r="TMP90" s="717"/>
      <c r="TMQ90" s="717"/>
      <c r="TMR90" s="717"/>
      <c r="TMS90" s="717"/>
      <c r="TMT90" s="717"/>
      <c r="TMU90" s="717"/>
      <c r="TMV90" s="717"/>
      <c r="TMW90" s="717"/>
      <c r="TMX90" s="717"/>
      <c r="TMY90" s="717"/>
      <c r="TMZ90" s="717"/>
      <c r="TNA90" s="717"/>
      <c r="TNB90" s="717"/>
      <c r="TNC90" s="717"/>
      <c r="TND90" s="717"/>
      <c r="TNE90" s="717"/>
      <c r="TNF90" s="717"/>
      <c r="TNG90" s="717"/>
      <c r="TNH90" s="717"/>
      <c r="TNI90" s="717"/>
      <c r="TNJ90" s="717"/>
      <c r="TNK90" s="717"/>
      <c r="TNL90" s="717"/>
      <c r="TNM90" s="717"/>
      <c r="TNN90" s="717"/>
      <c r="TNO90" s="717"/>
      <c r="TNP90" s="717"/>
      <c r="TNQ90" s="717"/>
      <c r="TNR90" s="717"/>
      <c r="TNS90" s="717"/>
      <c r="TNT90" s="717"/>
      <c r="TNU90" s="717"/>
      <c r="TNV90" s="717"/>
      <c r="TNW90" s="717"/>
      <c r="TNX90" s="717"/>
      <c r="TNY90" s="717"/>
      <c r="TNZ90" s="717"/>
      <c r="TOA90" s="717"/>
      <c r="TOB90" s="717"/>
      <c r="TOC90" s="717"/>
      <c r="TOD90" s="717"/>
      <c r="TOE90" s="717"/>
      <c r="TOF90" s="717"/>
      <c r="TOG90" s="717"/>
      <c r="TOH90" s="717"/>
      <c r="TOI90" s="717"/>
      <c r="TOJ90" s="717"/>
      <c r="TOK90" s="717"/>
      <c r="TOL90" s="717"/>
      <c r="TOM90" s="717"/>
      <c r="TON90" s="717"/>
      <c r="TOO90" s="717"/>
      <c r="TOP90" s="717"/>
      <c r="TOQ90" s="717"/>
      <c r="TOR90" s="717"/>
      <c r="TOS90" s="717"/>
      <c r="TOT90" s="717"/>
      <c r="TOU90" s="717"/>
      <c r="TOV90" s="717"/>
      <c r="TOW90" s="717"/>
      <c r="TOX90" s="717"/>
      <c r="TOY90" s="717"/>
      <c r="TOZ90" s="717"/>
      <c r="TPA90" s="717"/>
      <c r="TPB90" s="717"/>
      <c r="TPC90" s="717"/>
      <c r="TPD90" s="717"/>
      <c r="TPE90" s="717"/>
      <c r="TPF90" s="717"/>
      <c r="TPG90" s="717"/>
      <c r="TPH90" s="717"/>
      <c r="TPI90" s="717"/>
      <c r="TPJ90" s="717"/>
      <c r="TPK90" s="717"/>
      <c r="TPL90" s="717"/>
      <c r="TPM90" s="717"/>
      <c r="TPN90" s="717"/>
      <c r="TPO90" s="717"/>
      <c r="TPP90" s="717"/>
      <c r="TPQ90" s="717"/>
      <c r="TPR90" s="717"/>
      <c r="TPS90" s="717"/>
      <c r="TPT90" s="717"/>
      <c r="TPU90" s="717"/>
      <c r="TPV90" s="717"/>
      <c r="TPW90" s="717"/>
      <c r="TPX90" s="717"/>
      <c r="TPY90" s="717"/>
      <c r="TPZ90" s="717"/>
      <c r="TQA90" s="717"/>
      <c r="TQB90" s="717"/>
      <c r="TQC90" s="717"/>
      <c r="TQD90" s="717"/>
      <c r="TQE90" s="717"/>
      <c r="TQF90" s="717"/>
      <c r="TQG90" s="717"/>
      <c r="TQH90" s="717"/>
      <c r="TQI90" s="717"/>
      <c r="TQJ90" s="717"/>
      <c r="TQK90" s="717"/>
      <c r="TQL90" s="717"/>
      <c r="TQM90" s="717"/>
      <c r="TQN90" s="717"/>
      <c r="TQO90" s="717"/>
      <c r="TQP90" s="717"/>
      <c r="TQQ90" s="717"/>
      <c r="TQR90" s="717"/>
      <c r="TQS90" s="717"/>
      <c r="TQT90" s="717"/>
      <c r="TQU90" s="717"/>
      <c r="TQV90" s="717"/>
      <c r="TQW90" s="717"/>
      <c r="TQX90" s="717"/>
      <c r="TQY90" s="717"/>
      <c r="TQZ90" s="717"/>
      <c r="TRA90" s="717"/>
      <c r="TRB90" s="717"/>
      <c r="TRC90" s="717"/>
      <c r="TRD90" s="717"/>
      <c r="TRE90" s="717"/>
      <c r="TRF90" s="717"/>
      <c r="TRG90" s="717"/>
      <c r="TRH90" s="717"/>
      <c r="TRI90" s="717"/>
      <c r="TRJ90" s="717"/>
      <c r="TRK90" s="717"/>
      <c r="TRL90" s="717"/>
      <c r="TRM90" s="717"/>
      <c r="TRN90" s="717"/>
      <c r="TRO90" s="717"/>
      <c r="TRP90" s="717"/>
      <c r="TRQ90" s="717"/>
      <c r="TRR90" s="717"/>
      <c r="TRS90" s="717"/>
      <c r="TRT90" s="717"/>
      <c r="TRU90" s="717"/>
      <c r="TRV90" s="717"/>
      <c r="TRW90" s="717"/>
      <c r="TRX90" s="717"/>
      <c r="TRY90" s="717"/>
      <c r="TRZ90" s="717"/>
      <c r="TSA90" s="717"/>
      <c r="TSB90" s="717"/>
      <c r="TSC90" s="717"/>
      <c r="TSD90" s="717"/>
      <c r="TSE90" s="717"/>
      <c r="TSF90" s="717"/>
      <c r="TSG90" s="717"/>
      <c r="TSH90" s="717"/>
      <c r="TSI90" s="717"/>
      <c r="TSJ90" s="717"/>
      <c r="TSK90" s="717"/>
      <c r="TSL90" s="717"/>
      <c r="TSM90" s="717"/>
      <c r="TSN90" s="717"/>
      <c r="TSO90" s="717"/>
      <c r="TSP90" s="717"/>
      <c r="TSQ90" s="717"/>
      <c r="TSR90" s="717"/>
      <c r="TSS90" s="717"/>
      <c r="TST90" s="717"/>
      <c r="TSU90" s="717"/>
      <c r="TSV90" s="717"/>
      <c r="TSW90" s="717"/>
      <c r="TSX90" s="717"/>
      <c r="TSY90" s="717"/>
      <c r="TSZ90" s="717"/>
      <c r="TTA90" s="717"/>
      <c r="TTB90" s="717"/>
      <c r="TTC90" s="717"/>
      <c r="TTD90" s="717"/>
      <c r="TTE90" s="717"/>
      <c r="TTF90" s="717"/>
      <c r="TTG90" s="717"/>
      <c r="TTH90" s="717"/>
      <c r="TTI90" s="717"/>
      <c r="TTJ90" s="717"/>
      <c r="TTK90" s="717"/>
      <c r="TTL90" s="717"/>
      <c r="TTM90" s="717"/>
      <c r="TTN90" s="717"/>
      <c r="TTO90" s="717"/>
      <c r="TTP90" s="717"/>
      <c r="TTQ90" s="717"/>
      <c r="TTR90" s="717"/>
      <c r="TTS90" s="717"/>
      <c r="TTT90" s="717"/>
      <c r="TTU90" s="717"/>
      <c r="TTV90" s="717"/>
      <c r="TTW90" s="717"/>
      <c r="TTX90" s="717"/>
      <c r="TTY90" s="717"/>
      <c r="TTZ90" s="717"/>
      <c r="TUA90" s="717"/>
      <c r="TUB90" s="717"/>
      <c r="TUC90" s="717"/>
      <c r="TUD90" s="717"/>
      <c r="TUE90" s="717"/>
      <c r="TUF90" s="717"/>
      <c r="TUG90" s="717"/>
      <c r="TUH90" s="717"/>
      <c r="TUI90" s="717"/>
      <c r="TUJ90" s="717"/>
      <c r="TUK90" s="717"/>
      <c r="TUL90" s="717"/>
      <c r="TUM90" s="717"/>
      <c r="TUT90" s="717"/>
      <c r="TUU90" s="717"/>
      <c r="TUV90" s="717"/>
      <c r="TUW90" s="717"/>
      <c r="TUX90" s="717"/>
      <c r="TUY90" s="717"/>
      <c r="TUZ90" s="717"/>
      <c r="TVA90" s="717"/>
      <c r="TVB90" s="717"/>
      <c r="TVC90" s="717"/>
      <c r="TVD90" s="717"/>
      <c r="TVE90" s="717"/>
      <c r="TVF90" s="717"/>
      <c r="TVG90" s="717"/>
      <c r="TVH90" s="717"/>
      <c r="TVI90" s="717"/>
      <c r="TVJ90" s="717"/>
      <c r="TVK90" s="717"/>
      <c r="TVL90" s="717"/>
      <c r="TVM90" s="717"/>
      <c r="TVN90" s="717"/>
      <c r="TVO90" s="717"/>
      <c r="TVP90" s="717"/>
      <c r="TVQ90" s="717"/>
      <c r="TVR90" s="717"/>
      <c r="TVS90" s="717"/>
      <c r="TVT90" s="717"/>
      <c r="TVU90" s="717"/>
      <c r="TVV90" s="717"/>
      <c r="TVW90" s="717"/>
      <c r="TVX90" s="717"/>
      <c r="TVY90" s="717"/>
      <c r="TVZ90" s="717"/>
      <c r="TWA90" s="717"/>
      <c r="TWB90" s="717"/>
      <c r="TWC90" s="717"/>
      <c r="TWD90" s="717"/>
      <c r="TWE90" s="717"/>
      <c r="TWF90" s="717"/>
      <c r="TWG90" s="717"/>
      <c r="TWH90" s="717"/>
      <c r="TWI90" s="717"/>
      <c r="TWJ90" s="717"/>
      <c r="TWK90" s="717"/>
      <c r="TWL90" s="717"/>
      <c r="TWM90" s="717"/>
      <c r="TWN90" s="717"/>
      <c r="TWO90" s="717"/>
      <c r="TWP90" s="717"/>
      <c r="TWQ90" s="717"/>
      <c r="TWR90" s="717"/>
      <c r="TWS90" s="717"/>
      <c r="TWT90" s="717"/>
      <c r="TWU90" s="717"/>
      <c r="TWV90" s="717"/>
      <c r="TWW90" s="717"/>
      <c r="TWX90" s="717"/>
      <c r="TWY90" s="717"/>
      <c r="TWZ90" s="717"/>
      <c r="TXA90" s="717"/>
      <c r="TXB90" s="717"/>
      <c r="TXC90" s="717"/>
      <c r="TXD90" s="717"/>
      <c r="TXE90" s="717"/>
      <c r="TXF90" s="717"/>
      <c r="TXG90" s="717"/>
      <c r="TXH90" s="717"/>
      <c r="TXI90" s="717"/>
      <c r="TXJ90" s="717"/>
      <c r="TXK90" s="717"/>
      <c r="TXL90" s="717"/>
      <c r="TXM90" s="717"/>
      <c r="TXN90" s="717"/>
      <c r="TXO90" s="717"/>
      <c r="TXP90" s="717"/>
      <c r="TXQ90" s="717"/>
      <c r="TXR90" s="717"/>
      <c r="TXS90" s="717"/>
      <c r="TXT90" s="717"/>
      <c r="TXU90" s="717"/>
      <c r="TXV90" s="717"/>
      <c r="TXW90" s="717"/>
      <c r="TXX90" s="717"/>
      <c r="TXY90" s="717"/>
      <c r="TXZ90" s="717"/>
      <c r="TYA90" s="717"/>
      <c r="TYB90" s="717"/>
      <c r="TYC90" s="717"/>
      <c r="TYD90" s="717"/>
      <c r="TYE90" s="717"/>
      <c r="TYF90" s="717"/>
      <c r="TYG90" s="717"/>
      <c r="TYH90" s="717"/>
      <c r="TYI90" s="717"/>
      <c r="TYJ90" s="717"/>
      <c r="TYK90" s="717"/>
      <c r="TYL90" s="717"/>
      <c r="TYM90" s="717"/>
      <c r="TYN90" s="717"/>
      <c r="TYO90" s="717"/>
      <c r="TYP90" s="717"/>
      <c r="TYQ90" s="717"/>
      <c r="TYR90" s="717"/>
      <c r="TYS90" s="717"/>
      <c r="TYT90" s="717"/>
      <c r="TYU90" s="717"/>
      <c r="TYV90" s="717"/>
      <c r="TYW90" s="717"/>
      <c r="TYX90" s="717"/>
      <c r="TYY90" s="717"/>
      <c r="TYZ90" s="717"/>
      <c r="TZA90" s="717"/>
      <c r="TZB90" s="717"/>
      <c r="TZC90" s="717"/>
      <c r="TZD90" s="717"/>
      <c r="TZE90" s="717"/>
      <c r="TZF90" s="717"/>
      <c r="TZG90" s="717"/>
      <c r="TZH90" s="717"/>
      <c r="TZI90" s="717"/>
      <c r="TZJ90" s="717"/>
      <c r="TZK90" s="717"/>
      <c r="TZL90" s="717"/>
      <c r="TZM90" s="717"/>
      <c r="TZN90" s="717"/>
      <c r="TZO90" s="717"/>
      <c r="TZP90" s="717"/>
      <c r="TZQ90" s="717"/>
      <c r="TZR90" s="717"/>
      <c r="TZS90" s="717"/>
      <c r="TZT90" s="717"/>
      <c r="TZU90" s="717"/>
      <c r="TZV90" s="717"/>
      <c r="TZW90" s="717"/>
      <c r="TZX90" s="717"/>
      <c r="TZY90" s="717"/>
      <c r="TZZ90" s="717"/>
      <c r="UAA90" s="717"/>
      <c r="UAB90" s="717"/>
      <c r="UAC90" s="717"/>
      <c r="UAD90" s="717"/>
      <c r="UAE90" s="717"/>
      <c r="UAF90" s="717"/>
      <c r="UAG90" s="717"/>
      <c r="UAH90" s="717"/>
      <c r="UAI90" s="717"/>
      <c r="UAJ90" s="717"/>
      <c r="UAK90" s="717"/>
      <c r="UAL90" s="717"/>
      <c r="UAM90" s="717"/>
      <c r="UAN90" s="717"/>
      <c r="UAO90" s="717"/>
      <c r="UAP90" s="717"/>
      <c r="UAQ90" s="717"/>
      <c r="UAR90" s="717"/>
      <c r="UAS90" s="717"/>
      <c r="UAT90" s="717"/>
      <c r="UAU90" s="717"/>
      <c r="UAV90" s="717"/>
      <c r="UAW90" s="717"/>
      <c r="UAX90" s="717"/>
      <c r="UAY90" s="717"/>
      <c r="UAZ90" s="717"/>
      <c r="UBA90" s="717"/>
      <c r="UBB90" s="717"/>
      <c r="UBC90" s="717"/>
      <c r="UBD90" s="717"/>
      <c r="UBE90" s="717"/>
      <c r="UBF90" s="717"/>
      <c r="UBG90" s="717"/>
      <c r="UBH90" s="717"/>
      <c r="UBI90" s="717"/>
      <c r="UBJ90" s="717"/>
      <c r="UBK90" s="717"/>
      <c r="UBL90" s="717"/>
      <c r="UBM90" s="717"/>
      <c r="UBN90" s="717"/>
      <c r="UBO90" s="717"/>
      <c r="UBP90" s="717"/>
      <c r="UBQ90" s="717"/>
      <c r="UBR90" s="717"/>
      <c r="UBS90" s="717"/>
      <c r="UBT90" s="717"/>
      <c r="UBU90" s="717"/>
      <c r="UBV90" s="717"/>
      <c r="UBW90" s="717"/>
      <c r="UBX90" s="717"/>
      <c r="UBY90" s="717"/>
      <c r="UBZ90" s="717"/>
      <c r="UCA90" s="717"/>
      <c r="UCB90" s="717"/>
      <c r="UCC90" s="717"/>
      <c r="UCD90" s="717"/>
      <c r="UCE90" s="717"/>
      <c r="UCF90" s="717"/>
      <c r="UCG90" s="717"/>
      <c r="UCH90" s="717"/>
      <c r="UCI90" s="717"/>
      <c r="UCJ90" s="717"/>
      <c r="UCK90" s="717"/>
      <c r="UCL90" s="717"/>
      <c r="UCM90" s="717"/>
      <c r="UCN90" s="717"/>
      <c r="UCO90" s="717"/>
      <c r="UCP90" s="717"/>
      <c r="UCQ90" s="717"/>
      <c r="UCR90" s="717"/>
      <c r="UCS90" s="717"/>
      <c r="UCT90" s="717"/>
      <c r="UCU90" s="717"/>
      <c r="UCV90" s="717"/>
      <c r="UCW90" s="717"/>
      <c r="UCX90" s="717"/>
      <c r="UCY90" s="717"/>
      <c r="UCZ90" s="717"/>
      <c r="UDA90" s="717"/>
      <c r="UDB90" s="717"/>
      <c r="UDC90" s="717"/>
      <c r="UDD90" s="717"/>
      <c r="UDE90" s="717"/>
      <c r="UDF90" s="717"/>
      <c r="UDG90" s="717"/>
      <c r="UDH90" s="717"/>
      <c r="UDI90" s="717"/>
      <c r="UDJ90" s="717"/>
      <c r="UDK90" s="717"/>
      <c r="UDL90" s="717"/>
      <c r="UDM90" s="717"/>
      <c r="UDN90" s="717"/>
      <c r="UDO90" s="717"/>
      <c r="UDP90" s="717"/>
      <c r="UDQ90" s="717"/>
      <c r="UDR90" s="717"/>
      <c r="UDS90" s="717"/>
      <c r="UDT90" s="717"/>
      <c r="UDU90" s="717"/>
      <c r="UDV90" s="717"/>
      <c r="UDW90" s="717"/>
      <c r="UDX90" s="717"/>
      <c r="UDY90" s="717"/>
      <c r="UDZ90" s="717"/>
      <c r="UEA90" s="717"/>
      <c r="UEB90" s="717"/>
      <c r="UEC90" s="717"/>
      <c r="UED90" s="717"/>
      <c r="UEE90" s="717"/>
      <c r="UEF90" s="717"/>
      <c r="UEG90" s="717"/>
      <c r="UEH90" s="717"/>
      <c r="UEI90" s="717"/>
      <c r="UEP90" s="717"/>
      <c r="UEQ90" s="717"/>
      <c r="UER90" s="717"/>
      <c r="UES90" s="717"/>
      <c r="UET90" s="717"/>
      <c r="UEU90" s="717"/>
      <c r="UEV90" s="717"/>
      <c r="UEW90" s="717"/>
      <c r="UEX90" s="717"/>
      <c r="UEY90" s="717"/>
      <c r="UEZ90" s="717"/>
      <c r="UFA90" s="717"/>
      <c r="UFB90" s="717"/>
      <c r="UFC90" s="717"/>
      <c r="UFD90" s="717"/>
      <c r="UFE90" s="717"/>
      <c r="UFF90" s="717"/>
      <c r="UFG90" s="717"/>
      <c r="UFH90" s="717"/>
      <c r="UFI90" s="717"/>
      <c r="UFJ90" s="717"/>
      <c r="UFK90" s="717"/>
      <c r="UFL90" s="717"/>
      <c r="UFM90" s="717"/>
      <c r="UFN90" s="717"/>
      <c r="UFO90" s="717"/>
      <c r="UFP90" s="717"/>
      <c r="UFQ90" s="717"/>
      <c r="UFR90" s="717"/>
      <c r="UFS90" s="717"/>
      <c r="UFT90" s="717"/>
      <c r="UFU90" s="717"/>
      <c r="UFV90" s="717"/>
      <c r="UFW90" s="717"/>
      <c r="UFX90" s="717"/>
      <c r="UFY90" s="717"/>
      <c r="UFZ90" s="717"/>
      <c r="UGA90" s="717"/>
      <c r="UGB90" s="717"/>
      <c r="UGC90" s="717"/>
      <c r="UGD90" s="717"/>
      <c r="UGE90" s="717"/>
      <c r="UGF90" s="717"/>
      <c r="UGG90" s="717"/>
      <c r="UGH90" s="717"/>
      <c r="UGI90" s="717"/>
      <c r="UGJ90" s="717"/>
      <c r="UGK90" s="717"/>
      <c r="UGL90" s="717"/>
      <c r="UGM90" s="717"/>
      <c r="UGN90" s="717"/>
      <c r="UGO90" s="717"/>
      <c r="UGP90" s="717"/>
      <c r="UGQ90" s="717"/>
      <c r="UGR90" s="717"/>
      <c r="UGS90" s="717"/>
      <c r="UGT90" s="717"/>
      <c r="UGU90" s="717"/>
      <c r="UGV90" s="717"/>
      <c r="UGW90" s="717"/>
      <c r="UGX90" s="717"/>
      <c r="UGY90" s="717"/>
      <c r="UGZ90" s="717"/>
      <c r="UHA90" s="717"/>
      <c r="UHB90" s="717"/>
      <c r="UHC90" s="717"/>
      <c r="UHD90" s="717"/>
      <c r="UHE90" s="717"/>
      <c r="UHF90" s="717"/>
      <c r="UHG90" s="717"/>
      <c r="UHH90" s="717"/>
      <c r="UHI90" s="717"/>
      <c r="UHJ90" s="717"/>
      <c r="UHK90" s="717"/>
      <c r="UHL90" s="717"/>
      <c r="UHM90" s="717"/>
      <c r="UHN90" s="717"/>
      <c r="UHO90" s="717"/>
      <c r="UHP90" s="717"/>
      <c r="UHQ90" s="717"/>
      <c r="UHR90" s="717"/>
      <c r="UHS90" s="717"/>
      <c r="UHT90" s="717"/>
      <c r="UHU90" s="717"/>
      <c r="UHV90" s="717"/>
      <c r="UHW90" s="717"/>
      <c r="UHX90" s="717"/>
      <c r="UHY90" s="717"/>
      <c r="UHZ90" s="717"/>
      <c r="UIA90" s="717"/>
      <c r="UIB90" s="717"/>
      <c r="UIC90" s="717"/>
      <c r="UID90" s="717"/>
      <c r="UIE90" s="717"/>
      <c r="UIF90" s="717"/>
      <c r="UIG90" s="717"/>
      <c r="UIH90" s="717"/>
      <c r="UII90" s="717"/>
      <c r="UIJ90" s="717"/>
      <c r="UIK90" s="717"/>
      <c r="UIL90" s="717"/>
      <c r="UIM90" s="717"/>
      <c r="UIN90" s="717"/>
      <c r="UIO90" s="717"/>
      <c r="UIP90" s="717"/>
      <c r="UIQ90" s="717"/>
      <c r="UIR90" s="717"/>
      <c r="UIS90" s="717"/>
      <c r="UIT90" s="717"/>
      <c r="UIU90" s="717"/>
      <c r="UIV90" s="717"/>
      <c r="UIW90" s="717"/>
      <c r="UIX90" s="717"/>
      <c r="UIY90" s="717"/>
      <c r="UIZ90" s="717"/>
      <c r="UJA90" s="717"/>
      <c r="UJB90" s="717"/>
      <c r="UJC90" s="717"/>
      <c r="UJD90" s="717"/>
      <c r="UJE90" s="717"/>
      <c r="UJF90" s="717"/>
      <c r="UJG90" s="717"/>
      <c r="UJH90" s="717"/>
      <c r="UJI90" s="717"/>
      <c r="UJJ90" s="717"/>
      <c r="UJK90" s="717"/>
      <c r="UJL90" s="717"/>
      <c r="UJM90" s="717"/>
      <c r="UJN90" s="717"/>
      <c r="UJO90" s="717"/>
      <c r="UJP90" s="717"/>
      <c r="UJQ90" s="717"/>
      <c r="UJR90" s="717"/>
      <c r="UJS90" s="717"/>
      <c r="UJT90" s="717"/>
      <c r="UJU90" s="717"/>
      <c r="UJV90" s="717"/>
      <c r="UJW90" s="717"/>
      <c r="UJX90" s="717"/>
      <c r="UJY90" s="717"/>
      <c r="UJZ90" s="717"/>
      <c r="UKA90" s="717"/>
      <c r="UKB90" s="717"/>
      <c r="UKC90" s="717"/>
      <c r="UKD90" s="717"/>
      <c r="UKE90" s="717"/>
      <c r="UKF90" s="717"/>
      <c r="UKG90" s="717"/>
      <c r="UKH90" s="717"/>
      <c r="UKI90" s="717"/>
      <c r="UKJ90" s="717"/>
      <c r="UKK90" s="717"/>
      <c r="UKL90" s="717"/>
      <c r="UKM90" s="717"/>
      <c r="UKN90" s="717"/>
      <c r="UKO90" s="717"/>
      <c r="UKP90" s="717"/>
      <c r="UKQ90" s="717"/>
      <c r="UKR90" s="717"/>
      <c r="UKS90" s="717"/>
      <c r="UKT90" s="717"/>
      <c r="UKU90" s="717"/>
      <c r="UKV90" s="717"/>
      <c r="UKW90" s="717"/>
      <c r="UKX90" s="717"/>
      <c r="UKY90" s="717"/>
      <c r="UKZ90" s="717"/>
      <c r="ULA90" s="717"/>
      <c r="ULB90" s="717"/>
      <c r="ULC90" s="717"/>
      <c r="ULD90" s="717"/>
      <c r="ULE90" s="717"/>
      <c r="ULF90" s="717"/>
      <c r="ULG90" s="717"/>
      <c r="ULH90" s="717"/>
      <c r="ULI90" s="717"/>
      <c r="ULJ90" s="717"/>
      <c r="ULK90" s="717"/>
      <c r="ULL90" s="717"/>
      <c r="ULM90" s="717"/>
      <c r="ULN90" s="717"/>
      <c r="ULO90" s="717"/>
      <c r="ULP90" s="717"/>
      <c r="ULQ90" s="717"/>
      <c r="ULR90" s="717"/>
      <c r="ULS90" s="717"/>
      <c r="ULT90" s="717"/>
      <c r="ULU90" s="717"/>
      <c r="ULV90" s="717"/>
      <c r="ULW90" s="717"/>
      <c r="ULX90" s="717"/>
      <c r="ULY90" s="717"/>
      <c r="ULZ90" s="717"/>
      <c r="UMA90" s="717"/>
      <c r="UMB90" s="717"/>
      <c r="UMC90" s="717"/>
      <c r="UMD90" s="717"/>
      <c r="UME90" s="717"/>
      <c r="UMF90" s="717"/>
      <c r="UMG90" s="717"/>
      <c r="UMH90" s="717"/>
      <c r="UMI90" s="717"/>
      <c r="UMJ90" s="717"/>
      <c r="UMK90" s="717"/>
      <c r="UML90" s="717"/>
      <c r="UMM90" s="717"/>
      <c r="UMN90" s="717"/>
      <c r="UMO90" s="717"/>
      <c r="UMP90" s="717"/>
      <c r="UMQ90" s="717"/>
      <c r="UMR90" s="717"/>
      <c r="UMS90" s="717"/>
      <c r="UMT90" s="717"/>
      <c r="UMU90" s="717"/>
      <c r="UMV90" s="717"/>
      <c r="UMW90" s="717"/>
      <c r="UMX90" s="717"/>
      <c r="UMY90" s="717"/>
      <c r="UMZ90" s="717"/>
      <c r="UNA90" s="717"/>
      <c r="UNB90" s="717"/>
      <c r="UNC90" s="717"/>
      <c r="UND90" s="717"/>
      <c r="UNE90" s="717"/>
      <c r="UNF90" s="717"/>
      <c r="UNG90" s="717"/>
      <c r="UNH90" s="717"/>
      <c r="UNI90" s="717"/>
      <c r="UNJ90" s="717"/>
      <c r="UNK90" s="717"/>
      <c r="UNL90" s="717"/>
      <c r="UNM90" s="717"/>
      <c r="UNN90" s="717"/>
      <c r="UNO90" s="717"/>
      <c r="UNP90" s="717"/>
      <c r="UNQ90" s="717"/>
      <c r="UNR90" s="717"/>
      <c r="UNS90" s="717"/>
      <c r="UNT90" s="717"/>
      <c r="UNU90" s="717"/>
      <c r="UNV90" s="717"/>
      <c r="UNW90" s="717"/>
      <c r="UNX90" s="717"/>
      <c r="UNY90" s="717"/>
      <c r="UNZ90" s="717"/>
      <c r="UOA90" s="717"/>
      <c r="UOB90" s="717"/>
      <c r="UOC90" s="717"/>
      <c r="UOD90" s="717"/>
      <c r="UOE90" s="717"/>
      <c r="UOL90" s="717"/>
      <c r="UOM90" s="717"/>
      <c r="UON90" s="717"/>
      <c r="UOO90" s="717"/>
      <c r="UOP90" s="717"/>
      <c r="UOQ90" s="717"/>
      <c r="UOR90" s="717"/>
      <c r="UOS90" s="717"/>
      <c r="UOT90" s="717"/>
      <c r="UOU90" s="717"/>
      <c r="UOV90" s="717"/>
      <c r="UOW90" s="717"/>
      <c r="UOX90" s="717"/>
      <c r="UOY90" s="717"/>
      <c r="UOZ90" s="717"/>
      <c r="UPA90" s="717"/>
      <c r="UPB90" s="717"/>
      <c r="UPC90" s="717"/>
      <c r="UPD90" s="717"/>
      <c r="UPE90" s="717"/>
      <c r="UPF90" s="717"/>
      <c r="UPG90" s="717"/>
      <c r="UPH90" s="717"/>
      <c r="UPI90" s="717"/>
      <c r="UPJ90" s="717"/>
      <c r="UPK90" s="717"/>
      <c r="UPL90" s="717"/>
      <c r="UPM90" s="717"/>
      <c r="UPN90" s="717"/>
      <c r="UPO90" s="717"/>
      <c r="UPP90" s="717"/>
      <c r="UPQ90" s="717"/>
      <c r="UPR90" s="717"/>
      <c r="UPS90" s="717"/>
      <c r="UPT90" s="717"/>
      <c r="UPU90" s="717"/>
      <c r="UPV90" s="717"/>
      <c r="UPW90" s="717"/>
      <c r="UPX90" s="717"/>
      <c r="UPY90" s="717"/>
      <c r="UPZ90" s="717"/>
      <c r="UQA90" s="717"/>
      <c r="UQB90" s="717"/>
      <c r="UQC90" s="717"/>
      <c r="UQD90" s="717"/>
      <c r="UQE90" s="717"/>
      <c r="UQF90" s="717"/>
      <c r="UQG90" s="717"/>
      <c r="UQH90" s="717"/>
      <c r="UQI90" s="717"/>
      <c r="UQJ90" s="717"/>
      <c r="UQK90" s="717"/>
      <c r="UQL90" s="717"/>
      <c r="UQM90" s="717"/>
      <c r="UQN90" s="717"/>
      <c r="UQO90" s="717"/>
      <c r="UQP90" s="717"/>
      <c r="UQQ90" s="717"/>
      <c r="UQR90" s="717"/>
      <c r="UQS90" s="717"/>
      <c r="UQT90" s="717"/>
      <c r="UQU90" s="717"/>
      <c r="UQV90" s="717"/>
      <c r="UQW90" s="717"/>
      <c r="UQX90" s="717"/>
      <c r="UQY90" s="717"/>
      <c r="UQZ90" s="717"/>
      <c r="URA90" s="717"/>
      <c r="URB90" s="717"/>
      <c r="URC90" s="717"/>
      <c r="URD90" s="717"/>
      <c r="URE90" s="717"/>
      <c r="URF90" s="717"/>
      <c r="URG90" s="717"/>
      <c r="URH90" s="717"/>
      <c r="URI90" s="717"/>
      <c r="URJ90" s="717"/>
      <c r="URK90" s="717"/>
      <c r="URL90" s="717"/>
      <c r="URM90" s="717"/>
      <c r="URN90" s="717"/>
      <c r="URO90" s="717"/>
      <c r="URP90" s="717"/>
      <c r="URQ90" s="717"/>
      <c r="URR90" s="717"/>
      <c r="URS90" s="717"/>
      <c r="URT90" s="717"/>
      <c r="URU90" s="717"/>
      <c r="URV90" s="717"/>
      <c r="URW90" s="717"/>
      <c r="URX90" s="717"/>
      <c r="URY90" s="717"/>
      <c r="URZ90" s="717"/>
      <c r="USA90" s="717"/>
      <c r="USB90" s="717"/>
      <c r="USC90" s="717"/>
      <c r="USD90" s="717"/>
      <c r="USE90" s="717"/>
      <c r="USF90" s="717"/>
      <c r="USG90" s="717"/>
      <c r="USH90" s="717"/>
      <c r="USI90" s="717"/>
      <c r="USJ90" s="717"/>
      <c r="USK90" s="717"/>
      <c r="USL90" s="717"/>
      <c r="USM90" s="717"/>
      <c r="USN90" s="717"/>
      <c r="USO90" s="717"/>
      <c r="USP90" s="717"/>
      <c r="USQ90" s="717"/>
      <c r="USR90" s="717"/>
      <c r="USS90" s="717"/>
      <c r="UST90" s="717"/>
      <c r="USU90" s="717"/>
      <c r="USV90" s="717"/>
      <c r="USW90" s="717"/>
      <c r="USX90" s="717"/>
      <c r="USY90" s="717"/>
      <c r="USZ90" s="717"/>
      <c r="UTA90" s="717"/>
      <c r="UTB90" s="717"/>
      <c r="UTC90" s="717"/>
      <c r="UTD90" s="717"/>
      <c r="UTE90" s="717"/>
      <c r="UTF90" s="717"/>
      <c r="UTG90" s="717"/>
      <c r="UTH90" s="717"/>
      <c r="UTI90" s="717"/>
      <c r="UTJ90" s="717"/>
      <c r="UTK90" s="717"/>
      <c r="UTL90" s="717"/>
      <c r="UTM90" s="717"/>
      <c r="UTN90" s="717"/>
      <c r="UTO90" s="717"/>
      <c r="UTP90" s="717"/>
      <c r="UTQ90" s="717"/>
      <c r="UTR90" s="717"/>
      <c r="UTS90" s="717"/>
      <c r="UTT90" s="717"/>
      <c r="UTU90" s="717"/>
      <c r="UTV90" s="717"/>
      <c r="UTW90" s="717"/>
      <c r="UTX90" s="717"/>
      <c r="UTY90" s="717"/>
      <c r="UTZ90" s="717"/>
      <c r="UUA90" s="717"/>
      <c r="UUB90" s="717"/>
      <c r="UUC90" s="717"/>
      <c r="UUD90" s="717"/>
      <c r="UUE90" s="717"/>
      <c r="UUF90" s="717"/>
      <c r="UUG90" s="717"/>
      <c r="UUH90" s="717"/>
      <c r="UUI90" s="717"/>
      <c r="UUJ90" s="717"/>
      <c r="UUK90" s="717"/>
      <c r="UUL90" s="717"/>
      <c r="UUM90" s="717"/>
      <c r="UUN90" s="717"/>
      <c r="UUO90" s="717"/>
      <c r="UUP90" s="717"/>
      <c r="UUQ90" s="717"/>
      <c r="UUR90" s="717"/>
      <c r="UUS90" s="717"/>
      <c r="UUT90" s="717"/>
      <c r="UUU90" s="717"/>
      <c r="UUV90" s="717"/>
      <c r="UUW90" s="717"/>
      <c r="UUX90" s="717"/>
      <c r="UUY90" s="717"/>
      <c r="UUZ90" s="717"/>
      <c r="UVA90" s="717"/>
      <c r="UVB90" s="717"/>
      <c r="UVC90" s="717"/>
      <c r="UVD90" s="717"/>
      <c r="UVE90" s="717"/>
      <c r="UVF90" s="717"/>
      <c r="UVG90" s="717"/>
      <c r="UVH90" s="717"/>
      <c r="UVI90" s="717"/>
      <c r="UVJ90" s="717"/>
      <c r="UVK90" s="717"/>
      <c r="UVL90" s="717"/>
      <c r="UVM90" s="717"/>
      <c r="UVN90" s="717"/>
      <c r="UVO90" s="717"/>
      <c r="UVP90" s="717"/>
      <c r="UVQ90" s="717"/>
      <c r="UVR90" s="717"/>
      <c r="UVS90" s="717"/>
      <c r="UVT90" s="717"/>
      <c r="UVU90" s="717"/>
      <c r="UVV90" s="717"/>
      <c r="UVW90" s="717"/>
      <c r="UVX90" s="717"/>
      <c r="UVY90" s="717"/>
      <c r="UVZ90" s="717"/>
      <c r="UWA90" s="717"/>
      <c r="UWB90" s="717"/>
      <c r="UWC90" s="717"/>
      <c r="UWD90" s="717"/>
      <c r="UWE90" s="717"/>
      <c r="UWF90" s="717"/>
      <c r="UWG90" s="717"/>
      <c r="UWH90" s="717"/>
      <c r="UWI90" s="717"/>
      <c r="UWJ90" s="717"/>
      <c r="UWK90" s="717"/>
      <c r="UWL90" s="717"/>
      <c r="UWM90" s="717"/>
      <c r="UWN90" s="717"/>
      <c r="UWO90" s="717"/>
      <c r="UWP90" s="717"/>
      <c r="UWQ90" s="717"/>
      <c r="UWR90" s="717"/>
      <c r="UWS90" s="717"/>
      <c r="UWT90" s="717"/>
      <c r="UWU90" s="717"/>
      <c r="UWV90" s="717"/>
      <c r="UWW90" s="717"/>
      <c r="UWX90" s="717"/>
      <c r="UWY90" s="717"/>
      <c r="UWZ90" s="717"/>
      <c r="UXA90" s="717"/>
      <c r="UXB90" s="717"/>
      <c r="UXC90" s="717"/>
      <c r="UXD90" s="717"/>
      <c r="UXE90" s="717"/>
      <c r="UXF90" s="717"/>
      <c r="UXG90" s="717"/>
      <c r="UXH90" s="717"/>
      <c r="UXI90" s="717"/>
      <c r="UXJ90" s="717"/>
      <c r="UXK90" s="717"/>
      <c r="UXL90" s="717"/>
      <c r="UXM90" s="717"/>
      <c r="UXN90" s="717"/>
      <c r="UXO90" s="717"/>
      <c r="UXP90" s="717"/>
      <c r="UXQ90" s="717"/>
      <c r="UXR90" s="717"/>
      <c r="UXS90" s="717"/>
      <c r="UXT90" s="717"/>
      <c r="UXU90" s="717"/>
      <c r="UXV90" s="717"/>
      <c r="UXW90" s="717"/>
      <c r="UXX90" s="717"/>
      <c r="UXY90" s="717"/>
      <c r="UXZ90" s="717"/>
      <c r="UYA90" s="717"/>
      <c r="UYH90" s="717"/>
      <c r="UYI90" s="717"/>
      <c r="UYJ90" s="717"/>
      <c r="UYK90" s="717"/>
      <c r="UYL90" s="717"/>
      <c r="UYM90" s="717"/>
      <c r="UYN90" s="717"/>
      <c r="UYO90" s="717"/>
      <c r="UYP90" s="717"/>
      <c r="UYQ90" s="717"/>
      <c r="UYR90" s="717"/>
      <c r="UYS90" s="717"/>
      <c r="UYT90" s="717"/>
      <c r="UYU90" s="717"/>
      <c r="UYV90" s="717"/>
      <c r="UYW90" s="717"/>
      <c r="UYX90" s="717"/>
      <c r="UYY90" s="717"/>
      <c r="UYZ90" s="717"/>
      <c r="UZA90" s="717"/>
      <c r="UZB90" s="717"/>
      <c r="UZC90" s="717"/>
      <c r="UZD90" s="717"/>
      <c r="UZE90" s="717"/>
      <c r="UZF90" s="717"/>
      <c r="UZG90" s="717"/>
      <c r="UZH90" s="717"/>
      <c r="UZI90" s="717"/>
      <c r="UZJ90" s="717"/>
      <c r="UZK90" s="717"/>
      <c r="UZL90" s="717"/>
      <c r="UZM90" s="717"/>
      <c r="UZN90" s="717"/>
      <c r="UZO90" s="717"/>
      <c r="UZP90" s="717"/>
      <c r="UZQ90" s="717"/>
      <c r="UZR90" s="717"/>
      <c r="UZS90" s="717"/>
      <c r="UZT90" s="717"/>
      <c r="UZU90" s="717"/>
      <c r="UZV90" s="717"/>
      <c r="UZW90" s="717"/>
      <c r="UZX90" s="717"/>
      <c r="UZY90" s="717"/>
      <c r="UZZ90" s="717"/>
      <c r="VAA90" s="717"/>
      <c r="VAB90" s="717"/>
      <c r="VAC90" s="717"/>
      <c r="VAD90" s="717"/>
      <c r="VAE90" s="717"/>
      <c r="VAF90" s="717"/>
      <c r="VAG90" s="717"/>
      <c r="VAH90" s="717"/>
      <c r="VAI90" s="717"/>
      <c r="VAJ90" s="717"/>
      <c r="VAK90" s="717"/>
      <c r="VAL90" s="717"/>
      <c r="VAM90" s="717"/>
      <c r="VAN90" s="717"/>
      <c r="VAO90" s="717"/>
      <c r="VAP90" s="717"/>
      <c r="VAQ90" s="717"/>
      <c r="VAR90" s="717"/>
      <c r="VAS90" s="717"/>
      <c r="VAT90" s="717"/>
      <c r="VAU90" s="717"/>
      <c r="VAV90" s="717"/>
      <c r="VAW90" s="717"/>
      <c r="VAX90" s="717"/>
      <c r="VAY90" s="717"/>
      <c r="VAZ90" s="717"/>
      <c r="VBA90" s="717"/>
      <c r="VBB90" s="717"/>
      <c r="VBC90" s="717"/>
      <c r="VBD90" s="717"/>
      <c r="VBE90" s="717"/>
      <c r="VBF90" s="717"/>
      <c r="VBG90" s="717"/>
      <c r="VBH90" s="717"/>
      <c r="VBI90" s="717"/>
      <c r="VBJ90" s="717"/>
      <c r="VBK90" s="717"/>
      <c r="VBL90" s="717"/>
      <c r="VBM90" s="717"/>
      <c r="VBN90" s="717"/>
      <c r="VBO90" s="717"/>
      <c r="VBP90" s="717"/>
      <c r="VBQ90" s="717"/>
      <c r="VBR90" s="717"/>
      <c r="VBS90" s="717"/>
      <c r="VBT90" s="717"/>
      <c r="VBU90" s="717"/>
      <c r="VBV90" s="717"/>
      <c r="VBW90" s="717"/>
      <c r="VBX90" s="717"/>
      <c r="VBY90" s="717"/>
      <c r="VBZ90" s="717"/>
      <c r="VCA90" s="717"/>
      <c r="VCB90" s="717"/>
      <c r="VCC90" s="717"/>
      <c r="VCD90" s="717"/>
      <c r="VCE90" s="717"/>
      <c r="VCF90" s="717"/>
      <c r="VCG90" s="717"/>
      <c r="VCH90" s="717"/>
      <c r="VCI90" s="717"/>
      <c r="VCJ90" s="717"/>
      <c r="VCK90" s="717"/>
      <c r="VCL90" s="717"/>
      <c r="VCM90" s="717"/>
      <c r="VCN90" s="717"/>
      <c r="VCO90" s="717"/>
      <c r="VCP90" s="717"/>
      <c r="VCQ90" s="717"/>
      <c r="VCR90" s="717"/>
      <c r="VCS90" s="717"/>
      <c r="VCT90" s="717"/>
      <c r="VCU90" s="717"/>
      <c r="VCV90" s="717"/>
      <c r="VCW90" s="717"/>
      <c r="VCX90" s="717"/>
      <c r="VCY90" s="717"/>
      <c r="VCZ90" s="717"/>
      <c r="VDA90" s="717"/>
      <c r="VDB90" s="717"/>
      <c r="VDC90" s="717"/>
      <c r="VDD90" s="717"/>
      <c r="VDE90" s="717"/>
      <c r="VDF90" s="717"/>
      <c r="VDG90" s="717"/>
      <c r="VDH90" s="717"/>
      <c r="VDI90" s="717"/>
      <c r="VDJ90" s="717"/>
      <c r="VDK90" s="717"/>
      <c r="VDL90" s="717"/>
      <c r="VDM90" s="717"/>
      <c r="VDN90" s="717"/>
      <c r="VDO90" s="717"/>
      <c r="VDP90" s="717"/>
      <c r="VDQ90" s="717"/>
      <c r="VDR90" s="717"/>
      <c r="VDS90" s="717"/>
      <c r="VDT90" s="717"/>
      <c r="VDU90" s="717"/>
      <c r="VDV90" s="717"/>
      <c r="VDW90" s="717"/>
      <c r="VDX90" s="717"/>
      <c r="VDY90" s="717"/>
      <c r="VDZ90" s="717"/>
      <c r="VEA90" s="717"/>
      <c r="VEB90" s="717"/>
      <c r="VEC90" s="717"/>
      <c r="VED90" s="717"/>
      <c r="VEE90" s="717"/>
      <c r="VEF90" s="717"/>
      <c r="VEG90" s="717"/>
      <c r="VEH90" s="717"/>
      <c r="VEI90" s="717"/>
      <c r="VEJ90" s="717"/>
      <c r="VEK90" s="717"/>
      <c r="VEL90" s="717"/>
      <c r="VEM90" s="717"/>
      <c r="VEN90" s="717"/>
      <c r="VEO90" s="717"/>
      <c r="VEP90" s="717"/>
      <c r="VEQ90" s="717"/>
      <c r="VER90" s="717"/>
      <c r="VES90" s="717"/>
      <c r="VET90" s="717"/>
      <c r="VEU90" s="717"/>
      <c r="VEV90" s="717"/>
      <c r="VEW90" s="717"/>
      <c r="VEX90" s="717"/>
      <c r="VEY90" s="717"/>
      <c r="VEZ90" s="717"/>
      <c r="VFA90" s="717"/>
      <c r="VFB90" s="717"/>
      <c r="VFC90" s="717"/>
      <c r="VFD90" s="717"/>
      <c r="VFE90" s="717"/>
      <c r="VFF90" s="717"/>
      <c r="VFG90" s="717"/>
      <c r="VFH90" s="717"/>
      <c r="VFI90" s="717"/>
      <c r="VFJ90" s="717"/>
      <c r="VFK90" s="717"/>
      <c r="VFL90" s="717"/>
      <c r="VFM90" s="717"/>
      <c r="VFN90" s="717"/>
      <c r="VFO90" s="717"/>
      <c r="VFP90" s="717"/>
      <c r="VFQ90" s="717"/>
      <c r="VFR90" s="717"/>
      <c r="VFS90" s="717"/>
      <c r="VFT90" s="717"/>
      <c r="VFU90" s="717"/>
      <c r="VFV90" s="717"/>
      <c r="VFW90" s="717"/>
      <c r="VFX90" s="717"/>
      <c r="VFY90" s="717"/>
      <c r="VFZ90" s="717"/>
      <c r="VGA90" s="717"/>
      <c r="VGB90" s="717"/>
      <c r="VGC90" s="717"/>
      <c r="VGD90" s="717"/>
      <c r="VGE90" s="717"/>
      <c r="VGF90" s="717"/>
      <c r="VGG90" s="717"/>
      <c r="VGH90" s="717"/>
      <c r="VGI90" s="717"/>
      <c r="VGJ90" s="717"/>
      <c r="VGK90" s="717"/>
      <c r="VGL90" s="717"/>
      <c r="VGM90" s="717"/>
      <c r="VGN90" s="717"/>
      <c r="VGO90" s="717"/>
      <c r="VGP90" s="717"/>
      <c r="VGQ90" s="717"/>
      <c r="VGR90" s="717"/>
      <c r="VGS90" s="717"/>
      <c r="VGT90" s="717"/>
      <c r="VGU90" s="717"/>
      <c r="VGV90" s="717"/>
      <c r="VGW90" s="717"/>
      <c r="VGX90" s="717"/>
      <c r="VGY90" s="717"/>
      <c r="VGZ90" s="717"/>
      <c r="VHA90" s="717"/>
      <c r="VHB90" s="717"/>
      <c r="VHC90" s="717"/>
      <c r="VHD90" s="717"/>
      <c r="VHE90" s="717"/>
      <c r="VHF90" s="717"/>
      <c r="VHG90" s="717"/>
      <c r="VHH90" s="717"/>
      <c r="VHI90" s="717"/>
      <c r="VHJ90" s="717"/>
      <c r="VHK90" s="717"/>
      <c r="VHL90" s="717"/>
      <c r="VHM90" s="717"/>
      <c r="VHN90" s="717"/>
      <c r="VHO90" s="717"/>
      <c r="VHP90" s="717"/>
      <c r="VHQ90" s="717"/>
      <c r="VHR90" s="717"/>
      <c r="VHS90" s="717"/>
      <c r="VHT90" s="717"/>
      <c r="VHU90" s="717"/>
      <c r="VHV90" s="717"/>
      <c r="VHW90" s="717"/>
      <c r="VID90" s="717"/>
      <c r="VIE90" s="717"/>
      <c r="VIF90" s="717"/>
      <c r="VIG90" s="717"/>
      <c r="VIH90" s="717"/>
      <c r="VII90" s="717"/>
      <c r="VIJ90" s="717"/>
      <c r="VIK90" s="717"/>
      <c r="VIL90" s="717"/>
      <c r="VIM90" s="717"/>
      <c r="VIN90" s="717"/>
      <c r="VIO90" s="717"/>
      <c r="VIP90" s="717"/>
      <c r="VIQ90" s="717"/>
      <c r="VIR90" s="717"/>
      <c r="VIS90" s="717"/>
      <c r="VIT90" s="717"/>
      <c r="VIU90" s="717"/>
      <c r="VIV90" s="717"/>
      <c r="VIW90" s="717"/>
      <c r="VIX90" s="717"/>
      <c r="VIY90" s="717"/>
      <c r="VIZ90" s="717"/>
      <c r="VJA90" s="717"/>
      <c r="VJB90" s="717"/>
      <c r="VJC90" s="717"/>
      <c r="VJD90" s="717"/>
      <c r="VJE90" s="717"/>
      <c r="VJF90" s="717"/>
      <c r="VJG90" s="717"/>
      <c r="VJH90" s="717"/>
      <c r="VJI90" s="717"/>
      <c r="VJJ90" s="717"/>
      <c r="VJK90" s="717"/>
      <c r="VJL90" s="717"/>
      <c r="VJM90" s="717"/>
      <c r="VJN90" s="717"/>
      <c r="VJO90" s="717"/>
      <c r="VJP90" s="717"/>
      <c r="VJQ90" s="717"/>
      <c r="VJR90" s="717"/>
      <c r="VJS90" s="717"/>
      <c r="VJT90" s="717"/>
      <c r="VJU90" s="717"/>
      <c r="VJV90" s="717"/>
      <c r="VJW90" s="717"/>
      <c r="VJX90" s="717"/>
      <c r="VJY90" s="717"/>
      <c r="VJZ90" s="717"/>
      <c r="VKA90" s="717"/>
      <c r="VKB90" s="717"/>
      <c r="VKC90" s="717"/>
      <c r="VKD90" s="717"/>
      <c r="VKE90" s="717"/>
      <c r="VKF90" s="717"/>
      <c r="VKG90" s="717"/>
      <c r="VKH90" s="717"/>
      <c r="VKI90" s="717"/>
      <c r="VKJ90" s="717"/>
      <c r="VKK90" s="717"/>
      <c r="VKL90" s="717"/>
      <c r="VKM90" s="717"/>
      <c r="VKN90" s="717"/>
      <c r="VKO90" s="717"/>
      <c r="VKP90" s="717"/>
      <c r="VKQ90" s="717"/>
      <c r="VKR90" s="717"/>
      <c r="VKS90" s="717"/>
      <c r="VKT90" s="717"/>
      <c r="VKU90" s="717"/>
      <c r="VKV90" s="717"/>
      <c r="VKW90" s="717"/>
      <c r="VKX90" s="717"/>
      <c r="VKY90" s="717"/>
      <c r="VKZ90" s="717"/>
      <c r="VLA90" s="717"/>
      <c r="VLB90" s="717"/>
      <c r="VLC90" s="717"/>
      <c r="VLD90" s="717"/>
      <c r="VLE90" s="717"/>
      <c r="VLF90" s="717"/>
      <c r="VLG90" s="717"/>
      <c r="VLH90" s="717"/>
      <c r="VLI90" s="717"/>
      <c r="VLJ90" s="717"/>
      <c r="VLK90" s="717"/>
      <c r="VLL90" s="717"/>
      <c r="VLM90" s="717"/>
      <c r="VLN90" s="717"/>
      <c r="VLO90" s="717"/>
      <c r="VLP90" s="717"/>
      <c r="VLQ90" s="717"/>
      <c r="VLR90" s="717"/>
      <c r="VLS90" s="717"/>
      <c r="VLT90" s="717"/>
      <c r="VLU90" s="717"/>
      <c r="VLV90" s="717"/>
      <c r="VLW90" s="717"/>
      <c r="VLX90" s="717"/>
      <c r="VLY90" s="717"/>
      <c r="VLZ90" s="717"/>
      <c r="VMA90" s="717"/>
      <c r="VMB90" s="717"/>
      <c r="VMC90" s="717"/>
      <c r="VMD90" s="717"/>
      <c r="VME90" s="717"/>
      <c r="VMF90" s="717"/>
      <c r="VMG90" s="717"/>
      <c r="VMH90" s="717"/>
      <c r="VMI90" s="717"/>
      <c r="VMJ90" s="717"/>
      <c r="VMK90" s="717"/>
      <c r="VML90" s="717"/>
      <c r="VMM90" s="717"/>
      <c r="VMN90" s="717"/>
      <c r="VMO90" s="717"/>
      <c r="VMP90" s="717"/>
      <c r="VMQ90" s="717"/>
      <c r="VMR90" s="717"/>
      <c r="VMS90" s="717"/>
      <c r="VMT90" s="717"/>
      <c r="VMU90" s="717"/>
      <c r="VMV90" s="717"/>
      <c r="VMW90" s="717"/>
      <c r="VMX90" s="717"/>
      <c r="VMY90" s="717"/>
      <c r="VMZ90" s="717"/>
      <c r="VNA90" s="717"/>
      <c r="VNB90" s="717"/>
      <c r="VNC90" s="717"/>
      <c r="VND90" s="717"/>
      <c r="VNE90" s="717"/>
      <c r="VNF90" s="717"/>
      <c r="VNG90" s="717"/>
      <c r="VNH90" s="717"/>
      <c r="VNI90" s="717"/>
      <c r="VNJ90" s="717"/>
      <c r="VNK90" s="717"/>
      <c r="VNL90" s="717"/>
      <c r="VNM90" s="717"/>
      <c r="VNN90" s="717"/>
      <c r="VNO90" s="717"/>
      <c r="VNP90" s="717"/>
      <c r="VNQ90" s="717"/>
      <c r="VNR90" s="717"/>
      <c r="VNS90" s="717"/>
      <c r="VNT90" s="717"/>
      <c r="VNU90" s="717"/>
      <c r="VNV90" s="717"/>
      <c r="VNW90" s="717"/>
      <c r="VNX90" s="717"/>
      <c r="VNY90" s="717"/>
      <c r="VNZ90" s="717"/>
      <c r="VOA90" s="717"/>
      <c r="VOB90" s="717"/>
      <c r="VOC90" s="717"/>
      <c r="VOD90" s="717"/>
      <c r="VOE90" s="717"/>
      <c r="VOF90" s="717"/>
      <c r="VOG90" s="717"/>
      <c r="VOH90" s="717"/>
      <c r="VOI90" s="717"/>
      <c r="VOJ90" s="717"/>
      <c r="VOK90" s="717"/>
      <c r="VOL90" s="717"/>
      <c r="VOM90" s="717"/>
      <c r="VON90" s="717"/>
      <c r="VOO90" s="717"/>
      <c r="VOP90" s="717"/>
      <c r="VOQ90" s="717"/>
      <c r="VOR90" s="717"/>
      <c r="VOS90" s="717"/>
      <c r="VOT90" s="717"/>
      <c r="VOU90" s="717"/>
      <c r="VOV90" s="717"/>
      <c r="VOW90" s="717"/>
      <c r="VOX90" s="717"/>
      <c r="VOY90" s="717"/>
      <c r="VOZ90" s="717"/>
      <c r="VPA90" s="717"/>
      <c r="VPB90" s="717"/>
      <c r="VPC90" s="717"/>
      <c r="VPD90" s="717"/>
      <c r="VPE90" s="717"/>
      <c r="VPF90" s="717"/>
      <c r="VPG90" s="717"/>
      <c r="VPH90" s="717"/>
      <c r="VPI90" s="717"/>
      <c r="VPJ90" s="717"/>
      <c r="VPK90" s="717"/>
      <c r="VPL90" s="717"/>
      <c r="VPM90" s="717"/>
      <c r="VPN90" s="717"/>
      <c r="VPO90" s="717"/>
      <c r="VPP90" s="717"/>
      <c r="VPQ90" s="717"/>
      <c r="VPR90" s="717"/>
      <c r="VPS90" s="717"/>
      <c r="VPT90" s="717"/>
      <c r="VPU90" s="717"/>
      <c r="VPV90" s="717"/>
      <c r="VPW90" s="717"/>
      <c r="VPX90" s="717"/>
      <c r="VPY90" s="717"/>
      <c r="VPZ90" s="717"/>
      <c r="VQA90" s="717"/>
      <c r="VQB90" s="717"/>
      <c r="VQC90" s="717"/>
      <c r="VQD90" s="717"/>
      <c r="VQE90" s="717"/>
      <c r="VQF90" s="717"/>
      <c r="VQG90" s="717"/>
      <c r="VQH90" s="717"/>
      <c r="VQI90" s="717"/>
      <c r="VQJ90" s="717"/>
      <c r="VQK90" s="717"/>
      <c r="VQL90" s="717"/>
      <c r="VQM90" s="717"/>
      <c r="VQN90" s="717"/>
      <c r="VQO90" s="717"/>
      <c r="VQP90" s="717"/>
      <c r="VQQ90" s="717"/>
      <c r="VQR90" s="717"/>
      <c r="VQS90" s="717"/>
      <c r="VQT90" s="717"/>
      <c r="VQU90" s="717"/>
      <c r="VQV90" s="717"/>
      <c r="VQW90" s="717"/>
      <c r="VQX90" s="717"/>
      <c r="VQY90" s="717"/>
      <c r="VQZ90" s="717"/>
      <c r="VRA90" s="717"/>
      <c r="VRB90" s="717"/>
      <c r="VRC90" s="717"/>
      <c r="VRD90" s="717"/>
      <c r="VRE90" s="717"/>
      <c r="VRF90" s="717"/>
      <c r="VRG90" s="717"/>
      <c r="VRH90" s="717"/>
      <c r="VRI90" s="717"/>
      <c r="VRJ90" s="717"/>
      <c r="VRK90" s="717"/>
      <c r="VRL90" s="717"/>
      <c r="VRM90" s="717"/>
      <c r="VRN90" s="717"/>
      <c r="VRO90" s="717"/>
      <c r="VRP90" s="717"/>
      <c r="VRQ90" s="717"/>
      <c r="VRR90" s="717"/>
      <c r="VRS90" s="717"/>
      <c r="VRZ90" s="717"/>
      <c r="VSA90" s="717"/>
      <c r="VSB90" s="717"/>
      <c r="VSC90" s="717"/>
      <c r="VSD90" s="717"/>
      <c r="VSE90" s="717"/>
      <c r="VSF90" s="717"/>
      <c r="VSG90" s="717"/>
      <c r="VSH90" s="717"/>
      <c r="VSI90" s="717"/>
      <c r="VSJ90" s="717"/>
      <c r="VSK90" s="717"/>
      <c r="VSL90" s="717"/>
      <c r="VSM90" s="717"/>
      <c r="VSN90" s="717"/>
      <c r="VSO90" s="717"/>
      <c r="VSP90" s="717"/>
      <c r="VSQ90" s="717"/>
      <c r="VSR90" s="717"/>
      <c r="VSS90" s="717"/>
      <c r="VST90" s="717"/>
      <c r="VSU90" s="717"/>
      <c r="VSV90" s="717"/>
      <c r="VSW90" s="717"/>
      <c r="VSX90" s="717"/>
      <c r="VSY90" s="717"/>
      <c r="VSZ90" s="717"/>
      <c r="VTA90" s="717"/>
      <c r="VTB90" s="717"/>
      <c r="VTC90" s="717"/>
      <c r="VTD90" s="717"/>
      <c r="VTE90" s="717"/>
      <c r="VTF90" s="717"/>
      <c r="VTG90" s="717"/>
      <c r="VTH90" s="717"/>
      <c r="VTI90" s="717"/>
      <c r="VTJ90" s="717"/>
      <c r="VTK90" s="717"/>
      <c r="VTL90" s="717"/>
      <c r="VTM90" s="717"/>
      <c r="VTN90" s="717"/>
      <c r="VTO90" s="717"/>
      <c r="VTP90" s="717"/>
      <c r="VTQ90" s="717"/>
      <c r="VTR90" s="717"/>
      <c r="VTS90" s="717"/>
      <c r="VTT90" s="717"/>
      <c r="VTU90" s="717"/>
      <c r="VTV90" s="717"/>
      <c r="VTW90" s="717"/>
      <c r="VTX90" s="717"/>
      <c r="VTY90" s="717"/>
      <c r="VTZ90" s="717"/>
      <c r="VUA90" s="717"/>
      <c r="VUB90" s="717"/>
      <c r="VUC90" s="717"/>
      <c r="VUD90" s="717"/>
      <c r="VUE90" s="717"/>
      <c r="VUF90" s="717"/>
      <c r="VUG90" s="717"/>
      <c r="VUH90" s="717"/>
      <c r="VUI90" s="717"/>
      <c r="VUJ90" s="717"/>
      <c r="VUK90" s="717"/>
      <c r="VUL90" s="717"/>
      <c r="VUM90" s="717"/>
      <c r="VUN90" s="717"/>
      <c r="VUO90" s="717"/>
      <c r="VUP90" s="717"/>
      <c r="VUQ90" s="717"/>
      <c r="VUR90" s="717"/>
      <c r="VUS90" s="717"/>
      <c r="VUT90" s="717"/>
      <c r="VUU90" s="717"/>
      <c r="VUV90" s="717"/>
      <c r="VUW90" s="717"/>
      <c r="VUX90" s="717"/>
      <c r="VUY90" s="717"/>
      <c r="VUZ90" s="717"/>
      <c r="VVA90" s="717"/>
      <c r="VVB90" s="717"/>
      <c r="VVC90" s="717"/>
      <c r="VVD90" s="717"/>
      <c r="VVE90" s="717"/>
      <c r="VVF90" s="717"/>
      <c r="VVG90" s="717"/>
      <c r="VVH90" s="717"/>
      <c r="VVI90" s="717"/>
      <c r="VVJ90" s="717"/>
      <c r="VVK90" s="717"/>
      <c r="VVL90" s="717"/>
      <c r="VVM90" s="717"/>
      <c r="VVN90" s="717"/>
      <c r="VVO90" s="717"/>
      <c r="VVP90" s="717"/>
      <c r="VVQ90" s="717"/>
      <c r="VVR90" s="717"/>
      <c r="VVS90" s="717"/>
      <c r="VVT90" s="717"/>
      <c r="VVU90" s="717"/>
      <c r="VVV90" s="717"/>
      <c r="VVW90" s="717"/>
      <c r="VVX90" s="717"/>
      <c r="VVY90" s="717"/>
      <c r="VVZ90" s="717"/>
      <c r="VWA90" s="717"/>
      <c r="VWB90" s="717"/>
      <c r="VWC90" s="717"/>
      <c r="VWD90" s="717"/>
      <c r="VWE90" s="717"/>
      <c r="VWF90" s="717"/>
      <c r="VWG90" s="717"/>
      <c r="VWH90" s="717"/>
      <c r="VWI90" s="717"/>
      <c r="VWJ90" s="717"/>
      <c r="VWK90" s="717"/>
      <c r="VWL90" s="717"/>
      <c r="VWM90" s="717"/>
      <c r="VWN90" s="717"/>
      <c r="VWO90" s="717"/>
      <c r="VWP90" s="717"/>
      <c r="VWQ90" s="717"/>
      <c r="VWR90" s="717"/>
      <c r="VWS90" s="717"/>
      <c r="VWT90" s="717"/>
      <c r="VWU90" s="717"/>
      <c r="VWV90" s="717"/>
      <c r="VWW90" s="717"/>
      <c r="VWX90" s="717"/>
      <c r="VWY90" s="717"/>
      <c r="VWZ90" s="717"/>
      <c r="VXA90" s="717"/>
      <c r="VXB90" s="717"/>
      <c r="VXC90" s="717"/>
      <c r="VXD90" s="717"/>
      <c r="VXE90" s="717"/>
      <c r="VXF90" s="717"/>
      <c r="VXG90" s="717"/>
      <c r="VXH90" s="717"/>
      <c r="VXI90" s="717"/>
      <c r="VXJ90" s="717"/>
      <c r="VXK90" s="717"/>
      <c r="VXL90" s="717"/>
      <c r="VXM90" s="717"/>
      <c r="VXN90" s="717"/>
      <c r="VXO90" s="717"/>
      <c r="VXP90" s="717"/>
      <c r="VXQ90" s="717"/>
      <c r="VXR90" s="717"/>
      <c r="VXS90" s="717"/>
      <c r="VXT90" s="717"/>
      <c r="VXU90" s="717"/>
      <c r="VXV90" s="717"/>
      <c r="VXW90" s="717"/>
      <c r="VXX90" s="717"/>
      <c r="VXY90" s="717"/>
      <c r="VXZ90" s="717"/>
      <c r="VYA90" s="717"/>
      <c r="VYB90" s="717"/>
      <c r="VYC90" s="717"/>
      <c r="VYD90" s="717"/>
      <c r="VYE90" s="717"/>
      <c r="VYF90" s="717"/>
      <c r="VYG90" s="717"/>
      <c r="VYH90" s="717"/>
      <c r="VYI90" s="717"/>
      <c r="VYJ90" s="717"/>
      <c r="VYK90" s="717"/>
      <c r="VYL90" s="717"/>
      <c r="VYM90" s="717"/>
      <c r="VYN90" s="717"/>
      <c r="VYO90" s="717"/>
      <c r="VYP90" s="717"/>
      <c r="VYQ90" s="717"/>
      <c r="VYR90" s="717"/>
      <c r="VYS90" s="717"/>
      <c r="VYT90" s="717"/>
      <c r="VYU90" s="717"/>
      <c r="VYV90" s="717"/>
      <c r="VYW90" s="717"/>
      <c r="VYX90" s="717"/>
      <c r="VYY90" s="717"/>
      <c r="VYZ90" s="717"/>
      <c r="VZA90" s="717"/>
      <c r="VZB90" s="717"/>
      <c r="VZC90" s="717"/>
      <c r="VZD90" s="717"/>
      <c r="VZE90" s="717"/>
      <c r="VZF90" s="717"/>
      <c r="VZG90" s="717"/>
      <c r="VZH90" s="717"/>
      <c r="VZI90" s="717"/>
      <c r="VZJ90" s="717"/>
      <c r="VZK90" s="717"/>
      <c r="VZL90" s="717"/>
      <c r="VZM90" s="717"/>
      <c r="VZN90" s="717"/>
      <c r="VZO90" s="717"/>
      <c r="VZP90" s="717"/>
      <c r="VZQ90" s="717"/>
      <c r="VZR90" s="717"/>
      <c r="VZS90" s="717"/>
      <c r="VZT90" s="717"/>
      <c r="VZU90" s="717"/>
      <c r="VZV90" s="717"/>
      <c r="VZW90" s="717"/>
      <c r="VZX90" s="717"/>
      <c r="VZY90" s="717"/>
      <c r="VZZ90" s="717"/>
      <c r="WAA90" s="717"/>
      <c r="WAB90" s="717"/>
      <c r="WAC90" s="717"/>
      <c r="WAD90" s="717"/>
      <c r="WAE90" s="717"/>
      <c r="WAF90" s="717"/>
      <c r="WAG90" s="717"/>
      <c r="WAH90" s="717"/>
      <c r="WAI90" s="717"/>
      <c r="WAJ90" s="717"/>
      <c r="WAK90" s="717"/>
      <c r="WAL90" s="717"/>
      <c r="WAM90" s="717"/>
      <c r="WAN90" s="717"/>
      <c r="WAO90" s="717"/>
      <c r="WAP90" s="717"/>
      <c r="WAQ90" s="717"/>
      <c r="WAR90" s="717"/>
      <c r="WAS90" s="717"/>
      <c r="WAT90" s="717"/>
      <c r="WAU90" s="717"/>
      <c r="WAV90" s="717"/>
      <c r="WAW90" s="717"/>
      <c r="WAX90" s="717"/>
      <c r="WAY90" s="717"/>
      <c r="WAZ90" s="717"/>
      <c r="WBA90" s="717"/>
      <c r="WBB90" s="717"/>
      <c r="WBC90" s="717"/>
      <c r="WBD90" s="717"/>
      <c r="WBE90" s="717"/>
      <c r="WBF90" s="717"/>
      <c r="WBG90" s="717"/>
      <c r="WBH90" s="717"/>
      <c r="WBI90" s="717"/>
      <c r="WBJ90" s="717"/>
      <c r="WBK90" s="717"/>
      <c r="WBL90" s="717"/>
      <c r="WBM90" s="717"/>
      <c r="WBN90" s="717"/>
      <c r="WBO90" s="717"/>
      <c r="WBV90" s="717"/>
      <c r="WBW90" s="717"/>
      <c r="WBX90" s="717"/>
      <c r="WBY90" s="717"/>
      <c r="WBZ90" s="717"/>
      <c r="WCA90" s="717"/>
      <c r="WCB90" s="717"/>
      <c r="WCC90" s="717"/>
      <c r="WCD90" s="717"/>
      <c r="WCE90" s="717"/>
      <c r="WCF90" s="717"/>
      <c r="WCG90" s="717"/>
      <c r="WCH90" s="717"/>
      <c r="WCI90" s="717"/>
      <c r="WCJ90" s="717"/>
      <c r="WCK90" s="717"/>
      <c r="WCL90" s="717"/>
      <c r="WCM90" s="717"/>
      <c r="WCN90" s="717"/>
      <c r="WCO90" s="717"/>
      <c r="WCP90" s="717"/>
      <c r="WCQ90" s="717"/>
      <c r="WCR90" s="717"/>
      <c r="WCS90" s="717"/>
      <c r="WCT90" s="717"/>
      <c r="WCU90" s="717"/>
      <c r="WCV90" s="717"/>
      <c r="WCW90" s="717"/>
      <c r="WCX90" s="717"/>
      <c r="WCY90" s="717"/>
      <c r="WCZ90" s="717"/>
      <c r="WDA90" s="717"/>
      <c r="WDB90" s="717"/>
      <c r="WDC90" s="717"/>
      <c r="WDD90" s="717"/>
      <c r="WDE90" s="717"/>
      <c r="WDF90" s="717"/>
      <c r="WDG90" s="717"/>
      <c r="WDH90" s="717"/>
      <c r="WDI90" s="717"/>
      <c r="WDJ90" s="717"/>
      <c r="WDK90" s="717"/>
      <c r="WDL90" s="717"/>
      <c r="WDM90" s="717"/>
      <c r="WDN90" s="717"/>
      <c r="WDO90" s="717"/>
      <c r="WDP90" s="717"/>
      <c r="WDQ90" s="717"/>
      <c r="WDR90" s="717"/>
      <c r="WDS90" s="717"/>
      <c r="WDT90" s="717"/>
      <c r="WDU90" s="717"/>
      <c r="WDV90" s="717"/>
      <c r="WDW90" s="717"/>
      <c r="WDX90" s="717"/>
      <c r="WDY90" s="717"/>
      <c r="WDZ90" s="717"/>
      <c r="WEA90" s="717"/>
      <c r="WEB90" s="717"/>
      <c r="WEC90" s="717"/>
      <c r="WED90" s="717"/>
      <c r="WEE90" s="717"/>
      <c r="WEF90" s="717"/>
      <c r="WEG90" s="717"/>
      <c r="WEH90" s="717"/>
      <c r="WEI90" s="717"/>
      <c r="WEJ90" s="717"/>
      <c r="WEK90" s="717"/>
      <c r="WEL90" s="717"/>
      <c r="WEM90" s="717"/>
      <c r="WEN90" s="717"/>
      <c r="WEO90" s="717"/>
      <c r="WEP90" s="717"/>
      <c r="WEQ90" s="717"/>
      <c r="WER90" s="717"/>
      <c r="WES90" s="717"/>
      <c r="WET90" s="717"/>
      <c r="WEU90" s="717"/>
      <c r="WEV90" s="717"/>
      <c r="WEW90" s="717"/>
      <c r="WEX90" s="717"/>
      <c r="WEY90" s="717"/>
      <c r="WEZ90" s="717"/>
      <c r="WFA90" s="717"/>
      <c r="WFB90" s="717"/>
      <c r="WFC90" s="717"/>
      <c r="WFD90" s="717"/>
      <c r="WFE90" s="717"/>
      <c r="WFF90" s="717"/>
      <c r="WFG90" s="717"/>
      <c r="WFH90" s="717"/>
      <c r="WFI90" s="717"/>
      <c r="WFJ90" s="717"/>
      <c r="WFK90" s="717"/>
      <c r="WFL90" s="717"/>
      <c r="WFM90" s="717"/>
      <c r="WFN90" s="717"/>
      <c r="WFO90" s="717"/>
      <c r="WFP90" s="717"/>
      <c r="WFQ90" s="717"/>
      <c r="WFR90" s="717"/>
      <c r="WFS90" s="717"/>
      <c r="WFT90" s="717"/>
      <c r="WFU90" s="717"/>
      <c r="WFV90" s="717"/>
      <c r="WFW90" s="717"/>
      <c r="WFX90" s="717"/>
      <c r="WFY90" s="717"/>
      <c r="WFZ90" s="717"/>
      <c r="WGA90" s="717"/>
      <c r="WGB90" s="717"/>
      <c r="WGC90" s="717"/>
      <c r="WGD90" s="717"/>
      <c r="WGE90" s="717"/>
      <c r="WGF90" s="717"/>
      <c r="WGG90" s="717"/>
      <c r="WGH90" s="717"/>
      <c r="WGI90" s="717"/>
      <c r="WGJ90" s="717"/>
      <c r="WGK90" s="717"/>
      <c r="WGL90" s="717"/>
      <c r="WGM90" s="717"/>
      <c r="WGN90" s="717"/>
      <c r="WGO90" s="717"/>
      <c r="WGP90" s="717"/>
      <c r="WGQ90" s="717"/>
      <c r="WGR90" s="717"/>
      <c r="WGS90" s="717"/>
      <c r="WGT90" s="717"/>
      <c r="WGU90" s="717"/>
      <c r="WGV90" s="717"/>
      <c r="WGW90" s="717"/>
      <c r="WGX90" s="717"/>
      <c r="WGY90" s="717"/>
      <c r="WGZ90" s="717"/>
      <c r="WHA90" s="717"/>
      <c r="WHB90" s="717"/>
      <c r="WHC90" s="717"/>
      <c r="WHD90" s="717"/>
      <c r="WHE90" s="717"/>
      <c r="WHF90" s="717"/>
      <c r="WHG90" s="717"/>
      <c r="WHH90" s="717"/>
      <c r="WHI90" s="717"/>
      <c r="WHJ90" s="717"/>
      <c r="WHK90" s="717"/>
      <c r="WHL90" s="717"/>
      <c r="WHM90" s="717"/>
      <c r="WHN90" s="717"/>
      <c r="WHO90" s="717"/>
      <c r="WHP90" s="717"/>
      <c r="WHQ90" s="717"/>
      <c r="WHR90" s="717"/>
      <c r="WHS90" s="717"/>
      <c r="WHT90" s="717"/>
      <c r="WHU90" s="717"/>
      <c r="WHV90" s="717"/>
      <c r="WHW90" s="717"/>
      <c r="WHX90" s="717"/>
      <c r="WHY90" s="717"/>
      <c r="WHZ90" s="717"/>
      <c r="WIA90" s="717"/>
      <c r="WIB90" s="717"/>
      <c r="WIC90" s="717"/>
      <c r="WID90" s="717"/>
      <c r="WIE90" s="717"/>
      <c r="WIF90" s="717"/>
      <c r="WIG90" s="717"/>
      <c r="WIH90" s="717"/>
      <c r="WII90" s="717"/>
      <c r="WIJ90" s="717"/>
      <c r="WIK90" s="717"/>
      <c r="WIL90" s="717"/>
      <c r="WIM90" s="717"/>
      <c r="WIN90" s="717"/>
      <c r="WIO90" s="717"/>
      <c r="WIP90" s="717"/>
      <c r="WIQ90" s="717"/>
      <c r="WIR90" s="717"/>
      <c r="WIS90" s="717"/>
      <c r="WIT90" s="717"/>
      <c r="WIU90" s="717"/>
      <c r="WIV90" s="717"/>
      <c r="WIW90" s="717"/>
      <c r="WIX90" s="717"/>
      <c r="WIY90" s="717"/>
      <c r="WIZ90" s="717"/>
      <c r="WJA90" s="717"/>
      <c r="WJB90" s="717"/>
      <c r="WJC90" s="717"/>
      <c r="WJD90" s="717"/>
      <c r="WJE90" s="717"/>
      <c r="WJF90" s="717"/>
      <c r="WJG90" s="717"/>
      <c r="WJH90" s="717"/>
      <c r="WJI90" s="717"/>
      <c r="WJJ90" s="717"/>
      <c r="WJK90" s="717"/>
      <c r="WJL90" s="717"/>
      <c r="WJM90" s="717"/>
      <c r="WJN90" s="717"/>
      <c r="WJO90" s="717"/>
      <c r="WJP90" s="717"/>
      <c r="WJQ90" s="717"/>
      <c r="WJR90" s="717"/>
      <c r="WJS90" s="717"/>
      <c r="WJT90" s="717"/>
      <c r="WJU90" s="717"/>
      <c r="WJV90" s="717"/>
      <c r="WJW90" s="717"/>
      <c r="WJX90" s="717"/>
      <c r="WJY90" s="717"/>
      <c r="WJZ90" s="717"/>
      <c r="WKA90" s="717"/>
      <c r="WKB90" s="717"/>
      <c r="WKC90" s="717"/>
      <c r="WKD90" s="717"/>
      <c r="WKE90" s="717"/>
      <c r="WKF90" s="717"/>
      <c r="WKG90" s="717"/>
      <c r="WKH90" s="717"/>
      <c r="WKI90" s="717"/>
      <c r="WKJ90" s="717"/>
      <c r="WKK90" s="717"/>
      <c r="WKL90" s="717"/>
      <c r="WKM90" s="717"/>
      <c r="WKN90" s="717"/>
      <c r="WKO90" s="717"/>
      <c r="WKP90" s="717"/>
      <c r="WKQ90" s="717"/>
      <c r="WKR90" s="717"/>
      <c r="WKS90" s="717"/>
      <c r="WKT90" s="717"/>
      <c r="WKU90" s="717"/>
      <c r="WKV90" s="717"/>
      <c r="WKW90" s="717"/>
      <c r="WKX90" s="717"/>
      <c r="WKY90" s="717"/>
      <c r="WKZ90" s="717"/>
      <c r="WLA90" s="717"/>
      <c r="WLB90" s="717"/>
      <c r="WLC90" s="717"/>
      <c r="WLD90" s="717"/>
      <c r="WLE90" s="717"/>
      <c r="WLF90" s="717"/>
      <c r="WLG90" s="717"/>
      <c r="WLH90" s="717"/>
      <c r="WLI90" s="717"/>
      <c r="WLJ90" s="717"/>
      <c r="WLK90" s="717"/>
      <c r="WLR90" s="717"/>
      <c r="WLS90" s="717"/>
      <c r="WLT90" s="717"/>
      <c r="WLU90" s="717"/>
      <c r="WLV90" s="717"/>
      <c r="WLW90" s="717"/>
      <c r="WLX90" s="717"/>
      <c r="WLY90" s="717"/>
      <c r="WLZ90" s="717"/>
      <c r="WMA90" s="717"/>
      <c r="WMB90" s="717"/>
      <c r="WMC90" s="717"/>
      <c r="WMD90" s="717"/>
      <c r="WME90" s="717"/>
      <c r="WMF90" s="717"/>
      <c r="WMG90" s="717"/>
      <c r="WMH90" s="717"/>
      <c r="WMI90" s="717"/>
      <c r="WMJ90" s="717"/>
      <c r="WMK90" s="717"/>
      <c r="WML90" s="717"/>
      <c r="WMM90" s="717"/>
      <c r="WMN90" s="717"/>
      <c r="WMO90" s="717"/>
      <c r="WMP90" s="717"/>
      <c r="WMQ90" s="717"/>
      <c r="WMR90" s="717"/>
      <c r="WMS90" s="717"/>
      <c r="WMT90" s="717"/>
      <c r="WMU90" s="717"/>
      <c r="WMV90" s="717"/>
      <c r="WMW90" s="717"/>
      <c r="WMX90" s="717"/>
      <c r="WMY90" s="717"/>
      <c r="WMZ90" s="717"/>
      <c r="WNA90" s="717"/>
      <c r="WNB90" s="717"/>
      <c r="WNC90" s="717"/>
      <c r="WND90" s="717"/>
      <c r="WNE90" s="717"/>
      <c r="WNF90" s="717"/>
      <c r="WNG90" s="717"/>
      <c r="WNH90" s="717"/>
      <c r="WNI90" s="717"/>
      <c r="WNJ90" s="717"/>
      <c r="WNK90" s="717"/>
      <c r="WNL90" s="717"/>
      <c r="WNM90" s="717"/>
      <c r="WNN90" s="717"/>
      <c r="WNO90" s="717"/>
      <c r="WNP90" s="717"/>
      <c r="WNQ90" s="717"/>
      <c r="WNR90" s="717"/>
      <c r="WNS90" s="717"/>
      <c r="WNT90" s="717"/>
      <c r="WNU90" s="717"/>
      <c r="WNV90" s="717"/>
      <c r="WNW90" s="717"/>
      <c r="WNX90" s="717"/>
      <c r="WNY90" s="717"/>
      <c r="WNZ90" s="717"/>
      <c r="WOA90" s="717"/>
      <c r="WOB90" s="717"/>
      <c r="WOC90" s="717"/>
      <c r="WOD90" s="717"/>
      <c r="WOE90" s="717"/>
      <c r="WOF90" s="717"/>
      <c r="WOG90" s="717"/>
      <c r="WOH90" s="717"/>
      <c r="WOI90" s="717"/>
      <c r="WOJ90" s="717"/>
      <c r="WOK90" s="717"/>
      <c r="WOL90" s="717"/>
      <c r="WOM90" s="717"/>
      <c r="WON90" s="717"/>
      <c r="WOO90" s="717"/>
      <c r="WOP90" s="717"/>
      <c r="WOQ90" s="717"/>
      <c r="WOR90" s="717"/>
      <c r="WOS90" s="717"/>
      <c r="WOT90" s="717"/>
      <c r="WOU90" s="717"/>
      <c r="WOV90" s="717"/>
      <c r="WOW90" s="717"/>
      <c r="WOX90" s="717"/>
      <c r="WOY90" s="717"/>
      <c r="WOZ90" s="717"/>
      <c r="WPA90" s="717"/>
      <c r="WPB90" s="717"/>
      <c r="WPC90" s="717"/>
      <c r="WPD90" s="717"/>
      <c r="WPE90" s="717"/>
      <c r="WPF90" s="717"/>
      <c r="WPG90" s="717"/>
      <c r="WPH90" s="717"/>
      <c r="WPI90" s="717"/>
      <c r="WPJ90" s="717"/>
      <c r="WPK90" s="717"/>
      <c r="WPL90" s="717"/>
      <c r="WPM90" s="717"/>
      <c r="WPN90" s="717"/>
      <c r="WPO90" s="717"/>
      <c r="WPP90" s="717"/>
      <c r="WPQ90" s="717"/>
      <c r="WPR90" s="717"/>
      <c r="WPS90" s="717"/>
      <c r="WPT90" s="717"/>
      <c r="WPU90" s="717"/>
      <c r="WPV90" s="717"/>
      <c r="WPW90" s="717"/>
      <c r="WPX90" s="717"/>
      <c r="WPY90" s="717"/>
      <c r="WPZ90" s="717"/>
      <c r="WQA90" s="717"/>
      <c r="WQB90" s="717"/>
      <c r="WQC90" s="717"/>
      <c r="WQD90" s="717"/>
      <c r="WQE90" s="717"/>
      <c r="WQF90" s="717"/>
      <c r="WQG90" s="717"/>
      <c r="WQH90" s="717"/>
      <c r="WQI90" s="717"/>
      <c r="WQJ90" s="717"/>
      <c r="WQK90" s="717"/>
      <c r="WQL90" s="717"/>
      <c r="WQM90" s="717"/>
      <c r="WQN90" s="717"/>
      <c r="WQO90" s="717"/>
      <c r="WQP90" s="717"/>
      <c r="WQQ90" s="717"/>
      <c r="WQR90" s="717"/>
      <c r="WQS90" s="717"/>
      <c r="WQT90" s="717"/>
      <c r="WQU90" s="717"/>
      <c r="WQV90" s="717"/>
      <c r="WQW90" s="717"/>
      <c r="WQX90" s="717"/>
      <c r="WQY90" s="717"/>
      <c r="WQZ90" s="717"/>
      <c r="WRA90" s="717"/>
      <c r="WRB90" s="717"/>
      <c r="WRC90" s="717"/>
      <c r="WRD90" s="717"/>
      <c r="WRE90" s="717"/>
      <c r="WRF90" s="717"/>
      <c r="WRG90" s="717"/>
      <c r="WRH90" s="717"/>
      <c r="WRI90" s="717"/>
      <c r="WRJ90" s="717"/>
      <c r="WRK90" s="717"/>
      <c r="WRL90" s="717"/>
      <c r="WRM90" s="717"/>
      <c r="WRN90" s="717"/>
      <c r="WRO90" s="717"/>
      <c r="WRP90" s="717"/>
      <c r="WRQ90" s="717"/>
      <c r="WRR90" s="717"/>
      <c r="WRS90" s="717"/>
      <c r="WRT90" s="717"/>
      <c r="WRU90" s="717"/>
      <c r="WRV90" s="717"/>
      <c r="WRW90" s="717"/>
      <c r="WRX90" s="717"/>
      <c r="WRY90" s="717"/>
      <c r="WRZ90" s="717"/>
      <c r="WSA90" s="717"/>
      <c r="WSB90" s="717"/>
      <c r="WSC90" s="717"/>
      <c r="WSD90" s="717"/>
      <c r="WSE90" s="717"/>
      <c r="WSF90" s="717"/>
      <c r="WSG90" s="717"/>
      <c r="WSH90" s="717"/>
      <c r="WSI90" s="717"/>
      <c r="WSJ90" s="717"/>
      <c r="WSK90" s="717"/>
      <c r="WSL90" s="717"/>
      <c r="WSM90" s="717"/>
      <c r="WSN90" s="717"/>
      <c r="WSO90" s="717"/>
      <c r="WSP90" s="717"/>
      <c r="WSQ90" s="717"/>
      <c r="WSR90" s="717"/>
      <c r="WSS90" s="717"/>
      <c r="WST90" s="717"/>
      <c r="WSU90" s="717"/>
      <c r="WSV90" s="717"/>
      <c r="WSW90" s="717"/>
      <c r="WSX90" s="717"/>
      <c r="WSY90" s="717"/>
      <c r="WSZ90" s="717"/>
      <c r="WTA90" s="717"/>
      <c r="WTB90" s="717"/>
      <c r="WTC90" s="717"/>
      <c r="WTD90" s="717"/>
      <c r="WTE90" s="717"/>
      <c r="WTF90" s="717"/>
      <c r="WTG90" s="717"/>
      <c r="WTH90" s="717"/>
      <c r="WTI90" s="717"/>
      <c r="WTJ90" s="717"/>
      <c r="WTK90" s="717"/>
      <c r="WTL90" s="717"/>
      <c r="WTM90" s="717"/>
      <c r="WTN90" s="717"/>
      <c r="WTO90" s="717"/>
      <c r="WTP90" s="717"/>
      <c r="WTQ90" s="717"/>
      <c r="WTR90" s="717"/>
      <c r="WTS90" s="717"/>
      <c r="WTT90" s="717"/>
      <c r="WTU90" s="717"/>
      <c r="WTV90" s="717"/>
      <c r="WTW90" s="717"/>
      <c r="WTX90" s="717"/>
      <c r="WTY90" s="717"/>
      <c r="WTZ90" s="717"/>
      <c r="WUA90" s="717"/>
      <c r="WUB90" s="717"/>
      <c r="WUC90" s="717"/>
      <c r="WUD90" s="717"/>
      <c r="WUE90" s="717"/>
      <c r="WUF90" s="717"/>
      <c r="WUG90" s="717"/>
      <c r="WUH90" s="717"/>
      <c r="WUI90" s="717"/>
      <c r="WUJ90" s="717"/>
      <c r="WUK90" s="717"/>
      <c r="WUL90" s="717"/>
      <c r="WUM90" s="717"/>
      <c r="WUN90" s="717"/>
      <c r="WUO90" s="717"/>
      <c r="WUP90" s="717"/>
      <c r="WUQ90" s="717"/>
      <c r="WUR90" s="717"/>
      <c r="WUS90" s="717"/>
      <c r="WUT90" s="717"/>
      <c r="WUU90" s="717"/>
      <c r="WUV90" s="717"/>
      <c r="WUW90" s="717"/>
      <c r="WUX90" s="717"/>
      <c r="WUY90" s="717"/>
      <c r="WUZ90" s="717"/>
      <c r="WVA90" s="717"/>
      <c r="WVB90" s="717"/>
      <c r="WVC90" s="717"/>
      <c r="WVD90" s="717"/>
      <c r="WVE90" s="717"/>
      <c r="WVF90" s="717"/>
      <c r="WVG90" s="717"/>
      <c r="WVN90" s="717"/>
      <c r="WVO90" s="717"/>
      <c r="WVP90" s="717"/>
      <c r="WVQ90" s="717"/>
      <c r="WVR90" s="717"/>
      <c r="WVS90" s="717"/>
      <c r="WVT90" s="717"/>
      <c r="WVU90" s="717"/>
      <c r="WVV90" s="717"/>
      <c r="WVW90" s="717"/>
      <c r="WVX90" s="717"/>
      <c r="WVY90" s="717"/>
      <c r="WVZ90" s="717"/>
      <c r="WWA90" s="717"/>
      <c r="WWB90" s="717"/>
      <c r="WWC90" s="717"/>
      <c r="WWD90" s="717"/>
      <c r="WWE90" s="717"/>
      <c r="WWF90" s="717"/>
      <c r="WWG90" s="717"/>
      <c r="WWH90" s="717"/>
      <c r="WWI90" s="717"/>
      <c r="WWJ90" s="717"/>
      <c r="WWK90" s="717"/>
      <c r="WWL90" s="717"/>
      <c r="WWM90" s="717"/>
      <c r="WWN90" s="717"/>
      <c r="WWO90" s="717"/>
      <c r="WWP90" s="717"/>
      <c r="WWQ90" s="717"/>
      <c r="WWR90" s="717"/>
      <c r="WWS90" s="717"/>
      <c r="WWT90" s="717"/>
      <c r="WWU90" s="717"/>
      <c r="WWV90" s="717"/>
      <c r="WWW90" s="717"/>
      <c r="WWX90" s="717"/>
      <c r="WWY90" s="717"/>
      <c r="WWZ90" s="717"/>
      <c r="WXA90" s="717"/>
      <c r="WXB90" s="717"/>
      <c r="WXC90" s="717"/>
      <c r="WXD90" s="717"/>
      <c r="WXE90" s="717"/>
      <c r="WXF90" s="717"/>
      <c r="WXG90" s="717"/>
      <c r="WXH90" s="717"/>
      <c r="WXI90" s="717"/>
      <c r="WXJ90" s="717"/>
      <c r="WXK90" s="717"/>
      <c r="WXL90" s="717"/>
      <c r="WXM90" s="717"/>
      <c r="WXN90" s="717"/>
      <c r="WXO90" s="717"/>
      <c r="WXP90" s="717"/>
      <c r="WXQ90" s="717"/>
      <c r="WXR90" s="717"/>
      <c r="WXS90" s="717"/>
      <c r="WXT90" s="717"/>
      <c r="WXU90" s="717"/>
      <c r="WXV90" s="717"/>
      <c r="WXW90" s="717"/>
      <c r="WXX90" s="717"/>
      <c r="WXY90" s="717"/>
      <c r="WXZ90" s="717"/>
      <c r="WYA90" s="717"/>
      <c r="WYB90" s="717"/>
      <c r="WYC90" s="717"/>
      <c r="WYD90" s="717"/>
      <c r="WYE90" s="717"/>
      <c r="WYF90" s="717"/>
      <c r="WYG90" s="717"/>
      <c r="WYH90" s="717"/>
      <c r="WYI90" s="717"/>
      <c r="WYJ90" s="717"/>
      <c r="WYK90" s="717"/>
      <c r="WYL90" s="717"/>
      <c r="WYM90" s="717"/>
      <c r="WYN90" s="717"/>
      <c r="WYO90" s="717"/>
      <c r="WYP90" s="717"/>
      <c r="WYQ90" s="717"/>
      <c r="WYR90" s="717"/>
      <c r="WYS90" s="717"/>
      <c r="WYT90" s="717"/>
      <c r="WYU90" s="717"/>
      <c r="WYV90" s="717"/>
      <c r="WYW90" s="717"/>
      <c r="WYX90" s="717"/>
      <c r="WYY90" s="717"/>
      <c r="WYZ90" s="717"/>
      <c r="WZA90" s="717"/>
      <c r="WZB90" s="717"/>
      <c r="WZC90" s="717"/>
      <c r="WZD90" s="717"/>
      <c r="WZE90" s="717"/>
      <c r="WZF90" s="717"/>
      <c r="WZG90" s="717"/>
      <c r="WZH90" s="717"/>
      <c r="WZI90" s="717"/>
      <c r="WZJ90" s="717"/>
      <c r="WZK90" s="717"/>
      <c r="WZL90" s="717"/>
      <c r="WZM90" s="717"/>
      <c r="WZN90" s="717"/>
      <c r="WZO90" s="717"/>
      <c r="WZP90" s="717"/>
      <c r="WZQ90" s="717"/>
      <c r="WZR90" s="717"/>
      <c r="WZS90" s="717"/>
      <c r="WZT90" s="717"/>
      <c r="WZU90" s="717"/>
      <c r="WZV90" s="717"/>
      <c r="WZW90" s="717"/>
      <c r="WZX90" s="717"/>
      <c r="WZY90" s="717"/>
      <c r="WZZ90" s="717"/>
      <c r="XAA90" s="717"/>
      <c r="XAB90" s="717"/>
      <c r="XAC90" s="717"/>
      <c r="XAD90" s="717"/>
      <c r="XAE90" s="717"/>
      <c r="XAF90" s="717"/>
      <c r="XAG90" s="717"/>
      <c r="XAH90" s="717"/>
      <c r="XAI90" s="717"/>
      <c r="XAJ90" s="717"/>
      <c r="XAK90" s="717"/>
      <c r="XAL90" s="717"/>
      <c r="XAM90" s="717"/>
      <c r="XAN90" s="717"/>
      <c r="XAO90" s="717"/>
      <c r="XAP90" s="717"/>
      <c r="XAQ90" s="717"/>
      <c r="XAR90" s="717"/>
      <c r="XAS90" s="717"/>
      <c r="XAT90" s="717"/>
      <c r="XAU90" s="717"/>
      <c r="XAV90" s="717"/>
      <c r="XAW90" s="717"/>
      <c r="XAX90" s="717"/>
      <c r="XAY90" s="717"/>
      <c r="XAZ90" s="717"/>
      <c r="XBA90" s="717"/>
      <c r="XBB90" s="717"/>
      <c r="XBC90" s="717"/>
      <c r="XBD90" s="717"/>
      <c r="XBE90" s="717"/>
      <c r="XBF90" s="717"/>
      <c r="XBG90" s="717"/>
      <c r="XBH90" s="717"/>
      <c r="XBI90" s="717"/>
      <c r="XBJ90" s="717"/>
      <c r="XBK90" s="717"/>
      <c r="XBL90" s="717"/>
      <c r="XBM90" s="717"/>
      <c r="XBN90" s="717"/>
      <c r="XBO90" s="717"/>
      <c r="XBP90" s="717"/>
      <c r="XBQ90" s="717"/>
      <c r="XBR90" s="717"/>
      <c r="XBS90" s="717"/>
      <c r="XBT90" s="717"/>
      <c r="XBU90" s="717"/>
      <c r="XBV90" s="717"/>
      <c r="XBW90" s="717"/>
      <c r="XBX90" s="717"/>
      <c r="XBY90" s="717"/>
      <c r="XBZ90" s="717"/>
      <c r="XCA90" s="717"/>
      <c r="XCB90" s="717"/>
      <c r="XCC90" s="717"/>
      <c r="XCD90" s="717"/>
      <c r="XCE90" s="717"/>
      <c r="XCF90" s="717"/>
      <c r="XCG90" s="717"/>
      <c r="XCH90" s="717"/>
      <c r="XCI90" s="717"/>
      <c r="XCJ90" s="717"/>
      <c r="XCK90" s="717"/>
      <c r="XCL90" s="717"/>
      <c r="XCM90" s="717"/>
      <c r="XCN90" s="717"/>
      <c r="XCO90" s="717"/>
      <c r="XCP90" s="717"/>
      <c r="XCQ90" s="717"/>
      <c r="XCR90" s="717"/>
      <c r="XCS90" s="717"/>
      <c r="XCT90" s="717"/>
      <c r="XCU90" s="717"/>
      <c r="XCV90" s="717"/>
      <c r="XCW90" s="717"/>
      <c r="XCX90" s="717"/>
      <c r="XCY90" s="717"/>
      <c r="XCZ90" s="717"/>
      <c r="XDA90" s="717"/>
      <c r="XDB90" s="717"/>
      <c r="XDC90" s="717"/>
      <c r="XDD90" s="717"/>
      <c r="XDE90" s="717"/>
      <c r="XDF90" s="717"/>
      <c r="XDG90" s="717"/>
      <c r="XDH90" s="717"/>
      <c r="XDI90" s="717"/>
      <c r="XDJ90" s="717"/>
      <c r="XDK90" s="717"/>
      <c r="XDL90" s="717"/>
      <c r="XDM90" s="717"/>
      <c r="XDN90" s="717"/>
      <c r="XDO90" s="717"/>
      <c r="XDP90" s="717"/>
      <c r="XDQ90" s="717"/>
      <c r="XDR90" s="717"/>
      <c r="XDS90" s="717"/>
      <c r="XDT90" s="717"/>
      <c r="XDU90" s="717"/>
      <c r="XDV90" s="717"/>
      <c r="XDW90" s="717"/>
      <c r="XDX90" s="717"/>
      <c r="XDY90" s="717"/>
      <c r="XDZ90" s="717"/>
      <c r="XEA90" s="717"/>
      <c r="XEB90" s="717"/>
      <c r="XEC90" s="717"/>
      <c r="XED90" s="717"/>
      <c r="XEE90" s="717"/>
      <c r="XEF90" s="717"/>
      <c r="XEG90" s="717"/>
      <c r="XEH90" s="717"/>
      <c r="XEI90" s="717"/>
      <c r="XEJ90" s="717"/>
      <c r="XEK90" s="717"/>
      <c r="XEL90" s="717"/>
      <c r="XEM90" s="717"/>
      <c r="XEN90" s="717"/>
      <c r="XEO90" s="717"/>
      <c r="XEP90" s="717"/>
      <c r="XEQ90" s="717"/>
      <c r="XER90" s="717"/>
      <c r="XES90" s="717"/>
      <c r="XET90" s="717"/>
      <c r="XEU90" s="717"/>
      <c r="XEV90" s="717"/>
      <c r="XEW90" s="717"/>
      <c r="XEX90" s="717"/>
      <c r="XEY90" s="717"/>
      <c r="XEZ90" s="717"/>
      <c r="XFA90" s="717"/>
      <c r="XFB90" s="717"/>
      <c r="XFC90" s="717"/>
      <c r="XFD90" s="717"/>
    </row>
    <row r="91" spans="1:1023 1030:2047 2054:3071 3078:4095 4102:5119 5126:6143 6150:7167 7174:8191 8198:9215 9222:10239 10246:11263 11270:12287 12294:13311 13318:14335 14342:15359 15366:16384" s="344" customFormat="1" ht="11.25" customHeight="1" x14ac:dyDescent="0.2">
      <c r="A91" s="347" t="s">
        <v>378</v>
      </c>
      <c r="B91" s="348" t="s">
        <v>424</v>
      </c>
      <c r="C91" s="348" t="s">
        <v>185</v>
      </c>
      <c r="D91" s="348" t="s">
        <v>1355</v>
      </c>
      <c r="E91" s="348" t="s">
        <v>228</v>
      </c>
      <c r="F91" s="349" t="s">
        <v>464</v>
      </c>
      <c r="G91" s="498" t="s">
        <v>1315</v>
      </c>
      <c r="H91" s="683">
        <v>5</v>
      </c>
      <c r="I91" s="357">
        <v>48</v>
      </c>
      <c r="J91" s="684">
        <v>10</v>
      </c>
      <c r="K91" s="684">
        <v>10</v>
      </c>
      <c r="L91" s="686">
        <v>1</v>
      </c>
      <c r="M91" s="683"/>
      <c r="N91" s="357"/>
      <c r="O91" s="357"/>
      <c r="P91" s="357"/>
      <c r="Q91" s="357"/>
      <c r="R91" s="686"/>
      <c r="S91" s="687">
        <f t="shared" si="11"/>
        <v>5</v>
      </c>
      <c r="T91" s="687">
        <f t="shared" si="11"/>
        <v>48</v>
      </c>
      <c r="U91" s="687">
        <f t="shared" si="16"/>
        <v>10</v>
      </c>
      <c r="V91" s="687">
        <f t="shared" si="17"/>
        <v>10</v>
      </c>
      <c r="W91" s="687">
        <f t="shared" si="18"/>
        <v>1</v>
      </c>
      <c r="X91" s="346" t="s">
        <v>1346</v>
      </c>
    </row>
    <row r="92" spans="1:1023 1030:2047 2054:3071 3078:4095 4102:5119 5126:6143 6150:7167 7174:8191 8198:9215 9222:10239 10246:11263 11270:12287 12294:13311 13318:14335 14342:15359 15366:16384" s="344" customFormat="1" ht="11.25" customHeight="1" x14ac:dyDescent="0.2">
      <c r="A92" s="347" t="s">
        <v>378</v>
      </c>
      <c r="B92" s="348" t="s">
        <v>1311</v>
      </c>
      <c r="C92" s="348" t="s">
        <v>185</v>
      </c>
      <c r="D92" s="348" t="s">
        <v>202</v>
      </c>
      <c r="E92" s="348" t="s">
        <v>201</v>
      </c>
      <c r="F92" s="349" t="s">
        <v>464</v>
      </c>
      <c r="G92" s="498"/>
      <c r="H92" s="688">
        <v>16</v>
      </c>
      <c r="I92" s="684">
        <v>16</v>
      </c>
      <c r="J92" s="708">
        <v>0</v>
      </c>
      <c r="K92" s="708"/>
      <c r="L92" s="685">
        <v>0</v>
      </c>
      <c r="M92" s="683"/>
      <c r="N92" s="357"/>
      <c r="O92" s="357"/>
      <c r="P92" s="357"/>
      <c r="Q92" s="357"/>
      <c r="R92" s="686"/>
      <c r="S92" s="687">
        <f t="shared" si="11"/>
        <v>16</v>
      </c>
      <c r="T92" s="687">
        <f t="shared" si="11"/>
        <v>16</v>
      </c>
      <c r="U92" s="687">
        <f t="shared" si="16"/>
        <v>0</v>
      </c>
      <c r="V92" s="687">
        <f t="shared" si="17"/>
        <v>0</v>
      </c>
      <c r="W92" s="687">
        <f t="shared" si="18"/>
        <v>0</v>
      </c>
      <c r="X92" s="346"/>
    </row>
    <row r="93" spans="1:1023 1030:2047 2054:3071 3078:4095 4102:5119 5126:6143 6150:7167 7174:8191 8198:9215 9222:10239 10246:11263 11270:12287 12294:13311 13318:14335 14342:15359 15366:16384" s="344" customFormat="1" ht="11.25" customHeight="1" x14ac:dyDescent="0.2">
      <c r="A93" s="347" t="s">
        <v>378</v>
      </c>
      <c r="B93" s="348" t="s">
        <v>424</v>
      </c>
      <c r="C93" s="348" t="s">
        <v>185</v>
      </c>
      <c r="D93" s="348" t="s">
        <v>209</v>
      </c>
      <c r="E93" s="348" t="s">
        <v>208</v>
      </c>
      <c r="F93" s="349" t="s">
        <v>464</v>
      </c>
      <c r="G93" s="498"/>
      <c r="H93" s="688">
        <v>8</v>
      </c>
      <c r="I93" s="684">
        <v>8</v>
      </c>
      <c r="J93" s="684"/>
      <c r="K93" s="684">
        <v>0</v>
      </c>
      <c r="L93" s="685">
        <v>0</v>
      </c>
      <c r="M93" s="683"/>
      <c r="N93" s="357"/>
      <c r="O93" s="357"/>
      <c r="P93" s="357"/>
      <c r="Q93" s="357"/>
      <c r="R93" s="686"/>
      <c r="S93" s="687">
        <f t="shared" si="11"/>
        <v>8</v>
      </c>
      <c r="T93" s="687">
        <f t="shared" si="11"/>
        <v>8</v>
      </c>
      <c r="U93" s="687">
        <f t="shared" si="16"/>
        <v>0</v>
      </c>
      <c r="V93" s="687">
        <f t="shared" si="17"/>
        <v>0</v>
      </c>
      <c r="W93" s="687">
        <f t="shared" si="18"/>
        <v>0</v>
      </c>
      <c r="X93" s="346" t="s">
        <v>1346</v>
      </c>
    </row>
    <row r="94" spans="1:1023 1030:2047 2054:3071 3078:4095 4102:5119 5126:6143 6150:7167 7174:8191 8198:9215 9222:10239 10246:11263 11270:12287 12294:13311 13318:14335 14342:15359 15366:16384" s="344" customFormat="1" ht="11.25" customHeight="1" x14ac:dyDescent="0.2">
      <c r="A94" s="347" t="s">
        <v>378</v>
      </c>
      <c r="B94" s="348" t="s">
        <v>1311</v>
      </c>
      <c r="C94" s="348" t="s">
        <v>185</v>
      </c>
      <c r="D94" s="348" t="s">
        <v>1354</v>
      </c>
      <c r="E94" s="348" t="s">
        <v>214</v>
      </c>
      <c r="F94" s="349" t="s">
        <v>466</v>
      </c>
      <c r="G94" s="498"/>
      <c r="H94" s="683">
        <v>81</v>
      </c>
      <c r="I94" s="357">
        <v>81</v>
      </c>
      <c r="J94" s="684">
        <v>0</v>
      </c>
      <c r="K94" s="684">
        <v>0</v>
      </c>
      <c r="L94" s="685">
        <v>0</v>
      </c>
      <c r="M94" s="683"/>
      <c r="N94" s="357"/>
      <c r="O94" s="357"/>
      <c r="P94" s="357"/>
      <c r="Q94" s="357"/>
      <c r="R94" s="686"/>
      <c r="S94" s="687">
        <f t="shared" si="11"/>
        <v>81</v>
      </c>
      <c r="T94" s="687">
        <f t="shared" si="11"/>
        <v>81</v>
      </c>
      <c r="U94" s="687" t="s">
        <v>541</v>
      </c>
      <c r="V94" s="687">
        <f t="shared" si="17"/>
        <v>0</v>
      </c>
      <c r="W94" s="687">
        <f t="shared" si="18"/>
        <v>0</v>
      </c>
      <c r="X94" s="346" t="s">
        <v>1636</v>
      </c>
    </row>
    <row r="95" spans="1:1023 1030:2047 2054:3071 3078:4095 4102:5119 5126:6143 6150:7167 7174:8191 8198:9215 9222:10239 10246:11263 11270:12287 12294:13311 13318:14335 14342:15359 15366:16384" s="344" customFormat="1" ht="11.25" customHeight="1" x14ac:dyDescent="0.2">
      <c r="A95" s="347" t="s">
        <v>378</v>
      </c>
      <c r="B95" s="348" t="s">
        <v>424</v>
      </c>
      <c r="C95" s="348" t="s">
        <v>185</v>
      </c>
      <c r="D95" s="348" t="s">
        <v>1355</v>
      </c>
      <c r="E95" s="348" t="s">
        <v>228</v>
      </c>
      <c r="F95" s="349" t="s">
        <v>464</v>
      </c>
      <c r="G95" s="498"/>
      <c r="H95" s="688">
        <v>2</v>
      </c>
      <c r="I95" s="684">
        <v>2</v>
      </c>
      <c r="J95" s="684">
        <v>0</v>
      </c>
      <c r="K95" s="684">
        <v>0</v>
      </c>
      <c r="L95" s="685">
        <v>0</v>
      </c>
      <c r="M95" s="683"/>
      <c r="N95" s="357"/>
      <c r="O95" s="357"/>
      <c r="P95" s="357"/>
      <c r="Q95" s="357"/>
      <c r="R95" s="686"/>
      <c r="S95" s="687">
        <f t="shared" si="11"/>
        <v>2</v>
      </c>
      <c r="T95" s="687">
        <f t="shared" si="11"/>
        <v>2</v>
      </c>
      <c r="U95" s="687">
        <f t="shared" si="16"/>
        <v>0</v>
      </c>
      <c r="V95" s="687">
        <f t="shared" si="17"/>
        <v>0</v>
      </c>
      <c r="W95" s="687">
        <f t="shared" si="18"/>
        <v>0</v>
      </c>
      <c r="X95" s="346" t="s">
        <v>1346</v>
      </c>
    </row>
    <row r="96" spans="1:1023 1030:2047 2054:3071 3078:4095 4102:5119 5126:6143 6150:7167 7174:8191 8198:9215 9222:10239 10246:11263 11270:12287 12294:13311 13318:14335 14342:15359 15366:16384" s="344" customFormat="1" ht="11.25" customHeight="1" x14ac:dyDescent="0.2">
      <c r="A96" s="347" t="s">
        <v>378</v>
      </c>
      <c r="B96" s="348" t="s">
        <v>1311</v>
      </c>
      <c r="C96" s="348" t="s">
        <v>185</v>
      </c>
      <c r="D96" s="348" t="s">
        <v>1356</v>
      </c>
      <c r="E96" s="358" t="s">
        <v>218</v>
      </c>
      <c r="F96" s="363" t="s">
        <v>466</v>
      </c>
      <c r="G96" s="365"/>
      <c r="H96" s="683">
        <v>200</v>
      </c>
      <c r="I96" s="357">
        <v>200</v>
      </c>
      <c r="J96" s="708">
        <v>0</v>
      </c>
      <c r="K96" s="708"/>
      <c r="L96" s="685">
        <v>0</v>
      </c>
      <c r="M96" s="683">
        <v>20</v>
      </c>
      <c r="N96" s="357">
        <v>20</v>
      </c>
      <c r="O96" s="357"/>
      <c r="P96" s="357"/>
      <c r="Q96" s="357"/>
      <c r="R96" s="686" t="s">
        <v>1638</v>
      </c>
      <c r="S96" s="687">
        <f t="shared" si="11"/>
        <v>180</v>
      </c>
      <c r="T96" s="687">
        <f t="shared" si="11"/>
        <v>180</v>
      </c>
      <c r="U96" s="687">
        <f t="shared" si="16"/>
        <v>0</v>
      </c>
      <c r="V96" s="687">
        <f t="shared" si="17"/>
        <v>0</v>
      </c>
      <c r="W96" s="687">
        <f t="shared" si="18"/>
        <v>0</v>
      </c>
      <c r="X96" s="346"/>
    </row>
    <row r="97" spans="1:24" s="344" customFormat="1" ht="11.25" customHeight="1" x14ac:dyDescent="0.2">
      <c r="A97" s="347" t="s">
        <v>378</v>
      </c>
      <c r="B97" s="348" t="s">
        <v>424</v>
      </c>
      <c r="C97" s="348" t="s">
        <v>185</v>
      </c>
      <c r="D97" s="348" t="s">
        <v>1357</v>
      </c>
      <c r="E97" s="348" t="s">
        <v>224</v>
      </c>
      <c r="F97" s="349" t="s">
        <v>464</v>
      </c>
      <c r="G97" s="498"/>
      <c r="H97" s="688">
        <v>0</v>
      </c>
      <c r="I97" s="684">
        <v>0</v>
      </c>
      <c r="J97" s="684">
        <v>0</v>
      </c>
      <c r="K97" s="684">
        <v>0</v>
      </c>
      <c r="L97" s="685">
        <v>0</v>
      </c>
      <c r="M97" s="683"/>
      <c r="N97" s="357"/>
      <c r="O97" s="357"/>
      <c r="P97" s="357"/>
      <c r="Q97" s="357"/>
      <c r="R97" s="686"/>
      <c r="S97" s="687">
        <f t="shared" si="11"/>
        <v>0</v>
      </c>
      <c r="T97" s="687">
        <f t="shared" si="11"/>
        <v>0</v>
      </c>
      <c r="U97" s="687">
        <f t="shared" si="16"/>
        <v>0</v>
      </c>
      <c r="V97" s="687">
        <f t="shared" si="17"/>
        <v>0</v>
      </c>
      <c r="W97" s="687">
        <f t="shared" si="18"/>
        <v>0</v>
      </c>
      <c r="X97" s="346"/>
    </row>
    <row r="98" spans="1:24" s="344" customFormat="1" ht="11.25" customHeight="1" x14ac:dyDescent="0.2">
      <c r="A98" s="350" t="s">
        <v>3</v>
      </c>
      <c r="B98" s="351"/>
      <c r="C98" s="351"/>
      <c r="D98" s="352"/>
      <c r="E98" s="353"/>
      <c r="F98" s="354"/>
      <c r="G98" s="507"/>
      <c r="H98" s="355">
        <f>SUM(H85:H97)</f>
        <v>676</v>
      </c>
      <c r="I98" s="355">
        <f t="shared" ref="I98:W98" si="19">SUM(I85:I97)</f>
        <v>719</v>
      </c>
      <c r="J98" s="355">
        <f t="shared" si="19"/>
        <v>758</v>
      </c>
      <c r="K98" s="355">
        <f t="shared" si="19"/>
        <v>10</v>
      </c>
      <c r="L98" s="355">
        <f t="shared" si="19"/>
        <v>3</v>
      </c>
      <c r="M98" s="355">
        <f t="shared" si="19"/>
        <v>99</v>
      </c>
      <c r="N98" s="355">
        <f t="shared" si="19"/>
        <v>99</v>
      </c>
      <c r="O98" s="355">
        <f t="shared" si="19"/>
        <v>528</v>
      </c>
      <c r="P98" s="355">
        <f t="shared" si="19"/>
        <v>0</v>
      </c>
      <c r="Q98" s="355">
        <f t="shared" si="19"/>
        <v>0</v>
      </c>
      <c r="R98" s="355">
        <f t="shared" si="19"/>
        <v>0</v>
      </c>
      <c r="S98" s="355">
        <f t="shared" si="19"/>
        <v>577</v>
      </c>
      <c r="T98" s="355">
        <f t="shared" si="19"/>
        <v>620</v>
      </c>
      <c r="U98" s="355">
        <f t="shared" si="19"/>
        <v>230</v>
      </c>
      <c r="V98" s="355">
        <f t="shared" si="19"/>
        <v>10</v>
      </c>
      <c r="W98" s="355">
        <f t="shared" si="19"/>
        <v>3</v>
      </c>
      <c r="X98" s="346"/>
    </row>
    <row r="99" spans="1:24" s="344" customFormat="1" ht="11.25" customHeight="1" x14ac:dyDescent="0.2">
      <c r="A99" s="347" t="s">
        <v>1326</v>
      </c>
      <c r="B99" s="348" t="s">
        <v>424</v>
      </c>
      <c r="C99" s="348" t="s">
        <v>230</v>
      </c>
      <c r="D99" s="348" t="s">
        <v>905</v>
      </c>
      <c r="E99" s="348" t="s">
        <v>906</v>
      </c>
      <c r="F99" s="349" t="s">
        <v>464</v>
      </c>
      <c r="G99" s="498"/>
      <c r="H99" s="688"/>
      <c r="I99" s="684"/>
      <c r="J99" s="684">
        <v>0</v>
      </c>
      <c r="K99" s="684">
        <v>0</v>
      </c>
      <c r="L99" s="685">
        <v>0</v>
      </c>
      <c r="M99" s="683"/>
      <c r="N99" s="357"/>
      <c r="O99" s="357"/>
      <c r="P99" s="357"/>
      <c r="Q99" s="357"/>
      <c r="R99" s="686"/>
      <c r="S99" s="687">
        <f t="shared" si="11"/>
        <v>0</v>
      </c>
      <c r="T99" s="687">
        <f t="shared" si="11"/>
        <v>0</v>
      </c>
      <c r="U99" s="687">
        <f t="shared" si="16"/>
        <v>0</v>
      </c>
      <c r="V99" s="687">
        <f t="shared" si="17"/>
        <v>0</v>
      </c>
      <c r="W99" s="687">
        <f t="shared" si="18"/>
        <v>0</v>
      </c>
      <c r="X99" s="346"/>
    </row>
    <row r="100" spans="1:24" s="344" customFormat="1" ht="11.25" customHeight="1" x14ac:dyDescent="0.2">
      <c r="A100" s="347" t="s">
        <v>1326</v>
      </c>
      <c r="B100" s="348" t="s">
        <v>1330</v>
      </c>
      <c r="C100" s="348" t="s">
        <v>230</v>
      </c>
      <c r="D100" s="348" t="s">
        <v>915</v>
      </c>
      <c r="E100" s="348" t="s">
        <v>916</v>
      </c>
      <c r="F100" s="349" t="s">
        <v>464</v>
      </c>
      <c r="G100" s="364"/>
      <c r="H100" s="688"/>
      <c r="I100" s="684"/>
      <c r="J100" s="684">
        <v>0</v>
      </c>
      <c r="K100" s="684">
        <v>10</v>
      </c>
      <c r="L100" s="685"/>
      <c r="M100" s="683"/>
      <c r="N100" s="357"/>
      <c r="O100" s="357"/>
      <c r="P100" s="357">
        <v>10</v>
      </c>
      <c r="Q100" s="357"/>
      <c r="R100" s="686" t="s">
        <v>1630</v>
      </c>
      <c r="S100" s="687">
        <f t="shared" si="11"/>
        <v>0</v>
      </c>
      <c r="T100" s="687">
        <f t="shared" si="11"/>
        <v>0</v>
      </c>
      <c r="U100" s="687">
        <f t="shared" si="16"/>
        <v>0</v>
      </c>
      <c r="V100" s="687">
        <f t="shared" si="17"/>
        <v>0</v>
      </c>
      <c r="W100" s="687">
        <f t="shared" si="18"/>
        <v>0</v>
      </c>
      <c r="X100" s="346"/>
    </row>
    <row r="101" spans="1:24" s="344" customFormat="1" ht="11.25" customHeight="1" x14ac:dyDescent="0.2">
      <c r="A101" s="348" t="s">
        <v>1326</v>
      </c>
      <c r="B101" s="348" t="s">
        <v>424</v>
      </c>
      <c r="C101" s="348" t="s">
        <v>230</v>
      </c>
      <c r="D101" s="348" t="s">
        <v>716</v>
      </c>
      <c r="E101" s="348" t="s">
        <v>1250</v>
      </c>
      <c r="F101" s="349" t="s">
        <v>464</v>
      </c>
      <c r="G101" s="364" t="s">
        <v>1481</v>
      </c>
      <c r="H101" s="688">
        <v>63</v>
      </c>
      <c r="I101" s="684">
        <v>63</v>
      </c>
      <c r="J101" s="684"/>
      <c r="K101" s="684"/>
      <c r="L101" s="685"/>
      <c r="M101" s="683"/>
      <c r="N101" s="357"/>
      <c r="O101" s="357"/>
      <c r="P101" s="357"/>
      <c r="Q101" s="357"/>
      <c r="R101" s="686"/>
      <c r="S101" s="687">
        <f t="shared" si="11"/>
        <v>63</v>
      </c>
      <c r="T101" s="687">
        <f t="shared" si="11"/>
        <v>63</v>
      </c>
      <c r="U101" s="687">
        <f t="shared" si="16"/>
        <v>0</v>
      </c>
      <c r="V101" s="687">
        <f t="shared" si="17"/>
        <v>0</v>
      </c>
      <c r="W101" s="687">
        <f t="shared" si="18"/>
        <v>0</v>
      </c>
      <c r="X101" s="346"/>
    </row>
    <row r="102" spans="1:24" s="344" customFormat="1" ht="11.25" customHeight="1" x14ac:dyDescent="0.2">
      <c r="A102" s="350" t="s">
        <v>3</v>
      </c>
      <c r="B102" s="351"/>
      <c r="C102" s="351"/>
      <c r="D102" s="352"/>
      <c r="E102" s="353"/>
      <c r="F102" s="354"/>
      <c r="G102" s="507"/>
      <c r="H102" s="355">
        <f>SUM(H99:H101)</f>
        <v>63</v>
      </c>
      <c r="I102" s="355">
        <f t="shared" ref="I102:W102" si="20">SUM(I99:I101)</f>
        <v>63</v>
      </c>
      <c r="J102" s="355">
        <f t="shared" si="20"/>
        <v>0</v>
      </c>
      <c r="K102" s="355">
        <f t="shared" si="20"/>
        <v>10</v>
      </c>
      <c r="L102" s="355">
        <f t="shared" si="20"/>
        <v>0</v>
      </c>
      <c r="M102" s="355">
        <f t="shared" si="20"/>
        <v>0</v>
      </c>
      <c r="N102" s="355">
        <f t="shared" si="20"/>
        <v>0</v>
      </c>
      <c r="O102" s="355">
        <f t="shared" si="20"/>
        <v>0</v>
      </c>
      <c r="P102" s="355">
        <f t="shared" si="20"/>
        <v>10</v>
      </c>
      <c r="Q102" s="355">
        <f t="shared" si="20"/>
        <v>0</v>
      </c>
      <c r="R102" s="355">
        <f t="shared" si="20"/>
        <v>0</v>
      </c>
      <c r="S102" s="355">
        <f t="shared" si="20"/>
        <v>63</v>
      </c>
      <c r="T102" s="355">
        <f t="shared" si="20"/>
        <v>63</v>
      </c>
      <c r="U102" s="355">
        <f t="shared" si="20"/>
        <v>0</v>
      </c>
      <c r="V102" s="355">
        <f t="shared" si="20"/>
        <v>0</v>
      </c>
      <c r="W102" s="355">
        <f t="shared" si="20"/>
        <v>0</v>
      </c>
      <c r="X102" s="346"/>
    </row>
    <row r="103" spans="1:24" s="344" customFormat="1" ht="11.25" customHeight="1" x14ac:dyDescent="0.2">
      <c r="A103" s="347" t="s">
        <v>378</v>
      </c>
      <c r="B103" s="348" t="s">
        <v>424</v>
      </c>
      <c r="C103" s="348" t="s">
        <v>237</v>
      </c>
      <c r="D103" s="348" t="s">
        <v>1358</v>
      </c>
      <c r="E103" s="348" t="s">
        <v>245</v>
      </c>
      <c r="F103" s="349" t="s">
        <v>464</v>
      </c>
      <c r="G103" s="498"/>
      <c r="H103" s="688"/>
      <c r="I103" s="684"/>
      <c r="J103" s="684">
        <v>15</v>
      </c>
      <c r="K103" s="684">
        <v>0</v>
      </c>
      <c r="L103" s="685">
        <v>1</v>
      </c>
      <c r="M103" s="683"/>
      <c r="N103" s="357"/>
      <c r="O103" s="357"/>
      <c r="P103" s="357"/>
      <c r="Q103" s="357"/>
      <c r="R103" s="686"/>
      <c r="S103" s="687">
        <f t="shared" si="11"/>
        <v>0</v>
      </c>
      <c r="T103" s="687">
        <f t="shared" si="11"/>
        <v>0</v>
      </c>
      <c r="U103" s="687">
        <f t="shared" si="16"/>
        <v>15</v>
      </c>
      <c r="V103" s="687">
        <f t="shared" si="17"/>
        <v>0</v>
      </c>
      <c r="W103" s="687">
        <f t="shared" si="18"/>
        <v>1</v>
      </c>
      <c r="X103" s="346"/>
    </row>
    <row r="104" spans="1:24" s="344" customFormat="1" ht="11.25" customHeight="1" x14ac:dyDescent="0.2">
      <c r="A104" s="347" t="s">
        <v>378</v>
      </c>
      <c r="B104" s="348" t="s">
        <v>424</v>
      </c>
      <c r="C104" s="348" t="s">
        <v>237</v>
      </c>
      <c r="D104" s="348" t="s">
        <v>1359</v>
      </c>
      <c r="E104" s="348" t="s">
        <v>251</v>
      </c>
      <c r="F104" s="349" t="s">
        <v>464</v>
      </c>
      <c r="G104" s="364" t="s">
        <v>1315</v>
      </c>
      <c r="H104" s="688">
        <v>120</v>
      </c>
      <c r="I104" s="684">
        <v>120</v>
      </c>
      <c r="J104" s="684"/>
      <c r="K104" s="684">
        <v>0</v>
      </c>
      <c r="L104" s="685">
        <v>0</v>
      </c>
      <c r="M104" s="683"/>
      <c r="N104" s="357"/>
      <c r="O104" s="357"/>
      <c r="P104" s="357"/>
      <c r="Q104" s="357"/>
      <c r="R104" s="686"/>
      <c r="S104" s="687">
        <f t="shared" si="11"/>
        <v>120</v>
      </c>
      <c r="T104" s="687">
        <f t="shared" si="11"/>
        <v>120</v>
      </c>
      <c r="U104" s="687">
        <f t="shared" si="16"/>
        <v>0</v>
      </c>
      <c r="V104" s="687">
        <f t="shared" si="17"/>
        <v>0</v>
      </c>
      <c r="W104" s="687">
        <f t="shared" si="18"/>
        <v>0</v>
      </c>
      <c r="X104" s="346"/>
    </row>
    <row r="105" spans="1:24" s="344" customFormat="1" ht="11.25" customHeight="1" x14ac:dyDescent="0.2">
      <c r="A105" s="347" t="s">
        <v>378</v>
      </c>
      <c r="B105" s="348" t="s">
        <v>1317</v>
      </c>
      <c r="C105" s="348" t="s">
        <v>237</v>
      </c>
      <c r="D105" s="348" t="s">
        <v>1360</v>
      </c>
      <c r="E105" s="348" t="s">
        <v>253</v>
      </c>
      <c r="F105" s="349" t="s">
        <v>464</v>
      </c>
      <c r="G105" s="498"/>
      <c r="H105" s="688"/>
      <c r="I105" s="684">
        <v>0</v>
      </c>
      <c r="J105" s="684"/>
      <c r="K105" s="684">
        <v>0</v>
      </c>
      <c r="L105" s="685">
        <v>0</v>
      </c>
      <c r="M105" s="683"/>
      <c r="N105" s="357"/>
      <c r="O105" s="357"/>
      <c r="P105" s="357"/>
      <c r="Q105" s="357"/>
      <c r="R105" s="686"/>
      <c r="S105" s="687">
        <f t="shared" si="11"/>
        <v>0</v>
      </c>
      <c r="T105" s="687">
        <f t="shared" si="11"/>
        <v>0</v>
      </c>
      <c r="U105" s="687">
        <f t="shared" si="16"/>
        <v>0</v>
      </c>
      <c r="V105" s="687">
        <f t="shared" si="17"/>
        <v>0</v>
      </c>
      <c r="W105" s="687">
        <f t="shared" si="18"/>
        <v>0</v>
      </c>
      <c r="X105" s="346"/>
    </row>
    <row r="106" spans="1:24" s="344" customFormat="1" ht="11.25" customHeight="1" x14ac:dyDescent="0.2">
      <c r="A106" s="347" t="s">
        <v>378</v>
      </c>
      <c r="B106" s="348" t="s">
        <v>424</v>
      </c>
      <c r="C106" s="348" t="s">
        <v>237</v>
      </c>
      <c r="D106" s="348" t="s">
        <v>256</v>
      </c>
      <c r="E106" s="348" t="s">
        <v>255</v>
      </c>
      <c r="F106" s="349" t="s">
        <v>464</v>
      </c>
      <c r="G106" s="365"/>
      <c r="H106" s="688">
        <v>17</v>
      </c>
      <c r="I106" s="684">
        <v>17</v>
      </c>
      <c r="J106" s="684"/>
      <c r="K106" s="684"/>
      <c r="L106" s="685">
        <v>1</v>
      </c>
      <c r="M106" s="683"/>
      <c r="N106" s="357"/>
      <c r="O106" s="357"/>
      <c r="P106" s="357"/>
      <c r="Q106" s="357"/>
      <c r="R106" s="686"/>
      <c r="S106" s="687">
        <f t="shared" si="11"/>
        <v>17</v>
      </c>
      <c r="T106" s="687">
        <f t="shared" si="11"/>
        <v>17</v>
      </c>
      <c r="U106" s="687">
        <f t="shared" si="16"/>
        <v>0</v>
      </c>
      <c r="V106" s="687">
        <f t="shared" si="17"/>
        <v>0</v>
      </c>
      <c r="W106" s="687">
        <f t="shared" si="18"/>
        <v>1</v>
      </c>
      <c r="X106" s="346"/>
    </row>
    <row r="107" spans="1:24" s="344" customFormat="1" ht="11.25" customHeight="1" x14ac:dyDescent="0.2">
      <c r="A107" s="347" t="s">
        <v>378</v>
      </c>
      <c r="B107" s="348" t="s">
        <v>424</v>
      </c>
      <c r="C107" s="348" t="s">
        <v>237</v>
      </c>
      <c r="D107" s="348" t="s">
        <v>240</v>
      </c>
      <c r="E107" s="348" t="s">
        <v>239</v>
      </c>
      <c r="F107" s="349" t="s">
        <v>464</v>
      </c>
      <c r="G107" s="498"/>
      <c r="H107" s="688"/>
      <c r="I107" s="684">
        <v>0</v>
      </c>
      <c r="J107" s="684">
        <v>10</v>
      </c>
      <c r="K107" s="684">
        <v>10</v>
      </c>
      <c r="L107" s="685">
        <v>0</v>
      </c>
      <c r="M107" s="683"/>
      <c r="N107" s="357"/>
      <c r="O107" s="357"/>
      <c r="P107" s="357"/>
      <c r="Q107" s="357"/>
      <c r="R107" s="686"/>
      <c r="S107" s="687">
        <f t="shared" si="11"/>
        <v>0</v>
      </c>
      <c r="T107" s="687">
        <f t="shared" si="11"/>
        <v>0</v>
      </c>
      <c r="U107" s="687">
        <f t="shared" si="16"/>
        <v>10</v>
      </c>
      <c r="V107" s="687">
        <f t="shared" si="17"/>
        <v>10</v>
      </c>
      <c r="W107" s="687">
        <f t="shared" si="18"/>
        <v>0</v>
      </c>
      <c r="X107" s="346"/>
    </row>
    <row r="108" spans="1:24" s="344" customFormat="1" ht="11.25" customHeight="1" x14ac:dyDescent="0.2">
      <c r="A108" s="347" t="s">
        <v>378</v>
      </c>
      <c r="B108" s="348" t="s">
        <v>424</v>
      </c>
      <c r="C108" s="348" t="s">
        <v>237</v>
      </c>
      <c r="D108" s="348" t="s">
        <v>1361</v>
      </c>
      <c r="E108" s="348" t="s">
        <v>283</v>
      </c>
      <c r="F108" s="349" t="s">
        <v>464</v>
      </c>
      <c r="G108" s="365" t="s">
        <v>1315</v>
      </c>
      <c r="H108" s="688"/>
      <c r="I108" s="684"/>
      <c r="J108" s="684"/>
      <c r="K108" s="684">
        <v>40</v>
      </c>
      <c r="L108" s="685">
        <v>0</v>
      </c>
      <c r="M108" s="683"/>
      <c r="N108" s="357"/>
      <c r="O108" s="357"/>
      <c r="P108" s="357">
        <v>20</v>
      </c>
      <c r="Q108" s="357"/>
      <c r="R108" s="686" t="s">
        <v>1643</v>
      </c>
      <c r="S108" s="687">
        <f t="shared" si="11"/>
        <v>0</v>
      </c>
      <c r="T108" s="687">
        <f t="shared" si="11"/>
        <v>0</v>
      </c>
      <c r="U108" s="687">
        <f t="shared" si="16"/>
        <v>0</v>
      </c>
      <c r="V108" s="687">
        <f t="shared" si="17"/>
        <v>20</v>
      </c>
      <c r="W108" s="687">
        <f t="shared" si="18"/>
        <v>0</v>
      </c>
      <c r="X108" s="346"/>
    </row>
    <row r="109" spans="1:24" s="344" customFormat="1" ht="11.25" customHeight="1" x14ac:dyDescent="0.2">
      <c r="A109" s="347" t="s">
        <v>378</v>
      </c>
      <c r="B109" s="348" t="s">
        <v>424</v>
      </c>
      <c r="C109" s="348" t="s">
        <v>237</v>
      </c>
      <c r="D109" s="348" t="s">
        <v>258</v>
      </c>
      <c r="E109" s="348" t="s">
        <v>257</v>
      </c>
      <c r="F109" s="349" t="s">
        <v>464</v>
      </c>
      <c r="G109" s="498" t="s">
        <v>1644</v>
      </c>
      <c r="H109" s="688">
        <v>7</v>
      </c>
      <c r="I109" s="684">
        <v>7</v>
      </c>
      <c r="J109" s="684">
        <v>0</v>
      </c>
      <c r="K109" s="684">
        <v>20</v>
      </c>
      <c r="L109" s="685">
        <v>0</v>
      </c>
      <c r="M109" s="683"/>
      <c r="N109" s="357"/>
      <c r="O109" s="357"/>
      <c r="P109" s="357"/>
      <c r="Q109" s="357"/>
      <c r="R109" s="686"/>
      <c r="S109" s="687">
        <f t="shared" si="11"/>
        <v>7</v>
      </c>
      <c r="T109" s="687">
        <f t="shared" si="11"/>
        <v>7</v>
      </c>
      <c r="U109" s="687">
        <f t="shared" si="16"/>
        <v>0</v>
      </c>
      <c r="V109" s="687">
        <f t="shared" si="17"/>
        <v>20</v>
      </c>
      <c r="W109" s="687">
        <f t="shared" si="18"/>
        <v>0</v>
      </c>
      <c r="X109" s="346"/>
    </row>
    <row r="110" spans="1:24" s="344" customFormat="1" ht="11.25" customHeight="1" x14ac:dyDescent="0.2">
      <c r="A110" s="347" t="s">
        <v>378</v>
      </c>
      <c r="B110" s="348" t="s">
        <v>424</v>
      </c>
      <c r="C110" s="348" t="s">
        <v>237</v>
      </c>
      <c r="D110" s="348" t="s">
        <v>260</v>
      </c>
      <c r="E110" s="348" t="s">
        <v>259</v>
      </c>
      <c r="F110" s="349" t="s">
        <v>464</v>
      </c>
      <c r="G110" s="364" t="s">
        <v>1484</v>
      </c>
      <c r="H110" s="688">
        <v>5</v>
      </c>
      <c r="I110" s="684">
        <v>5</v>
      </c>
      <c r="J110" s="684">
        <v>40</v>
      </c>
      <c r="K110" s="684">
        <v>0</v>
      </c>
      <c r="L110" s="685">
        <v>0</v>
      </c>
      <c r="M110" s="683"/>
      <c r="N110" s="357"/>
      <c r="O110" s="357"/>
      <c r="P110" s="357"/>
      <c r="Q110" s="357"/>
      <c r="R110" s="686"/>
      <c r="S110" s="687">
        <f t="shared" si="11"/>
        <v>5</v>
      </c>
      <c r="T110" s="687">
        <f t="shared" si="11"/>
        <v>5</v>
      </c>
      <c r="U110" s="687">
        <f t="shared" si="16"/>
        <v>40</v>
      </c>
      <c r="V110" s="687">
        <f t="shared" si="17"/>
        <v>0</v>
      </c>
      <c r="W110" s="687">
        <f t="shared" si="18"/>
        <v>0</v>
      </c>
      <c r="X110" s="346"/>
    </row>
    <row r="111" spans="1:24" s="344" customFormat="1" ht="11.25" customHeight="1" x14ac:dyDescent="0.2">
      <c r="A111" s="347" t="s">
        <v>378</v>
      </c>
      <c r="B111" s="348" t="s">
        <v>462</v>
      </c>
      <c r="C111" s="348" t="s">
        <v>237</v>
      </c>
      <c r="D111" s="348" t="s">
        <v>262</v>
      </c>
      <c r="E111" s="348" t="s">
        <v>261</v>
      </c>
      <c r="F111" s="349" t="s">
        <v>464</v>
      </c>
      <c r="G111" s="498"/>
      <c r="H111" s="688">
        <v>0</v>
      </c>
      <c r="I111" s="684"/>
      <c r="J111" s="684"/>
      <c r="K111" s="684">
        <v>20</v>
      </c>
      <c r="L111" s="685">
        <v>0</v>
      </c>
      <c r="M111" s="683"/>
      <c r="N111" s="357"/>
      <c r="O111" s="357"/>
      <c r="P111" s="357">
        <v>20</v>
      </c>
      <c r="Q111" s="357"/>
      <c r="R111" s="686" t="s">
        <v>1642</v>
      </c>
      <c r="S111" s="687">
        <f t="shared" si="11"/>
        <v>0</v>
      </c>
      <c r="T111" s="687">
        <f t="shared" si="11"/>
        <v>0</v>
      </c>
      <c r="U111" s="687">
        <f t="shared" si="16"/>
        <v>0</v>
      </c>
      <c r="V111" s="687">
        <f t="shared" si="17"/>
        <v>0</v>
      </c>
      <c r="W111" s="687">
        <f t="shared" si="18"/>
        <v>0</v>
      </c>
      <c r="X111" s="346"/>
    </row>
    <row r="112" spans="1:24" s="344" customFormat="1" ht="11.25" customHeight="1" x14ac:dyDescent="0.2">
      <c r="A112" s="347" t="s">
        <v>378</v>
      </c>
      <c r="B112" s="348" t="s">
        <v>462</v>
      </c>
      <c r="C112" s="348" t="s">
        <v>237</v>
      </c>
      <c r="D112" s="348" t="s">
        <v>264</v>
      </c>
      <c r="E112" s="348" t="s">
        <v>263</v>
      </c>
      <c r="F112" s="349" t="s">
        <v>464</v>
      </c>
      <c r="G112" s="364"/>
      <c r="H112" s="688"/>
      <c r="I112" s="684"/>
      <c r="J112" s="684">
        <v>0</v>
      </c>
      <c r="K112" s="684">
        <v>0</v>
      </c>
      <c r="L112" s="685">
        <v>0</v>
      </c>
      <c r="M112" s="683"/>
      <c r="N112" s="357"/>
      <c r="O112" s="357"/>
      <c r="P112" s="357"/>
      <c r="Q112" s="357"/>
      <c r="R112" s="686"/>
      <c r="S112" s="687">
        <f t="shared" si="11"/>
        <v>0</v>
      </c>
      <c r="T112" s="687">
        <f t="shared" si="11"/>
        <v>0</v>
      </c>
      <c r="U112" s="687">
        <f t="shared" si="16"/>
        <v>0</v>
      </c>
      <c r="V112" s="687">
        <f t="shared" si="17"/>
        <v>0</v>
      </c>
      <c r="W112" s="687">
        <f t="shared" si="18"/>
        <v>0</v>
      </c>
      <c r="X112" s="346"/>
    </row>
    <row r="113" spans="1:24" s="344" customFormat="1" ht="11.25" customHeight="1" x14ac:dyDescent="0.2">
      <c r="A113" s="347" t="s">
        <v>378</v>
      </c>
      <c r="B113" s="348" t="s">
        <v>1317</v>
      </c>
      <c r="C113" s="348" t="s">
        <v>237</v>
      </c>
      <c r="D113" s="348" t="s">
        <v>1362</v>
      </c>
      <c r="E113" s="348" t="s">
        <v>269</v>
      </c>
      <c r="F113" s="349" t="s">
        <v>464</v>
      </c>
      <c r="G113" s="498" t="s">
        <v>1315</v>
      </c>
      <c r="H113" s="688">
        <v>0</v>
      </c>
      <c r="I113" s="684">
        <v>0</v>
      </c>
      <c r="J113" s="684">
        <v>0</v>
      </c>
      <c r="K113" s="684"/>
      <c r="L113" s="685">
        <v>0</v>
      </c>
      <c r="M113" s="683"/>
      <c r="N113" s="357"/>
      <c r="O113" s="357"/>
      <c r="P113" s="357"/>
      <c r="Q113" s="357"/>
      <c r="R113" s="686"/>
      <c r="S113" s="687">
        <f t="shared" si="11"/>
        <v>0</v>
      </c>
      <c r="T113" s="687">
        <f t="shared" si="11"/>
        <v>0</v>
      </c>
      <c r="U113" s="687">
        <f t="shared" si="16"/>
        <v>0</v>
      </c>
      <c r="V113" s="687">
        <f t="shared" si="17"/>
        <v>0</v>
      </c>
      <c r="W113" s="687">
        <f t="shared" si="18"/>
        <v>0</v>
      </c>
      <c r="X113" s="346"/>
    </row>
    <row r="114" spans="1:24" s="344" customFormat="1" ht="11.25" customHeight="1" x14ac:dyDescent="0.2">
      <c r="A114" s="347" t="s">
        <v>378</v>
      </c>
      <c r="B114" s="348" t="s">
        <v>424</v>
      </c>
      <c r="C114" s="348" t="s">
        <v>237</v>
      </c>
      <c r="D114" s="348" t="s">
        <v>1363</v>
      </c>
      <c r="E114" s="348" t="s">
        <v>267</v>
      </c>
      <c r="F114" s="349" t="s">
        <v>464</v>
      </c>
      <c r="G114" s="364"/>
      <c r="H114" s="688"/>
      <c r="I114" s="684"/>
      <c r="J114" s="684">
        <v>0</v>
      </c>
      <c r="K114" s="684">
        <v>0</v>
      </c>
      <c r="L114" s="685">
        <v>0</v>
      </c>
      <c r="M114" s="683"/>
      <c r="N114" s="357"/>
      <c r="O114" s="357"/>
      <c r="P114" s="357"/>
      <c r="Q114" s="357"/>
      <c r="R114" s="686"/>
      <c r="S114" s="687">
        <f t="shared" si="11"/>
        <v>0</v>
      </c>
      <c r="T114" s="687">
        <f t="shared" si="11"/>
        <v>0</v>
      </c>
      <c r="U114" s="687">
        <f t="shared" si="16"/>
        <v>0</v>
      </c>
      <c r="V114" s="687">
        <f t="shared" si="17"/>
        <v>0</v>
      </c>
      <c r="W114" s="687">
        <f t="shared" si="18"/>
        <v>0</v>
      </c>
      <c r="X114" s="346"/>
    </row>
    <row r="115" spans="1:24" s="344" customFormat="1" ht="11.25" customHeight="1" x14ac:dyDescent="0.2">
      <c r="A115" s="347" t="s">
        <v>378</v>
      </c>
      <c r="B115" s="348" t="s">
        <v>1317</v>
      </c>
      <c r="C115" s="348" t="s">
        <v>237</v>
      </c>
      <c r="D115" s="348" t="s">
        <v>1364</v>
      </c>
      <c r="E115" s="348" t="s">
        <v>271</v>
      </c>
      <c r="F115" s="349" t="s">
        <v>464</v>
      </c>
      <c r="G115" s="498" t="s">
        <v>1315</v>
      </c>
      <c r="H115" s="688">
        <v>10</v>
      </c>
      <c r="I115" s="684">
        <v>10</v>
      </c>
      <c r="J115" s="684">
        <v>0</v>
      </c>
      <c r="K115" s="684">
        <v>0</v>
      </c>
      <c r="L115" s="685">
        <v>0</v>
      </c>
      <c r="M115" s="683"/>
      <c r="N115" s="357"/>
      <c r="O115" s="357"/>
      <c r="P115" s="357"/>
      <c r="Q115" s="357"/>
      <c r="R115" s="686"/>
      <c r="S115" s="687">
        <f t="shared" si="11"/>
        <v>10</v>
      </c>
      <c r="T115" s="687">
        <f t="shared" si="11"/>
        <v>10</v>
      </c>
      <c r="U115" s="687">
        <f t="shared" si="16"/>
        <v>0</v>
      </c>
      <c r="V115" s="687">
        <f t="shared" si="17"/>
        <v>0</v>
      </c>
      <c r="W115" s="687">
        <f t="shared" si="18"/>
        <v>0</v>
      </c>
      <c r="X115" s="346"/>
    </row>
    <row r="116" spans="1:24" s="344" customFormat="1" ht="11.25" customHeight="1" x14ac:dyDescent="0.2">
      <c r="A116" s="347" t="s">
        <v>378</v>
      </c>
      <c r="B116" s="348" t="s">
        <v>424</v>
      </c>
      <c r="C116" s="348" t="s">
        <v>237</v>
      </c>
      <c r="D116" s="348" t="s">
        <v>276</v>
      </c>
      <c r="E116" s="348" t="s">
        <v>275</v>
      </c>
      <c r="F116" s="349" t="s">
        <v>464</v>
      </c>
      <c r="G116" s="365"/>
      <c r="H116" s="688"/>
      <c r="I116" s="684">
        <v>0</v>
      </c>
      <c r="J116" s="684"/>
      <c r="K116" s="684">
        <v>30</v>
      </c>
      <c r="L116" s="685">
        <v>0</v>
      </c>
      <c r="M116" s="683"/>
      <c r="N116" s="357"/>
      <c r="O116" s="357"/>
      <c r="P116" s="357"/>
      <c r="Q116" s="357"/>
      <c r="R116" s="686"/>
      <c r="S116" s="687">
        <f t="shared" si="11"/>
        <v>0</v>
      </c>
      <c r="T116" s="687">
        <f t="shared" si="11"/>
        <v>0</v>
      </c>
      <c r="U116" s="687">
        <f t="shared" si="16"/>
        <v>0</v>
      </c>
      <c r="V116" s="687">
        <f t="shared" si="17"/>
        <v>30</v>
      </c>
      <c r="W116" s="687">
        <f t="shared" si="18"/>
        <v>0</v>
      </c>
      <c r="X116" s="346"/>
    </row>
    <row r="117" spans="1:24" s="344" customFormat="1" ht="11.25" customHeight="1" x14ac:dyDescent="0.2">
      <c r="A117" s="347" t="s">
        <v>378</v>
      </c>
      <c r="B117" s="348" t="s">
        <v>424</v>
      </c>
      <c r="C117" s="348" t="s">
        <v>237</v>
      </c>
      <c r="D117" s="348" t="s">
        <v>280</v>
      </c>
      <c r="E117" s="348" t="s">
        <v>279</v>
      </c>
      <c r="F117" s="349" t="s">
        <v>464</v>
      </c>
      <c r="G117" s="498"/>
      <c r="H117" s="688"/>
      <c r="I117" s="684"/>
      <c r="J117" s="684"/>
      <c r="K117" s="684">
        <v>20</v>
      </c>
      <c r="L117" s="685">
        <v>0</v>
      </c>
      <c r="M117" s="683"/>
      <c r="N117" s="357"/>
      <c r="O117" s="357"/>
      <c r="P117" s="357"/>
      <c r="Q117" s="357"/>
      <c r="R117" s="686"/>
      <c r="S117" s="687">
        <f t="shared" si="11"/>
        <v>0</v>
      </c>
      <c r="T117" s="687">
        <f t="shared" si="11"/>
        <v>0</v>
      </c>
      <c r="U117" s="687">
        <f t="shared" si="16"/>
        <v>0</v>
      </c>
      <c r="V117" s="687">
        <f t="shared" si="17"/>
        <v>20</v>
      </c>
      <c r="W117" s="687">
        <f t="shared" si="18"/>
        <v>0</v>
      </c>
      <c r="X117" s="346"/>
    </row>
    <row r="118" spans="1:24" s="344" customFormat="1" ht="11.25" customHeight="1" x14ac:dyDescent="0.2">
      <c r="A118" s="347" t="s">
        <v>378</v>
      </c>
      <c r="B118" s="348" t="s">
        <v>424</v>
      </c>
      <c r="C118" s="348" t="s">
        <v>237</v>
      </c>
      <c r="D118" s="348" t="s">
        <v>238</v>
      </c>
      <c r="E118" s="348" t="s">
        <v>236</v>
      </c>
      <c r="F118" s="349" t="s">
        <v>464</v>
      </c>
      <c r="G118" s="365"/>
      <c r="H118" s="688">
        <v>0</v>
      </c>
      <c r="I118" s="684">
        <v>0</v>
      </c>
      <c r="J118" s="684">
        <v>0</v>
      </c>
      <c r="K118" s="684">
        <v>20</v>
      </c>
      <c r="L118" s="685">
        <v>0</v>
      </c>
      <c r="M118" s="683"/>
      <c r="N118" s="357"/>
      <c r="O118" s="357"/>
      <c r="P118" s="357"/>
      <c r="Q118" s="357"/>
      <c r="R118" s="686"/>
      <c r="S118" s="687">
        <f t="shared" si="11"/>
        <v>0</v>
      </c>
      <c r="T118" s="687">
        <f t="shared" si="11"/>
        <v>0</v>
      </c>
      <c r="U118" s="687">
        <f t="shared" si="16"/>
        <v>0</v>
      </c>
      <c r="V118" s="687">
        <f t="shared" si="17"/>
        <v>20</v>
      </c>
      <c r="W118" s="687">
        <f t="shared" si="18"/>
        <v>0</v>
      </c>
      <c r="X118" s="346"/>
    </row>
    <row r="119" spans="1:24" s="344" customFormat="1" ht="11.25" customHeight="1" x14ac:dyDescent="0.2">
      <c r="A119" s="347" t="s">
        <v>378</v>
      </c>
      <c r="B119" s="348" t="s">
        <v>462</v>
      </c>
      <c r="C119" s="348" t="s">
        <v>237</v>
      </c>
      <c r="D119" s="348" t="s">
        <v>1033</v>
      </c>
      <c r="E119" s="348" t="s">
        <v>241</v>
      </c>
      <c r="F119" s="349" t="s">
        <v>464</v>
      </c>
      <c r="G119" s="498"/>
      <c r="H119" s="688">
        <v>3</v>
      </c>
      <c r="I119" s="684">
        <v>3</v>
      </c>
      <c r="J119" s="684"/>
      <c r="K119" s="684">
        <v>25</v>
      </c>
      <c r="L119" s="685"/>
      <c r="M119" s="683"/>
      <c r="N119" s="357"/>
      <c r="O119" s="357"/>
      <c r="P119" s="357">
        <v>25</v>
      </c>
      <c r="Q119" s="357"/>
      <c r="R119" s="686" t="s">
        <v>1642</v>
      </c>
      <c r="S119" s="687">
        <f t="shared" si="11"/>
        <v>3</v>
      </c>
      <c r="T119" s="687">
        <f t="shared" si="11"/>
        <v>3</v>
      </c>
      <c r="U119" s="687">
        <f t="shared" si="16"/>
        <v>0</v>
      </c>
      <c r="V119" s="687">
        <f t="shared" si="17"/>
        <v>0</v>
      </c>
      <c r="W119" s="687">
        <f t="shared" si="18"/>
        <v>0</v>
      </c>
      <c r="X119" s="346"/>
    </row>
    <row r="120" spans="1:24" s="344" customFormat="1" ht="11.25" customHeight="1" x14ac:dyDescent="0.2">
      <c r="A120" s="347" t="s">
        <v>378</v>
      </c>
      <c r="B120" s="348" t="s">
        <v>462</v>
      </c>
      <c r="C120" s="348" t="s">
        <v>237</v>
      </c>
      <c r="D120" s="348" t="s">
        <v>248</v>
      </c>
      <c r="E120" s="348" t="s">
        <v>247</v>
      </c>
      <c r="F120" s="349" t="s">
        <v>464</v>
      </c>
      <c r="G120" s="365"/>
      <c r="H120" s="688">
        <v>0</v>
      </c>
      <c r="I120" s="684">
        <v>0</v>
      </c>
      <c r="J120" s="684">
        <v>5</v>
      </c>
      <c r="K120" s="684"/>
      <c r="L120" s="685"/>
      <c r="M120" s="683"/>
      <c r="N120" s="357"/>
      <c r="O120" s="357">
        <v>5</v>
      </c>
      <c r="P120" s="357"/>
      <c r="Q120" s="357"/>
      <c r="R120" s="686" t="s">
        <v>1642</v>
      </c>
      <c r="S120" s="687">
        <f t="shared" si="11"/>
        <v>0</v>
      </c>
      <c r="T120" s="687">
        <f t="shared" si="11"/>
        <v>0</v>
      </c>
      <c r="U120" s="687">
        <f t="shared" si="16"/>
        <v>0</v>
      </c>
      <c r="V120" s="687">
        <f t="shared" si="17"/>
        <v>0</v>
      </c>
      <c r="W120" s="687">
        <f t="shared" si="18"/>
        <v>0</v>
      </c>
      <c r="X120" s="346"/>
    </row>
    <row r="121" spans="1:24" s="344" customFormat="1" ht="11.25" customHeight="1" x14ac:dyDescent="0.2">
      <c r="A121" s="347" t="s">
        <v>378</v>
      </c>
      <c r="B121" s="348" t="s">
        <v>424</v>
      </c>
      <c r="C121" s="348" t="s">
        <v>237</v>
      </c>
      <c r="D121" s="348" t="s">
        <v>250</v>
      </c>
      <c r="E121" s="348" t="s">
        <v>249</v>
      </c>
      <c r="F121" s="349" t="s">
        <v>464</v>
      </c>
      <c r="G121" s="498"/>
      <c r="H121" s="688"/>
      <c r="I121" s="684"/>
      <c r="J121" s="684"/>
      <c r="K121" s="684">
        <v>26</v>
      </c>
      <c r="L121" s="685">
        <v>0</v>
      </c>
      <c r="M121" s="683"/>
      <c r="N121" s="357"/>
      <c r="O121" s="357"/>
      <c r="P121" s="357"/>
      <c r="Q121" s="357"/>
      <c r="R121" s="686"/>
      <c r="S121" s="687">
        <f t="shared" si="11"/>
        <v>0</v>
      </c>
      <c r="T121" s="687">
        <f t="shared" si="11"/>
        <v>0</v>
      </c>
      <c r="U121" s="687">
        <f t="shared" si="16"/>
        <v>0</v>
      </c>
      <c r="V121" s="687">
        <f t="shared" si="17"/>
        <v>26</v>
      </c>
      <c r="W121" s="687">
        <f t="shared" si="18"/>
        <v>0</v>
      </c>
      <c r="X121" s="346" t="s">
        <v>1346</v>
      </c>
    </row>
    <row r="122" spans="1:24" s="344" customFormat="1" ht="11.25" customHeight="1" x14ac:dyDescent="0.2">
      <c r="A122" s="347" t="s">
        <v>378</v>
      </c>
      <c r="B122" s="348" t="s">
        <v>424</v>
      </c>
      <c r="C122" s="348" t="s">
        <v>237</v>
      </c>
      <c r="D122" s="348" t="s">
        <v>274</v>
      </c>
      <c r="E122" s="348" t="s">
        <v>273</v>
      </c>
      <c r="F122" s="349" t="s">
        <v>464</v>
      </c>
      <c r="G122" s="365" t="s">
        <v>1484</v>
      </c>
      <c r="H122" s="688">
        <v>5</v>
      </c>
      <c r="I122" s="684">
        <v>5</v>
      </c>
      <c r="J122" s="684"/>
      <c r="K122" s="684">
        <v>0</v>
      </c>
      <c r="L122" s="685">
        <v>0</v>
      </c>
      <c r="M122" s="683"/>
      <c r="N122" s="357"/>
      <c r="O122" s="357"/>
      <c r="P122" s="357"/>
      <c r="Q122" s="357"/>
      <c r="R122" s="686"/>
      <c r="S122" s="687">
        <f t="shared" si="11"/>
        <v>5</v>
      </c>
      <c r="T122" s="687">
        <f t="shared" si="11"/>
        <v>5</v>
      </c>
      <c r="U122" s="687">
        <f t="shared" si="16"/>
        <v>0</v>
      </c>
      <c r="V122" s="687">
        <f t="shared" si="17"/>
        <v>0</v>
      </c>
      <c r="W122" s="687">
        <f t="shared" si="18"/>
        <v>0</v>
      </c>
      <c r="X122" s="346"/>
    </row>
    <row r="123" spans="1:24" s="344" customFormat="1" ht="11.25" customHeight="1" x14ac:dyDescent="0.2">
      <c r="A123" s="347" t="s">
        <v>378</v>
      </c>
      <c r="B123" s="348" t="s">
        <v>462</v>
      </c>
      <c r="C123" s="348" t="s">
        <v>237</v>
      </c>
      <c r="D123" s="348" t="s">
        <v>278</v>
      </c>
      <c r="E123" s="348" t="s">
        <v>277</v>
      </c>
      <c r="F123" s="349" t="s">
        <v>464</v>
      </c>
      <c r="G123" s="498"/>
      <c r="H123" s="688">
        <v>0</v>
      </c>
      <c r="I123" s="684">
        <v>0</v>
      </c>
      <c r="J123" s="684"/>
      <c r="K123" s="684">
        <v>0</v>
      </c>
      <c r="L123" s="685">
        <v>1</v>
      </c>
      <c r="M123" s="683"/>
      <c r="N123" s="357"/>
      <c r="O123" s="357"/>
      <c r="P123" s="357"/>
      <c r="Q123" s="357"/>
      <c r="R123" s="686"/>
      <c r="S123" s="687">
        <f t="shared" si="11"/>
        <v>0</v>
      </c>
      <c r="T123" s="687">
        <f t="shared" si="11"/>
        <v>0</v>
      </c>
      <c r="U123" s="687">
        <f t="shared" si="16"/>
        <v>0</v>
      </c>
      <c r="V123" s="687">
        <f t="shared" si="17"/>
        <v>0</v>
      </c>
      <c r="W123" s="687">
        <f t="shared" si="18"/>
        <v>1</v>
      </c>
      <c r="X123" s="346"/>
    </row>
    <row r="124" spans="1:24" s="344" customFormat="1" ht="11.25" customHeight="1" x14ac:dyDescent="0.2">
      <c r="A124" s="350" t="s">
        <v>3</v>
      </c>
      <c r="B124" s="351"/>
      <c r="C124" s="351"/>
      <c r="D124" s="352"/>
      <c r="E124" s="353"/>
      <c r="F124" s="354"/>
      <c r="G124" s="507"/>
      <c r="H124" s="355">
        <f>SUM(H103:H123)</f>
        <v>167</v>
      </c>
      <c r="I124" s="355">
        <f t="shared" ref="I124:W124" si="21">SUM(I103:I123)</f>
        <v>167</v>
      </c>
      <c r="J124" s="355">
        <f t="shared" si="21"/>
        <v>70</v>
      </c>
      <c r="K124" s="355">
        <f t="shared" si="21"/>
        <v>211</v>
      </c>
      <c r="L124" s="355">
        <f t="shared" si="21"/>
        <v>3</v>
      </c>
      <c r="M124" s="355">
        <f t="shared" si="21"/>
        <v>0</v>
      </c>
      <c r="N124" s="355">
        <f t="shared" si="21"/>
        <v>0</v>
      </c>
      <c r="O124" s="355">
        <f t="shared" si="21"/>
        <v>5</v>
      </c>
      <c r="P124" s="355">
        <f t="shared" si="21"/>
        <v>65</v>
      </c>
      <c r="Q124" s="355">
        <f t="shared" si="21"/>
        <v>0</v>
      </c>
      <c r="R124" s="355">
        <f t="shared" si="21"/>
        <v>0</v>
      </c>
      <c r="S124" s="355">
        <f t="shared" si="21"/>
        <v>167</v>
      </c>
      <c r="T124" s="355">
        <f t="shared" si="21"/>
        <v>167</v>
      </c>
      <c r="U124" s="355">
        <f t="shared" si="21"/>
        <v>65</v>
      </c>
      <c r="V124" s="355">
        <f t="shared" si="21"/>
        <v>146</v>
      </c>
      <c r="W124" s="355">
        <f t="shared" si="21"/>
        <v>3</v>
      </c>
      <c r="X124" s="346"/>
    </row>
    <row r="125" spans="1:24" s="344" customFormat="1" ht="11.25" customHeight="1" x14ac:dyDescent="0.2">
      <c r="A125" s="347" t="s">
        <v>1326</v>
      </c>
      <c r="B125" s="348" t="s">
        <v>424</v>
      </c>
      <c r="C125" s="348" t="s">
        <v>1365</v>
      </c>
      <c r="D125" s="348" t="s">
        <v>291</v>
      </c>
      <c r="E125" s="348" t="s">
        <v>290</v>
      </c>
      <c r="F125" s="349" t="s">
        <v>464</v>
      </c>
      <c r="G125" s="498"/>
      <c r="H125" s="688"/>
      <c r="I125" s="684"/>
      <c r="J125" s="684">
        <v>78</v>
      </c>
      <c r="K125" s="684"/>
      <c r="L125" s="685"/>
      <c r="M125" s="683"/>
      <c r="N125" s="357"/>
      <c r="O125" s="357"/>
      <c r="P125" s="357"/>
      <c r="Q125" s="357"/>
      <c r="R125" s="686"/>
      <c r="S125" s="687">
        <f t="shared" si="11"/>
        <v>0</v>
      </c>
      <c r="T125" s="687">
        <f t="shared" si="11"/>
        <v>0</v>
      </c>
      <c r="U125" s="687">
        <f t="shared" si="16"/>
        <v>78</v>
      </c>
      <c r="V125" s="687">
        <f t="shared" si="17"/>
        <v>0</v>
      </c>
      <c r="W125" s="687">
        <f t="shared" si="18"/>
        <v>0</v>
      </c>
      <c r="X125" s="346" t="s">
        <v>1662</v>
      </c>
    </row>
    <row r="126" spans="1:24" s="344" customFormat="1" ht="11.25" customHeight="1" x14ac:dyDescent="0.2">
      <c r="A126" s="347" t="s">
        <v>1326</v>
      </c>
      <c r="B126" s="348" t="s">
        <v>424</v>
      </c>
      <c r="C126" s="348" t="s">
        <v>1365</v>
      </c>
      <c r="D126" s="348" t="s">
        <v>289</v>
      </c>
      <c r="E126" s="348" t="s">
        <v>287</v>
      </c>
      <c r="F126" s="349" t="s">
        <v>464</v>
      </c>
      <c r="G126" s="365" t="s">
        <v>1484</v>
      </c>
      <c r="H126" s="688">
        <v>36</v>
      </c>
      <c r="I126" s="684">
        <v>66</v>
      </c>
      <c r="J126" s="684"/>
      <c r="K126" s="684">
        <v>5</v>
      </c>
      <c r="L126" s="685"/>
      <c r="M126" s="683"/>
      <c r="N126" s="357"/>
      <c r="O126" s="357"/>
      <c r="P126" s="357"/>
      <c r="Q126" s="357"/>
      <c r="R126" s="686"/>
      <c r="S126" s="687">
        <f t="shared" si="11"/>
        <v>36</v>
      </c>
      <c r="T126" s="687">
        <f t="shared" si="11"/>
        <v>66</v>
      </c>
      <c r="U126" s="687">
        <f t="shared" si="16"/>
        <v>0</v>
      </c>
      <c r="V126" s="687">
        <f t="shared" si="17"/>
        <v>5</v>
      </c>
      <c r="W126" s="687">
        <f t="shared" si="18"/>
        <v>0</v>
      </c>
      <c r="X126" s="346"/>
    </row>
    <row r="127" spans="1:24" s="344" customFormat="1" ht="11.25" customHeight="1" x14ac:dyDescent="0.2">
      <c r="A127" s="347" t="s">
        <v>1326</v>
      </c>
      <c r="B127" s="348" t="s">
        <v>424</v>
      </c>
      <c r="C127" s="348" t="s">
        <v>1365</v>
      </c>
      <c r="D127" s="348" t="s">
        <v>1366</v>
      </c>
      <c r="E127" s="348" t="s">
        <v>908</v>
      </c>
      <c r="F127" s="349" t="s">
        <v>464</v>
      </c>
      <c r="G127" s="498"/>
      <c r="H127" s="688"/>
      <c r="I127" s="684"/>
      <c r="J127" s="684"/>
      <c r="K127" s="684"/>
      <c r="L127" s="685">
        <v>1</v>
      </c>
      <c r="M127" s="683"/>
      <c r="N127" s="357"/>
      <c r="O127" s="357"/>
      <c r="P127" s="357"/>
      <c r="Q127" s="357"/>
      <c r="R127" s="686"/>
      <c r="S127" s="687">
        <f t="shared" si="11"/>
        <v>0</v>
      </c>
      <c r="T127" s="687">
        <f t="shared" si="11"/>
        <v>0</v>
      </c>
      <c r="U127" s="687">
        <f t="shared" si="16"/>
        <v>0</v>
      </c>
      <c r="V127" s="687">
        <f t="shared" si="17"/>
        <v>0</v>
      </c>
      <c r="W127" s="687">
        <f t="shared" si="18"/>
        <v>1</v>
      </c>
      <c r="X127" s="346"/>
    </row>
    <row r="128" spans="1:24" s="344" customFormat="1" ht="11.25" customHeight="1" x14ac:dyDescent="0.2">
      <c r="A128" s="347" t="s">
        <v>1326</v>
      </c>
      <c r="B128" s="348" t="s">
        <v>424</v>
      </c>
      <c r="C128" s="348" t="s">
        <v>1365</v>
      </c>
      <c r="D128" s="348" t="s">
        <v>1367</v>
      </c>
      <c r="E128" s="348" t="s">
        <v>912</v>
      </c>
      <c r="F128" s="349" t="s">
        <v>464</v>
      </c>
      <c r="G128" s="500" t="s">
        <v>1481</v>
      </c>
      <c r="H128" s="688"/>
      <c r="I128" s="684">
        <v>10</v>
      </c>
      <c r="J128" s="684"/>
      <c r="K128" s="684"/>
      <c r="L128" s="685"/>
      <c r="M128" s="683"/>
      <c r="N128" s="357"/>
      <c r="O128" s="357"/>
      <c r="P128" s="357"/>
      <c r="Q128" s="357"/>
      <c r="R128" s="686"/>
      <c r="S128" s="687">
        <f t="shared" si="11"/>
        <v>0</v>
      </c>
      <c r="T128" s="687">
        <f t="shared" si="11"/>
        <v>10</v>
      </c>
      <c r="U128" s="687">
        <f t="shared" si="16"/>
        <v>0</v>
      </c>
      <c r="V128" s="687">
        <f t="shared" si="17"/>
        <v>0</v>
      </c>
      <c r="W128" s="687">
        <f t="shared" si="18"/>
        <v>0</v>
      </c>
      <c r="X128" s="346"/>
    </row>
    <row r="129" spans="1:24" s="344" customFormat="1" ht="11.25" customHeight="1" x14ac:dyDescent="0.2">
      <c r="A129" s="347" t="s">
        <v>1326</v>
      </c>
      <c r="B129" s="348" t="s">
        <v>1330</v>
      </c>
      <c r="C129" s="348" t="s">
        <v>1365</v>
      </c>
      <c r="D129" s="348" t="s">
        <v>1368</v>
      </c>
      <c r="E129" s="348" t="s">
        <v>294</v>
      </c>
      <c r="F129" s="349" t="s">
        <v>464</v>
      </c>
      <c r="G129" s="498"/>
      <c r="H129" s="688"/>
      <c r="I129" s="684"/>
      <c r="J129" s="684"/>
      <c r="K129" s="684">
        <v>20</v>
      </c>
      <c r="L129" s="685"/>
      <c r="M129" s="683"/>
      <c r="N129" s="357"/>
      <c r="O129" s="357"/>
      <c r="P129" s="357">
        <v>20</v>
      </c>
      <c r="Q129" s="357"/>
      <c r="R129" s="686" t="s">
        <v>1630</v>
      </c>
      <c r="S129" s="687">
        <f t="shared" si="11"/>
        <v>0</v>
      </c>
      <c r="T129" s="687">
        <f t="shared" si="11"/>
        <v>0</v>
      </c>
      <c r="U129" s="687">
        <f t="shared" si="16"/>
        <v>0</v>
      </c>
      <c r="V129" s="687">
        <f t="shared" si="17"/>
        <v>0</v>
      </c>
      <c r="W129" s="687">
        <f t="shared" si="18"/>
        <v>0</v>
      </c>
      <c r="X129" s="346" t="s">
        <v>1369</v>
      </c>
    </row>
    <row r="130" spans="1:24" s="344" customFormat="1" ht="11.25" customHeight="1" x14ac:dyDescent="0.2">
      <c r="A130" s="350" t="s">
        <v>3</v>
      </c>
      <c r="B130" s="351"/>
      <c r="C130" s="351"/>
      <c r="D130" s="352"/>
      <c r="E130" s="353"/>
      <c r="F130" s="354"/>
      <c r="G130" s="507"/>
      <c r="H130" s="355">
        <f t="shared" ref="H130" si="22">SUM(H125:H129)</f>
        <v>36</v>
      </c>
      <c r="I130" s="353">
        <f>SUM(I125:I129)</f>
        <v>76</v>
      </c>
      <c r="J130" s="353">
        <f t="shared" ref="J130:W130" si="23">SUM(J125:J129)</f>
        <v>78</v>
      </c>
      <c r="K130" s="353">
        <f t="shared" si="23"/>
        <v>25</v>
      </c>
      <c r="L130" s="353">
        <f t="shared" si="23"/>
        <v>1</v>
      </c>
      <c r="M130" s="353">
        <f t="shared" si="23"/>
        <v>0</v>
      </c>
      <c r="N130" s="353">
        <f t="shared" si="23"/>
        <v>0</v>
      </c>
      <c r="O130" s="353">
        <f t="shared" si="23"/>
        <v>0</v>
      </c>
      <c r="P130" s="353">
        <f t="shared" si="23"/>
        <v>20</v>
      </c>
      <c r="Q130" s="353">
        <f t="shared" si="23"/>
        <v>0</v>
      </c>
      <c r="R130" s="353">
        <f t="shared" si="23"/>
        <v>0</v>
      </c>
      <c r="S130" s="353">
        <f t="shared" si="23"/>
        <v>36</v>
      </c>
      <c r="T130" s="353">
        <f t="shared" si="23"/>
        <v>76</v>
      </c>
      <c r="U130" s="353">
        <f t="shared" si="23"/>
        <v>78</v>
      </c>
      <c r="V130" s="353">
        <f t="shared" si="23"/>
        <v>5</v>
      </c>
      <c r="W130" s="353">
        <f t="shared" si="23"/>
        <v>1</v>
      </c>
      <c r="X130" s="346"/>
    </row>
    <row r="131" spans="1:24" s="344" customFormat="1" ht="11.25" customHeight="1" x14ac:dyDescent="0.2">
      <c r="A131" s="347" t="s">
        <v>1326</v>
      </c>
      <c r="B131" s="348" t="s">
        <v>1343</v>
      </c>
      <c r="C131" s="348" t="s">
        <v>297</v>
      </c>
      <c r="D131" s="348" t="s">
        <v>1141</v>
      </c>
      <c r="E131" s="348" t="s">
        <v>1125</v>
      </c>
      <c r="F131" s="349" t="s">
        <v>464</v>
      </c>
      <c r="G131" s="498" t="s">
        <v>1315</v>
      </c>
      <c r="H131" s="688">
        <v>25</v>
      </c>
      <c r="I131" s="684">
        <v>25</v>
      </c>
      <c r="J131" s="684"/>
      <c r="K131" s="684"/>
      <c r="L131" s="685"/>
      <c r="M131" s="683">
        <v>0</v>
      </c>
      <c r="N131" s="357">
        <v>0</v>
      </c>
      <c r="O131" s="357"/>
      <c r="P131" s="357"/>
      <c r="Q131" s="357"/>
      <c r="R131" s="686"/>
      <c r="S131" s="687">
        <f t="shared" si="11"/>
        <v>25</v>
      </c>
      <c r="T131" s="687">
        <f t="shared" si="11"/>
        <v>25</v>
      </c>
      <c r="U131" s="687">
        <f t="shared" si="16"/>
        <v>0</v>
      </c>
      <c r="V131" s="687">
        <f t="shared" si="17"/>
        <v>0</v>
      </c>
      <c r="W131" s="687">
        <f t="shared" si="18"/>
        <v>0</v>
      </c>
      <c r="X131" s="346" t="s">
        <v>1329</v>
      </c>
    </row>
    <row r="132" spans="1:24" s="344" customFormat="1" ht="11.25" customHeight="1" x14ac:dyDescent="0.2">
      <c r="A132" s="347" t="s">
        <v>1326</v>
      </c>
      <c r="B132" s="348" t="s">
        <v>1330</v>
      </c>
      <c r="C132" s="348" t="s">
        <v>297</v>
      </c>
      <c r="D132" s="348" t="s">
        <v>1195</v>
      </c>
      <c r="E132" s="348" t="s">
        <v>1177</v>
      </c>
      <c r="F132" s="349" t="s">
        <v>464</v>
      </c>
      <c r="G132" s="498" t="s">
        <v>1315</v>
      </c>
      <c r="H132" s="688"/>
      <c r="I132" s="684">
        <v>0</v>
      </c>
      <c r="J132" s="684"/>
      <c r="K132" s="684">
        <v>20</v>
      </c>
      <c r="L132" s="685"/>
      <c r="M132" s="683"/>
      <c r="N132" s="357"/>
      <c r="O132" s="357"/>
      <c r="P132" s="357">
        <v>20</v>
      </c>
      <c r="Q132" s="357"/>
      <c r="R132" s="686" t="s">
        <v>1630</v>
      </c>
      <c r="S132" s="687">
        <f t="shared" si="11"/>
        <v>0</v>
      </c>
      <c r="T132" s="687">
        <f t="shared" si="11"/>
        <v>0</v>
      </c>
      <c r="U132" s="687">
        <f t="shared" si="16"/>
        <v>0</v>
      </c>
      <c r="V132" s="687">
        <f t="shared" si="17"/>
        <v>0</v>
      </c>
      <c r="W132" s="687">
        <f t="shared" si="18"/>
        <v>0</v>
      </c>
      <c r="X132" s="346"/>
    </row>
    <row r="133" spans="1:24" s="344" customFormat="1" ht="11.25" customHeight="1" x14ac:dyDescent="0.2">
      <c r="A133" s="347" t="s">
        <v>1326</v>
      </c>
      <c r="B133" s="348" t="s">
        <v>424</v>
      </c>
      <c r="C133" s="348" t="s">
        <v>297</v>
      </c>
      <c r="D133" s="348" t="s">
        <v>760</v>
      </c>
      <c r="E133" s="348" t="s">
        <v>296</v>
      </c>
      <c r="F133" s="349" t="s">
        <v>464</v>
      </c>
      <c r="G133" s="498" t="s">
        <v>1484</v>
      </c>
      <c r="H133" s="688">
        <v>45</v>
      </c>
      <c r="I133" s="684">
        <v>45</v>
      </c>
      <c r="J133" s="684"/>
      <c r="K133" s="684"/>
      <c r="L133" s="685"/>
      <c r="M133" s="683">
        <v>42</v>
      </c>
      <c r="N133" s="357">
        <v>42</v>
      </c>
      <c r="O133" s="357"/>
      <c r="P133" s="357"/>
      <c r="Q133" s="357"/>
      <c r="R133" s="686" t="s">
        <v>1674</v>
      </c>
      <c r="S133" s="687">
        <f t="shared" ref="S133:T165" si="24">H133-M133</f>
        <v>3</v>
      </c>
      <c r="T133" s="687">
        <f t="shared" si="24"/>
        <v>3</v>
      </c>
      <c r="U133" s="687">
        <f t="shared" si="16"/>
        <v>0</v>
      </c>
      <c r="V133" s="687">
        <f t="shared" si="17"/>
        <v>0</v>
      </c>
      <c r="W133" s="687">
        <f t="shared" si="18"/>
        <v>0</v>
      </c>
      <c r="X133" s="346" t="s">
        <v>1675</v>
      </c>
    </row>
    <row r="134" spans="1:24" s="344" customFormat="1" ht="11.25" customHeight="1" x14ac:dyDescent="0.2">
      <c r="A134" s="347" t="s">
        <v>1326</v>
      </c>
      <c r="B134" s="348" t="s">
        <v>1330</v>
      </c>
      <c r="C134" s="348" t="s">
        <v>297</v>
      </c>
      <c r="D134" s="348" t="s">
        <v>1531</v>
      </c>
      <c r="E134" s="695" t="s">
        <v>1284</v>
      </c>
      <c r="F134" s="349" t="s">
        <v>464</v>
      </c>
      <c r="G134" s="498" t="s">
        <v>1315</v>
      </c>
      <c r="H134" s="688"/>
      <c r="I134" s="684"/>
      <c r="J134" s="684">
        <v>59</v>
      </c>
      <c r="K134" s="684"/>
      <c r="L134" s="685"/>
      <c r="M134" s="683"/>
      <c r="N134" s="357"/>
      <c r="O134" s="357">
        <v>52</v>
      </c>
      <c r="P134" s="357"/>
      <c r="Q134" s="357"/>
      <c r="R134" s="686" t="s">
        <v>1630</v>
      </c>
      <c r="S134" s="687">
        <f t="shared" si="24"/>
        <v>0</v>
      </c>
      <c r="T134" s="687">
        <f t="shared" si="24"/>
        <v>0</v>
      </c>
      <c r="U134" s="687">
        <f t="shared" si="16"/>
        <v>7</v>
      </c>
      <c r="V134" s="687">
        <f t="shared" si="17"/>
        <v>0</v>
      </c>
      <c r="W134" s="687">
        <f t="shared" si="18"/>
        <v>0</v>
      </c>
      <c r="X134" s="346"/>
    </row>
    <row r="135" spans="1:24" s="344" customFormat="1" ht="11.25" customHeight="1" x14ac:dyDescent="0.2">
      <c r="A135" s="350" t="s">
        <v>3</v>
      </c>
      <c r="B135" s="351"/>
      <c r="C135" s="351"/>
      <c r="D135" s="352"/>
      <c r="E135" s="353"/>
      <c r="F135" s="354"/>
      <c r="G135" s="507"/>
      <c r="H135" s="355">
        <f t="shared" ref="H135" si="25">SUM(H131:H134)</f>
        <v>70</v>
      </c>
      <c r="I135" s="353">
        <f>SUM(I131:I134)</f>
        <v>70</v>
      </c>
      <c r="J135" s="353">
        <f t="shared" ref="J135:W135" si="26">SUM(J131:J134)</f>
        <v>59</v>
      </c>
      <c r="K135" s="353">
        <f t="shared" si="26"/>
        <v>20</v>
      </c>
      <c r="L135" s="353">
        <f t="shared" si="26"/>
        <v>0</v>
      </c>
      <c r="M135" s="353">
        <f t="shared" si="26"/>
        <v>42</v>
      </c>
      <c r="N135" s="353">
        <f t="shared" si="26"/>
        <v>42</v>
      </c>
      <c r="O135" s="353">
        <f t="shared" si="26"/>
        <v>52</v>
      </c>
      <c r="P135" s="353">
        <f t="shared" si="26"/>
        <v>20</v>
      </c>
      <c r="Q135" s="353">
        <f t="shared" si="26"/>
        <v>0</v>
      </c>
      <c r="R135" s="353">
        <f t="shared" si="26"/>
        <v>0</v>
      </c>
      <c r="S135" s="353">
        <f t="shared" si="26"/>
        <v>28</v>
      </c>
      <c r="T135" s="353">
        <f t="shared" si="26"/>
        <v>28</v>
      </c>
      <c r="U135" s="353">
        <f t="shared" si="26"/>
        <v>7</v>
      </c>
      <c r="V135" s="353">
        <f t="shared" si="26"/>
        <v>0</v>
      </c>
      <c r="W135" s="353">
        <f t="shared" si="26"/>
        <v>0</v>
      </c>
      <c r="X135" s="346"/>
    </row>
    <row r="136" spans="1:24" s="344" customFormat="1" ht="11.25" customHeight="1" x14ac:dyDescent="0.2">
      <c r="A136" s="347" t="s">
        <v>378</v>
      </c>
      <c r="B136" s="372" t="s">
        <v>1343</v>
      </c>
      <c r="C136" s="348" t="s">
        <v>299</v>
      </c>
      <c r="D136" s="696" t="s">
        <v>300</v>
      </c>
      <c r="E136" s="348" t="s">
        <v>298</v>
      </c>
      <c r="F136" s="349" t="s">
        <v>464</v>
      </c>
      <c r="G136" s="498"/>
      <c r="H136" s="688"/>
      <c r="I136" s="684"/>
      <c r="J136" s="684"/>
      <c r="K136" s="684"/>
      <c r="L136" s="685"/>
      <c r="M136" s="683"/>
      <c r="N136" s="357"/>
      <c r="O136" s="357"/>
      <c r="P136" s="357"/>
      <c r="Q136" s="357"/>
      <c r="R136" s="686"/>
      <c r="S136" s="687">
        <f t="shared" si="24"/>
        <v>0</v>
      </c>
      <c r="T136" s="687">
        <f t="shared" si="24"/>
        <v>0</v>
      </c>
      <c r="U136" s="687">
        <f t="shared" si="16"/>
        <v>0</v>
      </c>
      <c r="V136" s="687">
        <f t="shared" si="17"/>
        <v>0</v>
      </c>
      <c r="W136" s="687">
        <f t="shared" si="18"/>
        <v>0</v>
      </c>
      <c r="X136" s="346"/>
    </row>
    <row r="137" spans="1:24" s="344" customFormat="1" ht="11.25" customHeight="1" x14ac:dyDescent="0.2">
      <c r="A137" s="347" t="s">
        <v>378</v>
      </c>
      <c r="B137" s="348" t="s">
        <v>424</v>
      </c>
      <c r="C137" s="348" t="s">
        <v>299</v>
      </c>
      <c r="D137" s="696" t="s">
        <v>1048</v>
      </c>
      <c r="E137" s="348" t="s">
        <v>1047</v>
      </c>
      <c r="F137" s="349" t="s">
        <v>464</v>
      </c>
      <c r="G137" s="498"/>
      <c r="H137" s="688"/>
      <c r="I137" s="684"/>
      <c r="J137" s="684"/>
      <c r="K137" s="684">
        <v>30</v>
      </c>
      <c r="L137" s="685"/>
      <c r="M137" s="683"/>
      <c r="N137" s="357"/>
      <c r="O137" s="357"/>
      <c r="P137" s="357"/>
      <c r="Q137" s="357"/>
      <c r="R137" s="686"/>
      <c r="S137" s="687">
        <f t="shared" si="24"/>
        <v>0</v>
      </c>
      <c r="T137" s="687">
        <f t="shared" si="24"/>
        <v>0</v>
      </c>
      <c r="U137" s="687">
        <f t="shared" si="16"/>
        <v>0</v>
      </c>
      <c r="V137" s="687">
        <f t="shared" si="17"/>
        <v>30</v>
      </c>
      <c r="W137" s="687">
        <f t="shared" si="18"/>
        <v>0</v>
      </c>
      <c r="X137" s="346"/>
    </row>
    <row r="138" spans="1:24" s="344" customFormat="1" ht="11.25" customHeight="1" x14ac:dyDescent="0.2">
      <c r="A138" s="350" t="s">
        <v>3</v>
      </c>
      <c r="B138" s="351"/>
      <c r="C138" s="351"/>
      <c r="D138" s="352"/>
      <c r="E138" s="353"/>
      <c r="F138" s="354"/>
      <c r="G138" s="507"/>
      <c r="H138" s="355">
        <f t="shared" ref="H138" si="27">SUM(H136:H137)</f>
        <v>0</v>
      </c>
      <c r="I138" s="353">
        <f>SUM(I136:I137)</f>
        <v>0</v>
      </c>
      <c r="J138" s="353">
        <f t="shared" ref="J138:W138" si="28">SUM(J136:J137)</f>
        <v>0</v>
      </c>
      <c r="K138" s="353">
        <f t="shared" si="28"/>
        <v>30</v>
      </c>
      <c r="L138" s="353">
        <f t="shared" si="28"/>
        <v>0</v>
      </c>
      <c r="M138" s="353">
        <f t="shared" si="28"/>
        <v>0</v>
      </c>
      <c r="N138" s="353">
        <f t="shared" si="28"/>
        <v>0</v>
      </c>
      <c r="O138" s="353">
        <f t="shared" si="28"/>
        <v>0</v>
      </c>
      <c r="P138" s="353">
        <f t="shared" si="28"/>
        <v>0</v>
      </c>
      <c r="Q138" s="353">
        <f t="shared" si="28"/>
        <v>0</v>
      </c>
      <c r="R138" s="353">
        <f t="shared" si="28"/>
        <v>0</v>
      </c>
      <c r="S138" s="353">
        <f t="shared" si="28"/>
        <v>0</v>
      </c>
      <c r="T138" s="353">
        <f t="shared" si="28"/>
        <v>0</v>
      </c>
      <c r="U138" s="353">
        <f t="shared" si="28"/>
        <v>0</v>
      </c>
      <c r="V138" s="353">
        <f t="shared" si="28"/>
        <v>30</v>
      </c>
      <c r="W138" s="353">
        <f t="shared" si="28"/>
        <v>0</v>
      </c>
      <c r="X138" s="346"/>
    </row>
    <row r="139" spans="1:24" s="344" customFormat="1" ht="11.25" customHeight="1" x14ac:dyDescent="0.2">
      <c r="A139" s="347" t="s">
        <v>378</v>
      </c>
      <c r="B139" s="348" t="s">
        <v>424</v>
      </c>
      <c r="C139" s="348" t="s">
        <v>1370</v>
      </c>
      <c r="D139" s="348" t="s">
        <v>305</v>
      </c>
      <c r="E139" s="348" t="s">
        <v>304</v>
      </c>
      <c r="F139" s="349" t="s">
        <v>464</v>
      </c>
      <c r="G139" s="498"/>
      <c r="H139" s="688">
        <v>37</v>
      </c>
      <c r="I139" s="684">
        <v>37</v>
      </c>
      <c r="J139" s="684"/>
      <c r="K139" s="684">
        <v>20</v>
      </c>
      <c r="L139" s="685"/>
      <c r="M139" s="683"/>
      <c r="N139" s="357"/>
      <c r="O139" s="357"/>
      <c r="P139" s="357"/>
      <c r="Q139" s="357"/>
      <c r="R139" s="686"/>
      <c r="S139" s="687">
        <f t="shared" si="24"/>
        <v>37</v>
      </c>
      <c r="T139" s="687">
        <f t="shared" si="24"/>
        <v>37</v>
      </c>
      <c r="U139" s="687">
        <f t="shared" si="16"/>
        <v>0</v>
      </c>
      <c r="V139" s="687">
        <f t="shared" si="17"/>
        <v>20</v>
      </c>
      <c r="W139" s="687">
        <f t="shared" si="18"/>
        <v>0</v>
      </c>
      <c r="X139" s="346"/>
    </row>
    <row r="140" spans="1:24" s="344" customFormat="1" ht="11.25" customHeight="1" x14ac:dyDescent="0.2">
      <c r="A140" s="347" t="s">
        <v>378</v>
      </c>
      <c r="B140" s="348" t="s">
        <v>1311</v>
      </c>
      <c r="C140" s="348" t="s">
        <v>1370</v>
      </c>
      <c r="D140" s="348" t="s">
        <v>307</v>
      </c>
      <c r="E140" s="348" t="s">
        <v>306</v>
      </c>
      <c r="F140" s="349" t="s">
        <v>464</v>
      </c>
      <c r="G140" s="502"/>
      <c r="H140" s="688"/>
      <c r="I140" s="684"/>
      <c r="J140" s="684"/>
      <c r="K140" s="684"/>
      <c r="L140" s="685"/>
      <c r="M140" s="683"/>
      <c r="N140" s="357"/>
      <c r="O140" s="357"/>
      <c r="P140" s="357"/>
      <c r="Q140" s="357"/>
      <c r="R140" s="686"/>
      <c r="S140" s="687">
        <f t="shared" si="24"/>
        <v>0</v>
      </c>
      <c r="T140" s="687">
        <f t="shared" si="24"/>
        <v>0</v>
      </c>
      <c r="U140" s="687">
        <f t="shared" si="16"/>
        <v>0</v>
      </c>
      <c r="V140" s="687">
        <f t="shared" si="17"/>
        <v>0</v>
      </c>
      <c r="W140" s="687">
        <f t="shared" si="18"/>
        <v>0</v>
      </c>
      <c r="X140" s="346"/>
    </row>
    <row r="141" spans="1:24" s="344" customFormat="1" ht="11.25" customHeight="1" x14ac:dyDescent="0.2">
      <c r="A141" s="350" t="s">
        <v>3</v>
      </c>
      <c r="B141" s="351"/>
      <c r="C141" s="351"/>
      <c r="D141" s="352"/>
      <c r="E141" s="353"/>
      <c r="F141" s="354"/>
      <c r="G141" s="507"/>
      <c r="H141" s="355">
        <f t="shared" ref="H141" si="29">SUM(H139:H140)</f>
        <v>37</v>
      </c>
      <c r="I141" s="353">
        <f>SUM(I139:I140)</f>
        <v>37</v>
      </c>
      <c r="J141" s="353">
        <f t="shared" ref="J141:W141" si="30">SUM(J139:J140)</f>
        <v>0</v>
      </c>
      <c r="K141" s="353">
        <f t="shared" si="30"/>
        <v>20</v>
      </c>
      <c r="L141" s="353">
        <f t="shared" si="30"/>
        <v>0</v>
      </c>
      <c r="M141" s="353">
        <f t="shared" si="30"/>
        <v>0</v>
      </c>
      <c r="N141" s="353">
        <f t="shared" si="30"/>
        <v>0</v>
      </c>
      <c r="O141" s="353">
        <f t="shared" si="30"/>
        <v>0</v>
      </c>
      <c r="P141" s="353">
        <f t="shared" si="30"/>
        <v>0</v>
      </c>
      <c r="Q141" s="353">
        <f t="shared" si="30"/>
        <v>0</v>
      </c>
      <c r="R141" s="353">
        <f t="shared" si="30"/>
        <v>0</v>
      </c>
      <c r="S141" s="353">
        <f t="shared" si="30"/>
        <v>37</v>
      </c>
      <c r="T141" s="353">
        <f t="shared" si="30"/>
        <v>37</v>
      </c>
      <c r="U141" s="353">
        <f t="shared" si="30"/>
        <v>0</v>
      </c>
      <c r="V141" s="353">
        <f t="shared" si="30"/>
        <v>20</v>
      </c>
      <c r="W141" s="353">
        <f t="shared" si="30"/>
        <v>0</v>
      </c>
      <c r="X141" s="346"/>
    </row>
    <row r="142" spans="1:24" s="344" customFormat="1" ht="11.25" customHeight="1" x14ac:dyDescent="0.2">
      <c r="A142" s="347" t="s">
        <v>378</v>
      </c>
      <c r="B142" s="348" t="s">
        <v>424</v>
      </c>
      <c r="C142" s="348" t="s">
        <v>1371</v>
      </c>
      <c r="D142" s="348" t="s">
        <v>1070</v>
      </c>
      <c r="E142" s="348" t="s">
        <v>1071</v>
      </c>
      <c r="F142" s="349" t="s">
        <v>466</v>
      </c>
      <c r="G142" s="498" t="s">
        <v>1315</v>
      </c>
      <c r="H142" s="688">
        <v>67</v>
      </c>
      <c r="I142" s="684">
        <v>67</v>
      </c>
      <c r="J142" s="684"/>
      <c r="K142" s="684"/>
      <c r="L142" s="685"/>
      <c r="M142" s="683"/>
      <c r="N142" s="357"/>
      <c r="O142" s="357"/>
      <c r="P142" s="357"/>
      <c r="Q142" s="357"/>
      <c r="R142" s="686"/>
      <c r="S142" s="687">
        <f t="shared" si="24"/>
        <v>67</v>
      </c>
      <c r="T142" s="687">
        <f t="shared" si="24"/>
        <v>67</v>
      </c>
      <c r="U142" s="687">
        <f t="shared" si="16"/>
        <v>0</v>
      </c>
      <c r="V142" s="687">
        <f t="shared" si="17"/>
        <v>0</v>
      </c>
      <c r="W142" s="687">
        <f t="shared" si="18"/>
        <v>0</v>
      </c>
      <c r="X142" s="346"/>
    </row>
    <row r="143" spans="1:24" s="344" customFormat="1" ht="11.25" customHeight="1" x14ac:dyDescent="0.2">
      <c r="A143" s="347" t="s">
        <v>378</v>
      </c>
      <c r="B143" s="348" t="s">
        <v>424</v>
      </c>
      <c r="C143" s="366" t="s">
        <v>1371</v>
      </c>
      <c r="D143" s="366" t="s">
        <v>1068</v>
      </c>
      <c r="E143" s="366" t="s">
        <v>1069</v>
      </c>
      <c r="F143" s="367" t="s">
        <v>466</v>
      </c>
      <c r="G143" s="503" t="s">
        <v>1315</v>
      </c>
      <c r="H143" s="688">
        <v>126</v>
      </c>
      <c r="I143" s="684">
        <v>126</v>
      </c>
      <c r="J143" s="684"/>
      <c r="K143" s="684"/>
      <c r="L143" s="685"/>
      <c r="M143" s="683"/>
      <c r="N143" s="357"/>
      <c r="O143" s="357"/>
      <c r="P143" s="357"/>
      <c r="Q143" s="357"/>
      <c r="R143" s="686"/>
      <c r="S143" s="687">
        <f t="shared" si="24"/>
        <v>126</v>
      </c>
      <c r="T143" s="687">
        <f t="shared" si="24"/>
        <v>126</v>
      </c>
      <c r="U143" s="687">
        <f t="shared" si="16"/>
        <v>0</v>
      </c>
      <c r="V143" s="687">
        <f t="shared" si="17"/>
        <v>0</v>
      </c>
      <c r="W143" s="687">
        <f t="shared" si="18"/>
        <v>0</v>
      </c>
      <c r="X143" s="346"/>
    </row>
    <row r="144" spans="1:24" s="344" customFormat="1" ht="11.25" customHeight="1" x14ac:dyDescent="0.2">
      <c r="A144" s="350" t="s">
        <v>3</v>
      </c>
      <c r="B144" s="351"/>
      <c r="C144" s="351"/>
      <c r="D144" s="352"/>
      <c r="E144" s="353"/>
      <c r="F144" s="354"/>
      <c r="G144" s="507"/>
      <c r="H144" s="355">
        <f t="shared" ref="H144" si="31">SUM(H142:H143)</f>
        <v>193</v>
      </c>
      <c r="I144" s="353">
        <f>SUM(I142:I143)</f>
        <v>193</v>
      </c>
      <c r="J144" s="353">
        <f t="shared" ref="J144:W144" si="32">SUM(J142:J143)</f>
        <v>0</v>
      </c>
      <c r="K144" s="353">
        <f t="shared" si="32"/>
        <v>0</v>
      </c>
      <c r="L144" s="353">
        <f t="shared" si="32"/>
        <v>0</v>
      </c>
      <c r="M144" s="353">
        <f t="shared" si="32"/>
        <v>0</v>
      </c>
      <c r="N144" s="353">
        <f t="shared" si="32"/>
        <v>0</v>
      </c>
      <c r="O144" s="353">
        <f t="shared" si="32"/>
        <v>0</v>
      </c>
      <c r="P144" s="353">
        <f t="shared" si="32"/>
        <v>0</v>
      </c>
      <c r="Q144" s="353">
        <f t="shared" si="32"/>
        <v>0</v>
      </c>
      <c r="R144" s="353">
        <f t="shared" si="32"/>
        <v>0</v>
      </c>
      <c r="S144" s="353">
        <f t="shared" si="32"/>
        <v>193</v>
      </c>
      <c r="T144" s="353">
        <f t="shared" si="32"/>
        <v>193</v>
      </c>
      <c r="U144" s="353">
        <f t="shared" si="32"/>
        <v>0</v>
      </c>
      <c r="V144" s="353">
        <f t="shared" si="32"/>
        <v>0</v>
      </c>
      <c r="W144" s="353">
        <f t="shared" si="32"/>
        <v>0</v>
      </c>
      <c r="X144" s="346"/>
    </row>
    <row r="145" spans="1:24" s="344" customFormat="1" ht="11.25" customHeight="1" x14ac:dyDescent="0.2">
      <c r="A145" s="347" t="s">
        <v>378</v>
      </c>
      <c r="B145" s="348" t="s">
        <v>1317</v>
      </c>
      <c r="C145" s="348" t="s">
        <v>309</v>
      </c>
      <c r="D145" s="348" t="s">
        <v>1372</v>
      </c>
      <c r="E145" s="348" t="s">
        <v>332</v>
      </c>
      <c r="F145" s="349" t="s">
        <v>466</v>
      </c>
      <c r="G145" s="498" t="s">
        <v>1315</v>
      </c>
      <c r="H145" s="688"/>
      <c r="I145" s="684"/>
      <c r="J145" s="684"/>
      <c r="K145" s="684"/>
      <c r="L145" s="685"/>
      <c r="M145" s="683"/>
      <c r="N145" s="357"/>
      <c r="O145" s="357"/>
      <c r="P145" s="357"/>
      <c r="Q145" s="357"/>
      <c r="R145" s="686"/>
      <c r="S145" s="687">
        <f t="shared" si="24"/>
        <v>0</v>
      </c>
      <c r="T145" s="687">
        <f t="shared" si="24"/>
        <v>0</v>
      </c>
      <c r="U145" s="687">
        <f t="shared" si="16"/>
        <v>0</v>
      </c>
      <c r="V145" s="687">
        <f t="shared" si="17"/>
        <v>0</v>
      </c>
      <c r="W145" s="687">
        <f t="shared" si="18"/>
        <v>0</v>
      </c>
      <c r="X145" s="346"/>
    </row>
    <row r="146" spans="1:24" s="344" customFormat="1" ht="11.25" customHeight="1" x14ac:dyDescent="0.2">
      <c r="A146" s="347" t="s">
        <v>378</v>
      </c>
      <c r="B146" s="348" t="s">
        <v>462</v>
      </c>
      <c r="C146" s="348" t="s">
        <v>309</v>
      </c>
      <c r="D146" s="348" t="s">
        <v>1373</v>
      </c>
      <c r="E146" s="348" t="s">
        <v>311</v>
      </c>
      <c r="F146" s="349" t="s">
        <v>464</v>
      </c>
      <c r="G146" s="500"/>
      <c r="H146" s="688">
        <v>0</v>
      </c>
      <c r="I146" s="684">
        <v>0</v>
      </c>
      <c r="J146" s="684">
        <v>30</v>
      </c>
      <c r="K146" s="684"/>
      <c r="L146" s="685">
        <v>0</v>
      </c>
      <c r="M146" s="683">
        <v>0</v>
      </c>
      <c r="N146" s="357">
        <v>0</v>
      </c>
      <c r="O146" s="357">
        <v>5</v>
      </c>
      <c r="P146" s="357">
        <v>0</v>
      </c>
      <c r="Q146" s="357">
        <v>0</v>
      </c>
      <c r="R146" s="686" t="s">
        <v>1642</v>
      </c>
      <c r="S146" s="687">
        <f t="shared" si="24"/>
        <v>0</v>
      </c>
      <c r="T146" s="687">
        <f t="shared" si="24"/>
        <v>0</v>
      </c>
      <c r="U146" s="687">
        <f t="shared" si="16"/>
        <v>25</v>
      </c>
      <c r="V146" s="687">
        <f t="shared" si="17"/>
        <v>0</v>
      </c>
      <c r="W146" s="687">
        <f t="shared" si="18"/>
        <v>0</v>
      </c>
      <c r="X146" s="346"/>
    </row>
    <row r="147" spans="1:24" s="344" customFormat="1" ht="11.25" customHeight="1" x14ac:dyDescent="0.2">
      <c r="A147" s="347" t="s">
        <v>378</v>
      </c>
      <c r="B147" s="348" t="s">
        <v>424</v>
      </c>
      <c r="C147" s="348" t="s">
        <v>309</v>
      </c>
      <c r="D147" s="710" t="s">
        <v>335</v>
      </c>
      <c r="E147" s="348" t="s">
        <v>334</v>
      </c>
      <c r="F147" s="349" t="s">
        <v>466</v>
      </c>
      <c r="G147" s="498" t="s">
        <v>1315</v>
      </c>
      <c r="H147" s="688">
        <v>10</v>
      </c>
      <c r="I147" s="684">
        <v>10</v>
      </c>
      <c r="J147" s="684">
        <v>10</v>
      </c>
      <c r="K147" s="684"/>
      <c r="L147" s="685"/>
      <c r="M147" s="683"/>
      <c r="N147" s="357"/>
      <c r="O147" s="357"/>
      <c r="P147" s="357"/>
      <c r="Q147" s="357"/>
      <c r="R147" s="686"/>
      <c r="S147" s="687">
        <f t="shared" si="24"/>
        <v>10</v>
      </c>
      <c r="T147" s="687">
        <f t="shared" si="24"/>
        <v>10</v>
      </c>
      <c r="U147" s="687">
        <f t="shared" si="16"/>
        <v>10</v>
      </c>
      <c r="V147" s="687">
        <f t="shared" si="17"/>
        <v>0</v>
      </c>
      <c r="W147" s="687">
        <f t="shared" si="18"/>
        <v>0</v>
      </c>
      <c r="X147" s="346" t="s">
        <v>1346</v>
      </c>
    </row>
    <row r="148" spans="1:24" s="344" customFormat="1" ht="11.25" customHeight="1" x14ac:dyDescent="0.2">
      <c r="A148" s="347" t="s">
        <v>378</v>
      </c>
      <c r="B148" s="348" t="s">
        <v>424</v>
      </c>
      <c r="C148" s="348" t="s">
        <v>309</v>
      </c>
      <c r="D148" s="348" t="s">
        <v>319</v>
      </c>
      <c r="E148" s="348" t="s">
        <v>318</v>
      </c>
      <c r="F148" s="349" t="s">
        <v>464</v>
      </c>
      <c r="G148" s="502"/>
      <c r="H148" s="688"/>
      <c r="I148" s="684"/>
      <c r="J148" s="684"/>
      <c r="K148" s="684"/>
      <c r="L148" s="685"/>
      <c r="M148" s="683"/>
      <c r="N148" s="357"/>
      <c r="O148" s="357"/>
      <c r="P148" s="357"/>
      <c r="Q148" s="357"/>
      <c r="R148" s="686"/>
      <c r="S148" s="687">
        <f t="shared" si="24"/>
        <v>0</v>
      </c>
      <c r="T148" s="687">
        <f t="shared" si="24"/>
        <v>0</v>
      </c>
      <c r="U148" s="687">
        <f t="shared" ref="U148:U165" si="33">J148-O148</f>
        <v>0</v>
      </c>
      <c r="V148" s="687">
        <f t="shared" ref="V148:V165" si="34">K148-P148</f>
        <v>0</v>
      </c>
      <c r="W148" s="687">
        <f t="shared" ref="W148:W165" si="35">L148-Q148</f>
        <v>0</v>
      </c>
      <c r="X148" s="346"/>
    </row>
    <row r="149" spans="1:24" s="344" customFormat="1" ht="11.25" customHeight="1" x14ac:dyDescent="0.2">
      <c r="A149" s="347" t="s">
        <v>378</v>
      </c>
      <c r="B149" s="348" t="s">
        <v>1317</v>
      </c>
      <c r="C149" s="348" t="s">
        <v>309</v>
      </c>
      <c r="D149" s="348" t="s">
        <v>1374</v>
      </c>
      <c r="E149" s="348" t="s">
        <v>320</v>
      </c>
      <c r="F149" s="349" t="s">
        <v>466</v>
      </c>
      <c r="G149" s="498"/>
      <c r="H149" s="688">
        <v>279</v>
      </c>
      <c r="I149" s="684">
        <v>279</v>
      </c>
      <c r="J149" s="684"/>
      <c r="K149" s="684"/>
      <c r="L149" s="685"/>
      <c r="M149" s="683"/>
      <c r="N149" s="357"/>
      <c r="O149" s="357"/>
      <c r="P149" s="357"/>
      <c r="Q149" s="357"/>
      <c r="R149" s="686"/>
      <c r="S149" s="687">
        <f t="shared" si="24"/>
        <v>279</v>
      </c>
      <c r="T149" s="687">
        <f t="shared" si="24"/>
        <v>279</v>
      </c>
      <c r="U149" s="687">
        <f t="shared" si="33"/>
        <v>0</v>
      </c>
      <c r="V149" s="687">
        <f t="shared" si="34"/>
        <v>0</v>
      </c>
      <c r="W149" s="687">
        <f t="shared" si="35"/>
        <v>0</v>
      </c>
      <c r="X149" s="346"/>
    </row>
    <row r="150" spans="1:24" s="344" customFormat="1" ht="11.25" customHeight="1" x14ac:dyDescent="0.2">
      <c r="A150" s="347" t="s">
        <v>378</v>
      </c>
      <c r="B150" s="348" t="s">
        <v>462</v>
      </c>
      <c r="C150" s="348" t="s">
        <v>309</v>
      </c>
      <c r="D150" s="348" t="s">
        <v>327</v>
      </c>
      <c r="E150" s="348" t="s">
        <v>326</v>
      </c>
      <c r="F150" s="349" t="s">
        <v>464</v>
      </c>
      <c r="G150" s="502"/>
      <c r="H150" s="688">
        <v>0</v>
      </c>
      <c r="I150" s="684">
        <v>0</v>
      </c>
      <c r="J150" s="684">
        <v>0</v>
      </c>
      <c r="K150" s="684">
        <v>30</v>
      </c>
      <c r="L150" s="685">
        <v>0</v>
      </c>
      <c r="M150" s="683">
        <v>0</v>
      </c>
      <c r="N150" s="357">
        <v>0</v>
      </c>
      <c r="O150" s="357">
        <v>0</v>
      </c>
      <c r="P150" s="357">
        <v>20</v>
      </c>
      <c r="Q150" s="357">
        <v>0</v>
      </c>
      <c r="R150" s="686" t="s">
        <v>1642</v>
      </c>
      <c r="S150" s="687">
        <f t="shared" si="24"/>
        <v>0</v>
      </c>
      <c r="T150" s="687">
        <f t="shared" si="24"/>
        <v>0</v>
      </c>
      <c r="U150" s="687">
        <f t="shared" si="33"/>
        <v>0</v>
      </c>
      <c r="V150" s="687">
        <f t="shared" si="34"/>
        <v>10</v>
      </c>
      <c r="W150" s="687">
        <f t="shared" si="35"/>
        <v>0</v>
      </c>
      <c r="X150" s="346"/>
    </row>
    <row r="151" spans="1:24" s="344" customFormat="1" ht="11.25" customHeight="1" x14ac:dyDescent="0.2">
      <c r="A151" s="347" t="s">
        <v>378</v>
      </c>
      <c r="B151" s="348" t="s">
        <v>1317</v>
      </c>
      <c r="C151" s="348" t="s">
        <v>309</v>
      </c>
      <c r="D151" s="348" t="s">
        <v>1375</v>
      </c>
      <c r="E151" s="348" t="s">
        <v>328</v>
      </c>
      <c r="F151" s="349" t="s">
        <v>464</v>
      </c>
      <c r="G151" s="498" t="s">
        <v>1315</v>
      </c>
      <c r="H151" s="688"/>
      <c r="I151" s="684"/>
      <c r="J151" s="684"/>
      <c r="K151" s="684"/>
      <c r="L151" s="685">
        <v>1</v>
      </c>
      <c r="M151" s="683"/>
      <c r="N151" s="357"/>
      <c r="O151" s="357"/>
      <c r="P151" s="357"/>
      <c r="Q151" s="357"/>
      <c r="R151" s="686"/>
      <c r="S151" s="687">
        <f t="shared" si="24"/>
        <v>0</v>
      </c>
      <c r="T151" s="687">
        <f t="shared" si="24"/>
        <v>0</v>
      </c>
      <c r="U151" s="687">
        <f t="shared" si="33"/>
        <v>0</v>
      </c>
      <c r="V151" s="687">
        <f t="shared" si="34"/>
        <v>0</v>
      </c>
      <c r="W151" s="687">
        <f t="shared" si="35"/>
        <v>1</v>
      </c>
      <c r="X151" s="346"/>
    </row>
    <row r="152" spans="1:24" s="344" customFormat="1" ht="11.25" customHeight="1" x14ac:dyDescent="0.2">
      <c r="A152" s="347" t="s">
        <v>378</v>
      </c>
      <c r="B152" s="348" t="s">
        <v>424</v>
      </c>
      <c r="C152" s="348" t="s">
        <v>309</v>
      </c>
      <c r="D152" s="348" t="s">
        <v>323</v>
      </c>
      <c r="E152" s="348" t="s">
        <v>322</v>
      </c>
      <c r="F152" s="349" t="s">
        <v>464</v>
      </c>
      <c r="G152" s="502" t="s">
        <v>1315</v>
      </c>
      <c r="H152" s="688">
        <v>10</v>
      </c>
      <c r="I152" s="684">
        <v>70</v>
      </c>
      <c r="J152" s="684"/>
      <c r="K152" s="684"/>
      <c r="L152" s="685">
        <v>1</v>
      </c>
      <c r="M152" s="683"/>
      <c r="N152" s="357"/>
      <c r="O152" s="357"/>
      <c r="P152" s="357"/>
      <c r="Q152" s="357"/>
      <c r="R152" s="686"/>
      <c r="S152" s="687">
        <f t="shared" si="24"/>
        <v>10</v>
      </c>
      <c r="T152" s="687">
        <f t="shared" si="24"/>
        <v>70</v>
      </c>
      <c r="U152" s="687">
        <f t="shared" si="33"/>
        <v>0</v>
      </c>
      <c r="V152" s="687">
        <f t="shared" si="34"/>
        <v>0</v>
      </c>
      <c r="W152" s="687">
        <f t="shared" si="35"/>
        <v>1</v>
      </c>
      <c r="X152" s="346"/>
    </row>
    <row r="153" spans="1:24" s="344" customFormat="1" ht="11.25" customHeight="1" x14ac:dyDescent="0.2">
      <c r="A153" s="347" t="s">
        <v>378</v>
      </c>
      <c r="B153" s="348" t="s">
        <v>424</v>
      </c>
      <c r="C153" s="348" t="s">
        <v>309</v>
      </c>
      <c r="D153" s="348" t="s">
        <v>325</v>
      </c>
      <c r="E153" s="348" t="s">
        <v>324</v>
      </c>
      <c r="F153" s="349" t="s">
        <v>464</v>
      </c>
      <c r="G153" s="498" t="s">
        <v>1315</v>
      </c>
      <c r="H153" s="688"/>
      <c r="I153" s="684"/>
      <c r="J153" s="684"/>
      <c r="K153" s="684"/>
      <c r="L153" s="685"/>
      <c r="M153" s="683"/>
      <c r="N153" s="357"/>
      <c r="O153" s="357"/>
      <c r="P153" s="357"/>
      <c r="Q153" s="357"/>
      <c r="R153" s="686"/>
      <c r="S153" s="687">
        <f t="shared" si="24"/>
        <v>0</v>
      </c>
      <c r="T153" s="687">
        <f t="shared" si="24"/>
        <v>0</v>
      </c>
      <c r="U153" s="687">
        <f t="shared" si="33"/>
        <v>0</v>
      </c>
      <c r="V153" s="687">
        <f t="shared" si="34"/>
        <v>0</v>
      </c>
      <c r="W153" s="687">
        <f t="shared" si="35"/>
        <v>0</v>
      </c>
      <c r="X153" s="346" t="s">
        <v>1346</v>
      </c>
    </row>
    <row r="154" spans="1:24" s="344" customFormat="1" ht="11.25" customHeight="1" x14ac:dyDescent="0.2">
      <c r="A154" s="347" t="s">
        <v>378</v>
      </c>
      <c r="B154" s="348" t="s">
        <v>462</v>
      </c>
      <c r="C154" s="348" t="s">
        <v>309</v>
      </c>
      <c r="D154" s="348" t="s">
        <v>342</v>
      </c>
      <c r="E154" s="348" t="s">
        <v>341</v>
      </c>
      <c r="F154" s="349" t="s">
        <v>464</v>
      </c>
      <c r="G154" s="502"/>
      <c r="H154" s="688">
        <v>5</v>
      </c>
      <c r="I154" s="684">
        <v>0</v>
      </c>
      <c r="J154" s="684">
        <v>0</v>
      </c>
      <c r="K154" s="684">
        <v>5</v>
      </c>
      <c r="L154" s="685">
        <v>0</v>
      </c>
      <c r="M154" s="683">
        <v>0</v>
      </c>
      <c r="N154" s="357">
        <v>0</v>
      </c>
      <c r="O154" s="357">
        <v>0</v>
      </c>
      <c r="P154" s="357">
        <v>0</v>
      </c>
      <c r="Q154" s="357">
        <v>0</v>
      </c>
      <c r="R154" s="686"/>
      <c r="S154" s="687">
        <f t="shared" si="24"/>
        <v>5</v>
      </c>
      <c r="T154" s="687">
        <f t="shared" si="24"/>
        <v>0</v>
      </c>
      <c r="U154" s="687">
        <f t="shared" si="33"/>
        <v>0</v>
      </c>
      <c r="V154" s="687">
        <f t="shared" si="34"/>
        <v>5</v>
      </c>
      <c r="W154" s="687">
        <f t="shared" si="35"/>
        <v>0</v>
      </c>
      <c r="X154" s="346"/>
    </row>
    <row r="155" spans="1:24" s="344" customFormat="1" ht="11.25" customHeight="1" x14ac:dyDescent="0.2">
      <c r="A155" s="347" t="s">
        <v>378</v>
      </c>
      <c r="B155" s="348" t="s">
        <v>424</v>
      </c>
      <c r="C155" s="348" t="s">
        <v>309</v>
      </c>
      <c r="D155" s="348" t="s">
        <v>1032</v>
      </c>
      <c r="E155" s="348" t="s">
        <v>343</v>
      </c>
      <c r="F155" s="349" t="s">
        <v>466</v>
      </c>
      <c r="G155" s="498" t="s">
        <v>1481</v>
      </c>
      <c r="H155" s="688">
        <v>46</v>
      </c>
      <c r="I155" s="684">
        <v>46</v>
      </c>
      <c r="J155" s="684"/>
      <c r="K155" s="684"/>
      <c r="L155" s="685"/>
      <c r="M155" s="683"/>
      <c r="N155" s="357"/>
      <c r="O155" s="357"/>
      <c r="P155" s="357"/>
      <c r="Q155" s="357"/>
      <c r="R155" s="686"/>
      <c r="S155" s="687">
        <f t="shared" si="24"/>
        <v>46</v>
      </c>
      <c r="T155" s="687">
        <f t="shared" si="24"/>
        <v>46</v>
      </c>
      <c r="U155" s="687">
        <f t="shared" si="33"/>
        <v>0</v>
      </c>
      <c r="V155" s="687">
        <f t="shared" si="34"/>
        <v>0</v>
      </c>
      <c r="W155" s="687">
        <f t="shared" si="35"/>
        <v>0</v>
      </c>
      <c r="X155" s="346" t="s">
        <v>1346</v>
      </c>
    </row>
    <row r="156" spans="1:24" s="344" customFormat="1" ht="11.25" customHeight="1" x14ac:dyDescent="0.2">
      <c r="A156" s="347" t="s">
        <v>378</v>
      </c>
      <c r="B156" s="348" t="s">
        <v>1317</v>
      </c>
      <c r="C156" s="348" t="s">
        <v>309</v>
      </c>
      <c r="D156" s="348" t="s">
        <v>1376</v>
      </c>
      <c r="E156" s="348" t="s">
        <v>352</v>
      </c>
      <c r="F156" s="363" t="s">
        <v>466</v>
      </c>
      <c r="G156" s="500"/>
      <c r="H156" s="688"/>
      <c r="I156" s="684"/>
      <c r="J156" s="684"/>
      <c r="K156" s="684"/>
      <c r="L156" s="685"/>
      <c r="M156" s="683"/>
      <c r="N156" s="357"/>
      <c r="O156" s="357"/>
      <c r="P156" s="357"/>
      <c r="Q156" s="357"/>
      <c r="R156" s="686"/>
      <c r="S156" s="687">
        <f t="shared" si="24"/>
        <v>0</v>
      </c>
      <c r="T156" s="687">
        <f t="shared" si="24"/>
        <v>0</v>
      </c>
      <c r="U156" s="687">
        <f t="shared" si="33"/>
        <v>0</v>
      </c>
      <c r="V156" s="687">
        <f t="shared" si="34"/>
        <v>0</v>
      </c>
      <c r="W156" s="687">
        <f t="shared" si="35"/>
        <v>0</v>
      </c>
      <c r="X156" s="346"/>
    </row>
    <row r="157" spans="1:24" s="344" customFormat="1" ht="11.25" customHeight="1" x14ac:dyDescent="0.2">
      <c r="A157" s="347" t="s">
        <v>378</v>
      </c>
      <c r="B157" s="348" t="s">
        <v>462</v>
      </c>
      <c r="C157" s="348" t="s">
        <v>309</v>
      </c>
      <c r="D157" s="348" t="s">
        <v>1377</v>
      </c>
      <c r="E157" s="348" t="s">
        <v>316</v>
      </c>
      <c r="F157" s="349" t="s">
        <v>464</v>
      </c>
      <c r="G157" s="498" t="s">
        <v>1315</v>
      </c>
      <c r="H157" s="688">
        <v>10</v>
      </c>
      <c r="I157" s="684">
        <v>10</v>
      </c>
      <c r="J157" s="684">
        <v>20</v>
      </c>
      <c r="K157" s="684">
        <v>26</v>
      </c>
      <c r="L157" s="685">
        <v>0</v>
      </c>
      <c r="M157" s="683"/>
      <c r="N157" s="357"/>
      <c r="O157" s="357">
        <v>0</v>
      </c>
      <c r="P157" s="357">
        <v>26</v>
      </c>
      <c r="Q157" s="357">
        <v>0</v>
      </c>
      <c r="R157" s="686" t="s">
        <v>1642</v>
      </c>
      <c r="S157" s="687">
        <f t="shared" si="24"/>
        <v>10</v>
      </c>
      <c r="T157" s="687">
        <f t="shared" si="24"/>
        <v>10</v>
      </c>
      <c r="U157" s="687">
        <f t="shared" si="33"/>
        <v>20</v>
      </c>
      <c r="V157" s="687">
        <f t="shared" si="34"/>
        <v>0</v>
      </c>
      <c r="W157" s="687">
        <f t="shared" si="35"/>
        <v>0</v>
      </c>
      <c r="X157" s="346"/>
    </row>
    <row r="158" spans="1:24" s="344" customFormat="1" ht="11.25" customHeight="1" x14ac:dyDescent="0.2">
      <c r="A158" s="347" t="s">
        <v>378</v>
      </c>
      <c r="B158" s="348" t="s">
        <v>424</v>
      </c>
      <c r="C158" s="348" t="s">
        <v>309</v>
      </c>
      <c r="D158" s="348" t="s">
        <v>1378</v>
      </c>
      <c r="E158" s="348" t="s">
        <v>339</v>
      </c>
      <c r="F158" s="349" t="s">
        <v>464</v>
      </c>
      <c r="G158" s="500" t="s">
        <v>1481</v>
      </c>
      <c r="H158" s="688">
        <v>10</v>
      </c>
      <c r="I158" s="684">
        <v>10</v>
      </c>
      <c r="J158" s="684"/>
      <c r="K158" s="684">
        <v>20</v>
      </c>
      <c r="L158" s="685"/>
      <c r="M158" s="683"/>
      <c r="N158" s="357"/>
      <c r="O158" s="357"/>
      <c r="P158" s="357"/>
      <c r="Q158" s="357"/>
      <c r="R158" s="686"/>
      <c r="S158" s="687">
        <f t="shared" si="24"/>
        <v>10</v>
      </c>
      <c r="T158" s="687">
        <f t="shared" si="24"/>
        <v>10</v>
      </c>
      <c r="U158" s="687">
        <f t="shared" si="33"/>
        <v>0</v>
      </c>
      <c r="V158" s="687">
        <f t="shared" si="34"/>
        <v>20</v>
      </c>
      <c r="W158" s="687">
        <f t="shared" si="35"/>
        <v>0</v>
      </c>
      <c r="X158" s="346"/>
    </row>
    <row r="159" spans="1:24" s="344" customFormat="1" ht="11.25" customHeight="1" x14ac:dyDescent="0.2">
      <c r="A159" s="347" t="s">
        <v>378</v>
      </c>
      <c r="B159" s="348" t="s">
        <v>462</v>
      </c>
      <c r="C159" s="348" t="s">
        <v>309</v>
      </c>
      <c r="D159" s="348" t="s">
        <v>1379</v>
      </c>
      <c r="E159" s="348" t="s">
        <v>336</v>
      </c>
      <c r="F159" s="349" t="s">
        <v>464</v>
      </c>
      <c r="G159" s="498"/>
      <c r="H159" s="688"/>
      <c r="I159" s="684"/>
      <c r="J159" s="684"/>
      <c r="K159" s="684">
        <v>10</v>
      </c>
      <c r="L159" s="685">
        <v>0</v>
      </c>
      <c r="M159" s="683">
        <v>0</v>
      </c>
      <c r="N159" s="357">
        <v>0</v>
      </c>
      <c r="O159" s="357"/>
      <c r="P159" s="357">
        <v>10</v>
      </c>
      <c r="Q159" s="357">
        <v>0</v>
      </c>
      <c r="R159" s="686" t="s">
        <v>1642</v>
      </c>
      <c r="S159" s="687">
        <f t="shared" si="24"/>
        <v>0</v>
      </c>
      <c r="T159" s="687">
        <f t="shared" si="24"/>
        <v>0</v>
      </c>
      <c r="U159" s="687">
        <f t="shared" si="33"/>
        <v>0</v>
      </c>
      <c r="V159" s="687">
        <f t="shared" si="34"/>
        <v>0</v>
      </c>
      <c r="W159" s="687">
        <f t="shared" si="35"/>
        <v>0</v>
      </c>
      <c r="X159" s="346"/>
    </row>
    <row r="160" spans="1:24" s="344" customFormat="1" ht="11.25" customHeight="1" x14ac:dyDescent="0.2">
      <c r="A160" s="347" t="s">
        <v>378</v>
      </c>
      <c r="B160" s="348" t="s">
        <v>462</v>
      </c>
      <c r="C160" s="348" t="s">
        <v>309</v>
      </c>
      <c r="D160" s="348" t="s">
        <v>1380</v>
      </c>
      <c r="E160" s="348" t="s">
        <v>348</v>
      </c>
      <c r="F160" s="349" t="s">
        <v>464</v>
      </c>
      <c r="G160" s="500"/>
      <c r="H160" s="688"/>
      <c r="I160" s="684"/>
      <c r="J160" s="684">
        <v>50</v>
      </c>
      <c r="K160" s="684"/>
      <c r="L160" s="685">
        <v>0</v>
      </c>
      <c r="M160" s="683">
        <v>0</v>
      </c>
      <c r="N160" s="357"/>
      <c r="O160" s="357"/>
      <c r="P160" s="357">
        <v>0</v>
      </c>
      <c r="Q160" s="357">
        <v>0</v>
      </c>
      <c r="R160" s="686"/>
      <c r="S160" s="687">
        <f t="shared" si="24"/>
        <v>0</v>
      </c>
      <c r="T160" s="687">
        <f t="shared" si="24"/>
        <v>0</v>
      </c>
      <c r="U160" s="687">
        <f t="shared" si="33"/>
        <v>50</v>
      </c>
      <c r="V160" s="687">
        <f t="shared" si="34"/>
        <v>0</v>
      </c>
      <c r="W160" s="687">
        <f t="shared" si="35"/>
        <v>0</v>
      </c>
      <c r="X160" s="346"/>
    </row>
    <row r="161" spans="1:24" s="344" customFormat="1" ht="11.25" customHeight="1" x14ac:dyDescent="0.2">
      <c r="A161" s="347" t="s">
        <v>378</v>
      </c>
      <c r="B161" s="348" t="s">
        <v>424</v>
      </c>
      <c r="C161" s="348" t="s">
        <v>309</v>
      </c>
      <c r="D161" s="348" t="s">
        <v>345</v>
      </c>
      <c r="E161" s="348" t="s">
        <v>344</v>
      </c>
      <c r="F161" s="349" t="s">
        <v>464</v>
      </c>
      <c r="G161" s="498" t="s">
        <v>1481</v>
      </c>
      <c r="H161" s="688">
        <v>21</v>
      </c>
      <c r="I161" s="684">
        <v>21</v>
      </c>
      <c r="J161" s="684"/>
      <c r="K161" s="684">
        <v>20</v>
      </c>
      <c r="L161" s="685">
        <v>0</v>
      </c>
      <c r="M161" s="683"/>
      <c r="N161" s="357"/>
      <c r="O161" s="357"/>
      <c r="P161" s="357"/>
      <c r="Q161" s="357"/>
      <c r="R161" s="686"/>
      <c r="S161" s="687">
        <f t="shared" si="24"/>
        <v>21</v>
      </c>
      <c r="T161" s="687">
        <f t="shared" si="24"/>
        <v>21</v>
      </c>
      <c r="U161" s="687">
        <f t="shared" si="33"/>
        <v>0</v>
      </c>
      <c r="V161" s="687">
        <f t="shared" si="34"/>
        <v>20</v>
      </c>
      <c r="W161" s="687">
        <f t="shared" si="35"/>
        <v>0</v>
      </c>
      <c r="X161" s="346" t="s">
        <v>1346</v>
      </c>
    </row>
    <row r="162" spans="1:24" s="344" customFormat="1" ht="11.25" customHeight="1" x14ac:dyDescent="0.2">
      <c r="A162" s="347" t="s">
        <v>378</v>
      </c>
      <c r="B162" s="348" t="s">
        <v>462</v>
      </c>
      <c r="C162" s="348" t="s">
        <v>309</v>
      </c>
      <c r="D162" s="348" t="s">
        <v>347</v>
      </c>
      <c r="E162" s="348" t="s">
        <v>346</v>
      </c>
      <c r="F162" s="349" t="s">
        <v>464</v>
      </c>
      <c r="G162" s="502"/>
      <c r="H162" s="688">
        <v>0</v>
      </c>
      <c r="I162" s="684">
        <v>10</v>
      </c>
      <c r="J162" s="684">
        <v>15</v>
      </c>
      <c r="K162" s="684">
        <v>10</v>
      </c>
      <c r="L162" s="685">
        <v>0</v>
      </c>
      <c r="M162" s="683">
        <v>0</v>
      </c>
      <c r="N162" s="357"/>
      <c r="O162" s="357"/>
      <c r="P162" s="357">
        <v>10</v>
      </c>
      <c r="Q162" s="357">
        <v>0</v>
      </c>
      <c r="R162" s="686" t="s">
        <v>1642</v>
      </c>
      <c r="S162" s="687">
        <f t="shared" si="24"/>
        <v>0</v>
      </c>
      <c r="T162" s="687">
        <f t="shared" si="24"/>
        <v>10</v>
      </c>
      <c r="U162" s="687">
        <f t="shared" si="33"/>
        <v>15</v>
      </c>
      <c r="V162" s="687">
        <f t="shared" si="34"/>
        <v>0</v>
      </c>
      <c r="W162" s="687">
        <f t="shared" si="35"/>
        <v>0</v>
      </c>
      <c r="X162" s="346"/>
    </row>
    <row r="163" spans="1:24" s="344" customFormat="1" ht="11.25" customHeight="1" x14ac:dyDescent="0.2">
      <c r="A163" s="347" t="s">
        <v>378</v>
      </c>
      <c r="B163" s="348" t="s">
        <v>462</v>
      </c>
      <c r="C163" s="348" t="s">
        <v>309</v>
      </c>
      <c r="D163" s="357" t="s">
        <v>1381</v>
      </c>
      <c r="E163" s="348" t="s">
        <v>314</v>
      </c>
      <c r="F163" s="349" t="s">
        <v>464</v>
      </c>
      <c r="G163" s="498"/>
      <c r="H163" s="688">
        <v>0</v>
      </c>
      <c r="I163" s="684">
        <v>0</v>
      </c>
      <c r="J163" s="684">
        <v>0</v>
      </c>
      <c r="K163" s="684">
        <v>20</v>
      </c>
      <c r="L163" s="685">
        <v>0</v>
      </c>
      <c r="M163" s="683">
        <v>0</v>
      </c>
      <c r="N163" s="357">
        <v>0</v>
      </c>
      <c r="O163" s="357">
        <v>0</v>
      </c>
      <c r="P163" s="357">
        <v>15</v>
      </c>
      <c r="Q163" s="357">
        <v>0</v>
      </c>
      <c r="R163" s="686" t="s">
        <v>1642</v>
      </c>
      <c r="S163" s="687">
        <f t="shared" si="24"/>
        <v>0</v>
      </c>
      <c r="T163" s="687">
        <f t="shared" si="24"/>
        <v>0</v>
      </c>
      <c r="U163" s="687">
        <f t="shared" si="33"/>
        <v>0</v>
      </c>
      <c r="V163" s="687">
        <f t="shared" si="34"/>
        <v>5</v>
      </c>
      <c r="W163" s="687">
        <f t="shared" si="35"/>
        <v>0</v>
      </c>
      <c r="X163" s="346"/>
    </row>
    <row r="164" spans="1:24" s="344" customFormat="1" ht="11.25" customHeight="1" x14ac:dyDescent="0.2">
      <c r="A164" s="347" t="s">
        <v>378</v>
      </c>
      <c r="B164" s="348" t="s">
        <v>424</v>
      </c>
      <c r="C164" s="348" t="s">
        <v>309</v>
      </c>
      <c r="D164" s="357" t="s">
        <v>1273</v>
      </c>
      <c r="E164" s="348" t="s">
        <v>1271</v>
      </c>
      <c r="F164" s="349" t="s">
        <v>466</v>
      </c>
      <c r="G164" s="498" t="s">
        <v>1315</v>
      </c>
      <c r="H164" s="688">
        <v>15</v>
      </c>
      <c r="I164" s="684">
        <v>15</v>
      </c>
      <c r="J164" s="684"/>
      <c r="K164" s="684"/>
      <c r="L164" s="685">
        <v>2</v>
      </c>
      <c r="M164" s="683">
        <v>0</v>
      </c>
      <c r="N164" s="357">
        <v>0</v>
      </c>
      <c r="O164" s="357">
        <v>0</v>
      </c>
      <c r="P164" s="357"/>
      <c r="Q164" s="357">
        <v>2</v>
      </c>
      <c r="R164" s="686" t="s">
        <v>1659</v>
      </c>
      <c r="S164" s="687">
        <f t="shared" si="24"/>
        <v>15</v>
      </c>
      <c r="T164" s="687">
        <f t="shared" si="24"/>
        <v>15</v>
      </c>
      <c r="U164" s="687">
        <f t="shared" si="33"/>
        <v>0</v>
      </c>
      <c r="V164" s="687">
        <f t="shared" si="34"/>
        <v>0</v>
      </c>
      <c r="W164" s="687">
        <f t="shared" si="35"/>
        <v>0</v>
      </c>
      <c r="X164" s="346" t="s">
        <v>1346</v>
      </c>
    </row>
    <row r="165" spans="1:24" s="344" customFormat="1" ht="11.25" customHeight="1" x14ac:dyDescent="0.2">
      <c r="A165" s="347" t="s">
        <v>378</v>
      </c>
      <c r="B165" s="348" t="s">
        <v>1317</v>
      </c>
      <c r="C165" s="348" t="s">
        <v>309</v>
      </c>
      <c r="D165" s="348" t="s">
        <v>1382</v>
      </c>
      <c r="E165" s="348" t="s">
        <v>350</v>
      </c>
      <c r="F165" s="363" t="s">
        <v>466</v>
      </c>
      <c r="G165" s="500"/>
      <c r="H165" s="688"/>
      <c r="I165" s="684"/>
      <c r="J165" s="684"/>
      <c r="K165" s="684"/>
      <c r="L165" s="685"/>
      <c r="M165" s="683"/>
      <c r="N165" s="357"/>
      <c r="O165" s="357"/>
      <c r="P165" s="357"/>
      <c r="Q165" s="357"/>
      <c r="R165" s="686"/>
      <c r="S165" s="687">
        <f t="shared" si="24"/>
        <v>0</v>
      </c>
      <c r="T165" s="687">
        <f t="shared" si="24"/>
        <v>0</v>
      </c>
      <c r="U165" s="687">
        <f t="shared" si="33"/>
        <v>0</v>
      </c>
      <c r="V165" s="687">
        <f t="shared" si="34"/>
        <v>0</v>
      </c>
      <c r="W165" s="687">
        <f t="shared" si="35"/>
        <v>0</v>
      </c>
      <c r="X165" s="346"/>
    </row>
    <row r="166" spans="1:24" s="344" customFormat="1" ht="11.25" customHeight="1" x14ac:dyDescent="0.2">
      <c r="A166" s="350" t="s">
        <v>3</v>
      </c>
      <c r="B166" s="351"/>
      <c r="C166" s="351"/>
      <c r="D166" s="352"/>
      <c r="E166" s="353"/>
      <c r="F166" s="354"/>
      <c r="G166" s="507"/>
      <c r="H166" s="355">
        <f t="shared" ref="H166" si="36">SUM(H145:H165)</f>
        <v>406</v>
      </c>
      <c r="I166" s="353">
        <f>SUM(I145:I165)</f>
        <v>471</v>
      </c>
      <c r="J166" s="353">
        <f t="shared" ref="J166:W166" si="37">SUM(J145:J165)</f>
        <v>125</v>
      </c>
      <c r="K166" s="353">
        <f t="shared" si="37"/>
        <v>141</v>
      </c>
      <c r="L166" s="353">
        <f t="shared" si="37"/>
        <v>4</v>
      </c>
      <c r="M166" s="353">
        <f t="shared" si="37"/>
        <v>0</v>
      </c>
      <c r="N166" s="353">
        <f t="shared" si="37"/>
        <v>0</v>
      </c>
      <c r="O166" s="353">
        <f t="shared" si="37"/>
        <v>5</v>
      </c>
      <c r="P166" s="353">
        <f t="shared" si="37"/>
        <v>81</v>
      </c>
      <c r="Q166" s="353">
        <f t="shared" si="37"/>
        <v>2</v>
      </c>
      <c r="R166" s="353">
        <f t="shared" si="37"/>
        <v>0</v>
      </c>
      <c r="S166" s="353">
        <f t="shared" si="37"/>
        <v>406</v>
      </c>
      <c r="T166" s="353">
        <f t="shared" si="37"/>
        <v>471</v>
      </c>
      <c r="U166" s="353">
        <f t="shared" si="37"/>
        <v>120</v>
      </c>
      <c r="V166" s="353">
        <f t="shared" si="37"/>
        <v>60</v>
      </c>
      <c r="W166" s="353">
        <f t="shared" si="37"/>
        <v>2</v>
      </c>
      <c r="X166" s="346"/>
    </row>
    <row r="167" spans="1:24" s="344" customFormat="1" ht="11.25" customHeight="1" thickBot="1" x14ac:dyDescent="0.25">
      <c r="A167" s="368"/>
      <c r="B167" s="369"/>
      <c r="C167" s="369" t="s">
        <v>1383</v>
      </c>
      <c r="D167" s="369"/>
      <c r="E167" s="369"/>
      <c r="F167" s="370"/>
      <c r="G167" s="508"/>
      <c r="H167" s="697">
        <f>H15+H21+H43+H45+H47+H62+H72+H76+H81+H84+H98+H102+H124+H130+H135+H138+H141+H144+H166</f>
        <v>2673</v>
      </c>
      <c r="I167" s="698">
        <f t="shared" ref="I167:W167" si="38">I15+I21+I43+I45+I47+I62+I72+I76+I81+I84+I98+I102+I124+I130+I135+I138+I141+I144+I166</f>
        <v>2971</v>
      </c>
      <c r="J167" s="698">
        <f t="shared" si="38"/>
        <v>1413</v>
      </c>
      <c r="K167" s="698">
        <f t="shared" si="38"/>
        <v>824</v>
      </c>
      <c r="L167" s="698">
        <f t="shared" si="38"/>
        <v>12</v>
      </c>
      <c r="M167" s="698">
        <f>M15+M21+M43+M45+M47+M62+M72+M76+M81+M84+M98+M102+M124+M130+M135+M138+M141+M144+M166</f>
        <v>760</v>
      </c>
      <c r="N167" s="698">
        <f t="shared" si="38"/>
        <v>813</v>
      </c>
      <c r="O167" s="698">
        <f t="shared" si="38"/>
        <v>631</v>
      </c>
      <c r="P167" s="698">
        <f t="shared" si="38"/>
        <v>388</v>
      </c>
      <c r="Q167" s="698">
        <f t="shared" si="38"/>
        <v>2</v>
      </c>
      <c r="R167" s="698">
        <f t="shared" si="38"/>
        <v>0</v>
      </c>
      <c r="S167" s="698">
        <f>S15+S21+S43+S45+S47+S62+S72+S76+S81+S84+S98+S102+S124+S130+S135+S138+S141+S144+S166</f>
        <v>1913</v>
      </c>
      <c r="T167" s="698">
        <f t="shared" si="38"/>
        <v>2158</v>
      </c>
      <c r="U167" s="698">
        <f t="shared" si="38"/>
        <v>782</v>
      </c>
      <c r="V167" s="698">
        <f t="shared" si="38"/>
        <v>436</v>
      </c>
      <c r="W167" s="698">
        <f t="shared" si="38"/>
        <v>10</v>
      </c>
      <c r="X167" s="371"/>
    </row>
  </sheetData>
  <autoFilter ref="A4:X167"/>
  <mergeCells count="11">
    <mergeCell ref="S2:W2"/>
    <mergeCell ref="A1:W1"/>
    <mergeCell ref="A2:A4"/>
    <mergeCell ref="B2:B4"/>
    <mergeCell ref="C2:C4"/>
    <mergeCell ref="D2:D4"/>
    <mergeCell ref="E2:E4"/>
    <mergeCell ref="F2:F4"/>
    <mergeCell ref="G2:G4"/>
    <mergeCell ref="H2:L2"/>
    <mergeCell ref="M2:R2"/>
  </mergeCells>
  <conditionalFormatting sqref="H1:W14 H167:W1048576">
    <cfRule type="cellIs" dxfId="889" priority="5" operator="greaterThan">
      <formula>0</formula>
    </cfRule>
  </conditionalFormatting>
  <conditionalFormatting sqref="R16">
    <cfRule type="cellIs" dxfId="888" priority="1" operator="greaterThan">
      <formula>0</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91"/>
  <sheetViews>
    <sheetView topLeftCell="I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39" t="s">
        <v>458</v>
      </c>
      <c r="B1" s="323" t="s">
        <v>537</v>
      </c>
      <c r="M1" s="139" t="s">
        <v>458</v>
      </c>
      <c r="N1" s="323" t="s">
        <v>537</v>
      </c>
    </row>
    <row r="2" spans="1:22" x14ac:dyDescent="0.25">
      <c r="G2" s="37"/>
      <c r="U2" s="139" t="s">
        <v>458</v>
      </c>
      <c r="V2" s="323" t="s">
        <v>537</v>
      </c>
    </row>
    <row r="3" spans="1:22" x14ac:dyDescent="0.25">
      <c r="A3" s="139" t="s">
        <v>0</v>
      </c>
      <c r="B3" s="139" t="s">
        <v>507</v>
      </c>
      <c r="G3" s="139" t="s">
        <v>507</v>
      </c>
      <c r="H3" s="139" t="s">
        <v>834</v>
      </c>
      <c r="I3" s="139" t="s">
        <v>458</v>
      </c>
      <c r="J3" s="139" t="s">
        <v>783</v>
      </c>
      <c r="K3" t="s">
        <v>795</v>
      </c>
      <c r="M3" s="139" t="s">
        <v>834</v>
      </c>
      <c r="N3" s="139" t="s">
        <v>507</v>
      </c>
      <c r="O3" s="139" t="s">
        <v>0</v>
      </c>
      <c r="P3" s="323" t="s">
        <v>795</v>
      </c>
      <c r="Q3" s="323" t="s">
        <v>765</v>
      </c>
    </row>
    <row r="4" spans="1:22" x14ac:dyDescent="0.25">
      <c r="A4" s="323" t="s">
        <v>5</v>
      </c>
      <c r="B4" s="323" t="s">
        <v>6</v>
      </c>
      <c r="G4" s="323" t="s">
        <v>128</v>
      </c>
      <c r="H4" s="323" t="s">
        <v>127</v>
      </c>
      <c r="I4" s="323" t="s">
        <v>776</v>
      </c>
      <c r="J4" s="323" t="s">
        <v>1224</v>
      </c>
      <c r="K4" s="133">
        <v>0</v>
      </c>
      <c r="M4" s="323" t="s">
        <v>236</v>
      </c>
      <c r="N4" s="323" t="s">
        <v>238</v>
      </c>
      <c r="O4" s="323" t="s">
        <v>237</v>
      </c>
      <c r="P4" s="133">
        <v>73</v>
      </c>
      <c r="Q4" s="133">
        <v>406</v>
      </c>
      <c r="U4" s="139" t="s">
        <v>834</v>
      </c>
    </row>
    <row r="5" spans="1:22" x14ac:dyDescent="0.25">
      <c r="A5" s="323" t="s">
        <v>5</v>
      </c>
      <c r="B5" s="323" t="s">
        <v>465</v>
      </c>
      <c r="G5" s="323" t="s">
        <v>62</v>
      </c>
      <c r="H5" s="323" t="s">
        <v>61</v>
      </c>
      <c r="I5" s="323" t="s">
        <v>776</v>
      </c>
      <c r="J5" s="73">
        <v>41275</v>
      </c>
      <c r="K5" s="133"/>
      <c r="M5" s="323" t="s">
        <v>267</v>
      </c>
      <c r="N5" s="323" t="s">
        <v>268</v>
      </c>
      <c r="O5" s="323" t="s">
        <v>237</v>
      </c>
      <c r="P5" s="133">
        <v>67</v>
      </c>
      <c r="Q5" s="133">
        <v>296</v>
      </c>
      <c r="U5" s="323" t="s">
        <v>236</v>
      </c>
    </row>
    <row r="6" spans="1:22" x14ac:dyDescent="0.25">
      <c r="A6" s="323" t="s">
        <v>5</v>
      </c>
      <c r="B6" s="323" t="s">
        <v>10</v>
      </c>
      <c r="G6" s="323" t="s">
        <v>120</v>
      </c>
      <c r="H6" s="323" t="s">
        <v>119</v>
      </c>
      <c r="I6" s="323" t="s">
        <v>460</v>
      </c>
      <c r="J6" s="73">
        <v>41275</v>
      </c>
      <c r="K6" s="133">
        <v>62</v>
      </c>
      <c r="M6" s="323" t="s">
        <v>249</v>
      </c>
      <c r="N6" s="323" t="s">
        <v>250</v>
      </c>
      <c r="O6" s="323" t="s">
        <v>237</v>
      </c>
      <c r="P6" s="133">
        <v>32</v>
      </c>
      <c r="Q6" s="133">
        <v>174</v>
      </c>
      <c r="U6" s="323" t="s">
        <v>267</v>
      </c>
    </row>
    <row r="7" spans="1:22" x14ac:dyDescent="0.25">
      <c r="A7" s="323" t="s">
        <v>5</v>
      </c>
      <c r="B7" s="323" t="s">
        <v>12</v>
      </c>
      <c r="G7" s="323" t="s">
        <v>1158</v>
      </c>
      <c r="H7" s="323" t="s">
        <v>1164</v>
      </c>
      <c r="I7" s="323" t="s">
        <v>776</v>
      </c>
      <c r="J7" s="73">
        <v>42584</v>
      </c>
      <c r="K7" s="133"/>
      <c r="M7" s="323" t="s">
        <v>247</v>
      </c>
      <c r="N7" s="323" t="s">
        <v>248</v>
      </c>
      <c r="O7" s="323" t="s">
        <v>237</v>
      </c>
      <c r="P7" s="133">
        <v>7</v>
      </c>
      <c r="Q7" s="133">
        <v>31</v>
      </c>
      <c r="U7" s="323" t="s">
        <v>249</v>
      </c>
    </row>
    <row r="8" spans="1:22" x14ac:dyDescent="0.25">
      <c r="A8" s="323" t="s">
        <v>5</v>
      </c>
      <c r="B8" s="323" t="s">
        <v>14</v>
      </c>
      <c r="G8" s="323" t="s">
        <v>6</v>
      </c>
      <c r="H8" s="323" t="s">
        <v>4</v>
      </c>
      <c r="I8" s="323" t="s">
        <v>460</v>
      </c>
      <c r="J8" s="73">
        <v>40848</v>
      </c>
      <c r="K8" s="133">
        <v>257</v>
      </c>
      <c r="M8" s="323" t="s">
        <v>273</v>
      </c>
      <c r="N8" s="323" t="s">
        <v>274</v>
      </c>
      <c r="O8" s="323" t="s">
        <v>237</v>
      </c>
      <c r="P8" s="133">
        <v>46</v>
      </c>
      <c r="Q8" s="133">
        <v>241</v>
      </c>
      <c r="U8" s="323" t="s">
        <v>247</v>
      </c>
    </row>
    <row r="9" spans="1:22" x14ac:dyDescent="0.25">
      <c r="A9" s="323" t="s">
        <v>5</v>
      </c>
      <c r="B9" s="323" t="s">
        <v>16</v>
      </c>
      <c r="G9" s="323" t="s">
        <v>1552</v>
      </c>
      <c r="H9" s="323" t="s">
        <v>1575</v>
      </c>
      <c r="I9" s="323" t="s">
        <v>776</v>
      </c>
      <c r="J9" s="73">
        <v>42963</v>
      </c>
      <c r="K9" s="133">
        <v>25</v>
      </c>
      <c r="M9" s="323" t="s">
        <v>275</v>
      </c>
      <c r="N9" s="323" t="s">
        <v>276</v>
      </c>
      <c r="O9" s="323" t="s">
        <v>237</v>
      </c>
      <c r="P9" s="133">
        <v>118</v>
      </c>
      <c r="Q9" s="133">
        <v>569</v>
      </c>
      <c r="U9" s="323" t="s">
        <v>273</v>
      </c>
    </row>
    <row r="10" spans="1:22" x14ac:dyDescent="0.25">
      <c r="A10" s="323" t="s">
        <v>5</v>
      </c>
      <c r="B10" s="323" t="s">
        <v>18</v>
      </c>
      <c r="G10" s="323" t="s">
        <v>41</v>
      </c>
      <c r="H10" s="323" t="s">
        <v>40</v>
      </c>
      <c r="I10" s="323" t="s">
        <v>460</v>
      </c>
      <c r="J10" s="73">
        <v>41275</v>
      </c>
      <c r="K10" s="133">
        <v>65</v>
      </c>
      <c r="M10" s="323" t="s">
        <v>277</v>
      </c>
      <c r="N10" s="323" t="s">
        <v>278</v>
      </c>
      <c r="O10" s="323" t="s">
        <v>237</v>
      </c>
      <c r="P10" s="133">
        <v>23</v>
      </c>
      <c r="Q10" s="133">
        <v>114</v>
      </c>
      <c r="U10" s="323" t="s">
        <v>275</v>
      </c>
    </row>
    <row r="11" spans="1:22" x14ac:dyDescent="0.25">
      <c r="A11" s="323" t="s">
        <v>5</v>
      </c>
      <c r="B11" s="323" t="s">
        <v>8</v>
      </c>
      <c r="G11" s="323" t="s">
        <v>43</v>
      </c>
      <c r="H11" s="323" t="s">
        <v>42</v>
      </c>
      <c r="I11" s="323" t="s">
        <v>460</v>
      </c>
      <c r="J11" s="73">
        <v>41275</v>
      </c>
      <c r="K11" s="133">
        <v>14</v>
      </c>
      <c r="M11" s="323" t="s">
        <v>259</v>
      </c>
      <c r="N11" s="323" t="s">
        <v>260</v>
      </c>
      <c r="O11" s="323" t="s">
        <v>237</v>
      </c>
      <c r="P11" s="133">
        <v>103</v>
      </c>
      <c r="Q11" s="133">
        <v>586</v>
      </c>
      <c r="U11" s="323" t="s">
        <v>277</v>
      </c>
    </row>
    <row r="12" spans="1:22" x14ac:dyDescent="0.25">
      <c r="A12" s="323" t="s">
        <v>5</v>
      </c>
      <c r="B12" s="323" t="s">
        <v>20</v>
      </c>
      <c r="G12" s="323" t="s">
        <v>39</v>
      </c>
      <c r="H12" s="323" t="s">
        <v>38</v>
      </c>
      <c r="I12" s="323" t="s">
        <v>776</v>
      </c>
      <c r="J12" s="323" t="s">
        <v>1224</v>
      </c>
      <c r="K12" s="133"/>
      <c r="M12" s="323" t="s">
        <v>279</v>
      </c>
      <c r="N12" s="323" t="s">
        <v>280</v>
      </c>
      <c r="O12" s="323" t="s">
        <v>237</v>
      </c>
      <c r="P12" s="133">
        <v>91</v>
      </c>
      <c r="Q12" s="133">
        <v>511</v>
      </c>
      <c r="U12" s="323" t="s">
        <v>259</v>
      </c>
    </row>
    <row r="13" spans="1:22" x14ac:dyDescent="0.25">
      <c r="A13" s="323" t="s">
        <v>5</v>
      </c>
      <c r="B13" s="323" t="s">
        <v>364</v>
      </c>
      <c r="G13" s="323" t="s">
        <v>1214</v>
      </c>
      <c r="H13" s="323" t="s">
        <v>1182</v>
      </c>
      <c r="I13" s="323" t="s">
        <v>776</v>
      </c>
      <c r="J13" s="323" t="s">
        <v>1224</v>
      </c>
      <c r="K13" s="133"/>
      <c r="M13" s="323" t="s">
        <v>244</v>
      </c>
      <c r="N13" s="323" t="s">
        <v>1533</v>
      </c>
      <c r="O13" s="323" t="s">
        <v>237</v>
      </c>
      <c r="P13" s="133">
        <v>42</v>
      </c>
      <c r="Q13" s="133">
        <v>184</v>
      </c>
      <c r="U13" s="323" t="s">
        <v>279</v>
      </c>
    </row>
    <row r="14" spans="1:22" x14ac:dyDescent="0.25">
      <c r="A14" s="323" t="s">
        <v>5</v>
      </c>
      <c r="B14" s="323" t="s">
        <v>22</v>
      </c>
      <c r="G14" s="323" t="s">
        <v>465</v>
      </c>
      <c r="H14" s="323" t="s">
        <v>375</v>
      </c>
      <c r="I14" s="323" t="s">
        <v>460</v>
      </c>
      <c r="J14" s="73">
        <v>40787</v>
      </c>
      <c r="K14" s="133">
        <v>12</v>
      </c>
      <c r="M14" s="323" t="s">
        <v>255</v>
      </c>
      <c r="N14" s="323" t="s">
        <v>256</v>
      </c>
      <c r="O14" s="323" t="s">
        <v>237</v>
      </c>
      <c r="P14" s="133">
        <v>44</v>
      </c>
      <c r="Q14" s="133">
        <v>197</v>
      </c>
      <c r="U14" s="323" t="s">
        <v>244</v>
      </c>
    </row>
    <row r="15" spans="1:22" x14ac:dyDescent="0.25">
      <c r="A15" s="323" t="s">
        <v>5</v>
      </c>
      <c r="B15" s="323" t="s">
        <v>823</v>
      </c>
      <c r="G15" s="323" t="s">
        <v>48</v>
      </c>
      <c r="H15" s="323" t="s">
        <v>47</v>
      </c>
      <c r="I15" s="323" t="s">
        <v>776</v>
      </c>
      <c r="J15" s="323" t="s">
        <v>1224</v>
      </c>
      <c r="K15" s="133"/>
      <c r="M15" s="323" t="s">
        <v>283</v>
      </c>
      <c r="N15" s="323" t="s">
        <v>284</v>
      </c>
      <c r="O15" s="323" t="s">
        <v>237</v>
      </c>
      <c r="P15" s="133">
        <v>138</v>
      </c>
      <c r="Q15" s="133">
        <v>703</v>
      </c>
      <c r="U15" s="323" t="s">
        <v>255</v>
      </c>
    </row>
    <row r="16" spans="1:22" x14ac:dyDescent="0.25">
      <c r="A16" s="323" t="s">
        <v>5</v>
      </c>
      <c r="B16" s="323" t="s">
        <v>24</v>
      </c>
      <c r="G16" s="323" t="s">
        <v>50</v>
      </c>
      <c r="H16" s="323" t="s">
        <v>49</v>
      </c>
      <c r="I16" s="323" t="s">
        <v>776</v>
      </c>
      <c r="J16" s="323" t="s">
        <v>1224</v>
      </c>
      <c r="K16" s="133"/>
      <c r="M16" s="323" t="s">
        <v>239</v>
      </c>
      <c r="N16" s="323" t="s">
        <v>240</v>
      </c>
      <c r="O16" s="323" t="s">
        <v>237</v>
      </c>
      <c r="P16" s="133">
        <v>102</v>
      </c>
      <c r="Q16" s="133">
        <v>546</v>
      </c>
      <c r="U16" s="323" t="s">
        <v>283</v>
      </c>
    </row>
    <row r="17" spans="1:21" x14ac:dyDescent="0.25">
      <c r="A17" s="323" t="s">
        <v>5</v>
      </c>
      <c r="B17" s="323" t="s">
        <v>796</v>
      </c>
      <c r="G17" s="323" t="s">
        <v>1198</v>
      </c>
      <c r="H17" s="323" t="s">
        <v>1186</v>
      </c>
      <c r="I17" s="323" t="s">
        <v>776</v>
      </c>
      <c r="J17" s="323" t="s">
        <v>1224</v>
      </c>
      <c r="K17" s="133"/>
      <c r="M17" s="323" t="s">
        <v>257</v>
      </c>
      <c r="N17" s="323" t="s">
        <v>258</v>
      </c>
      <c r="O17" s="323" t="s">
        <v>237</v>
      </c>
      <c r="P17" s="133">
        <v>61</v>
      </c>
      <c r="Q17" s="133">
        <v>302</v>
      </c>
      <c r="U17" s="323" t="s">
        <v>239</v>
      </c>
    </row>
    <row r="18" spans="1:21" x14ac:dyDescent="0.25">
      <c r="A18" s="323" t="s">
        <v>5</v>
      </c>
      <c r="B18" s="323" t="s">
        <v>26</v>
      </c>
      <c r="G18" s="323" t="s">
        <v>1199</v>
      </c>
      <c r="H18" s="323" t="s">
        <v>1187</v>
      </c>
      <c r="I18" s="323" t="s">
        <v>776</v>
      </c>
      <c r="J18" s="323" t="s">
        <v>1224</v>
      </c>
      <c r="K18" s="133"/>
      <c r="M18" s="323" t="s">
        <v>265</v>
      </c>
      <c r="N18" s="323" t="s">
        <v>266</v>
      </c>
      <c r="O18" s="323" t="s">
        <v>237</v>
      </c>
      <c r="P18" s="133"/>
      <c r="Q18" s="133"/>
      <c r="U18" s="323" t="s">
        <v>257</v>
      </c>
    </row>
    <row r="19" spans="1:21" x14ac:dyDescent="0.25">
      <c r="A19" s="323" t="s">
        <v>5</v>
      </c>
      <c r="B19" s="323" t="s">
        <v>879</v>
      </c>
      <c r="G19" s="323" t="s">
        <v>809</v>
      </c>
      <c r="H19" s="323" t="s">
        <v>807</v>
      </c>
      <c r="I19" s="323" t="s">
        <v>776</v>
      </c>
      <c r="J19" s="323" t="s">
        <v>1224</v>
      </c>
      <c r="K19" s="133">
        <v>0</v>
      </c>
      <c r="M19" s="323" t="s">
        <v>251</v>
      </c>
      <c r="N19" s="323" t="s">
        <v>252</v>
      </c>
      <c r="O19" s="323" t="s">
        <v>237</v>
      </c>
      <c r="P19" s="133">
        <v>199</v>
      </c>
      <c r="Q19" s="133">
        <v>1118</v>
      </c>
      <c r="U19" s="323" t="s">
        <v>265</v>
      </c>
    </row>
    <row r="20" spans="1:21" x14ac:dyDescent="0.25">
      <c r="A20" s="323" t="s">
        <v>27</v>
      </c>
      <c r="B20" s="323" t="s">
        <v>28</v>
      </c>
      <c r="G20" s="323" t="s">
        <v>804</v>
      </c>
      <c r="H20" s="323" t="s">
        <v>808</v>
      </c>
      <c r="I20" s="323" t="s">
        <v>776</v>
      </c>
      <c r="J20" s="323" t="s">
        <v>1224</v>
      </c>
      <c r="K20" s="133">
        <v>0</v>
      </c>
      <c r="M20" s="323" t="s">
        <v>253</v>
      </c>
      <c r="N20" s="323" t="s">
        <v>254</v>
      </c>
      <c r="O20" s="323" t="s">
        <v>237</v>
      </c>
      <c r="P20" s="133">
        <v>115</v>
      </c>
      <c r="Q20" s="133">
        <v>562</v>
      </c>
      <c r="U20" s="323" t="s">
        <v>251</v>
      </c>
    </row>
    <row r="21" spans="1:21" x14ac:dyDescent="0.25">
      <c r="A21" s="323" t="s">
        <v>27</v>
      </c>
      <c r="B21" s="323" t="s">
        <v>32</v>
      </c>
      <c r="G21" s="323" t="s">
        <v>805</v>
      </c>
      <c r="H21" s="323" t="s">
        <v>806</v>
      </c>
      <c r="I21" s="323" t="s">
        <v>776</v>
      </c>
      <c r="J21" s="323" t="s">
        <v>1224</v>
      </c>
      <c r="K21" s="133">
        <v>0</v>
      </c>
      <c r="M21" s="323" t="s">
        <v>261</v>
      </c>
      <c r="N21" s="323" t="s">
        <v>262</v>
      </c>
      <c r="O21" s="323" t="s">
        <v>237</v>
      </c>
      <c r="P21" s="133">
        <v>24</v>
      </c>
      <c r="Q21" s="133">
        <v>97</v>
      </c>
      <c r="U21" s="323" t="s">
        <v>253</v>
      </c>
    </row>
    <row r="22" spans="1:21" x14ac:dyDescent="0.25">
      <c r="A22" s="323" t="s">
        <v>27</v>
      </c>
      <c r="B22" s="323" t="s">
        <v>362</v>
      </c>
      <c r="G22" s="323" t="s">
        <v>52</v>
      </c>
      <c r="H22" s="323" t="s">
        <v>51</v>
      </c>
      <c r="I22" s="323" t="s">
        <v>460</v>
      </c>
      <c r="J22" s="73">
        <v>41275</v>
      </c>
      <c r="K22" s="133">
        <v>36</v>
      </c>
      <c r="M22" s="323" t="s">
        <v>263</v>
      </c>
      <c r="N22" s="323" t="s">
        <v>264</v>
      </c>
      <c r="O22" s="323" t="s">
        <v>237</v>
      </c>
      <c r="P22" s="133">
        <v>14</v>
      </c>
      <c r="Q22" s="133">
        <v>76</v>
      </c>
      <c r="U22" s="323" t="s">
        <v>261</v>
      </c>
    </row>
    <row r="23" spans="1:21" x14ac:dyDescent="0.25">
      <c r="A23" s="323" t="s">
        <v>27</v>
      </c>
      <c r="B23" s="323" t="s">
        <v>34</v>
      </c>
      <c r="G23" s="323" t="s">
        <v>58</v>
      </c>
      <c r="H23" s="323" t="s">
        <v>57</v>
      </c>
      <c r="I23" s="323" t="s">
        <v>776</v>
      </c>
      <c r="J23" s="323" t="s">
        <v>1224</v>
      </c>
      <c r="K23" s="133"/>
      <c r="M23" s="323" t="s">
        <v>281</v>
      </c>
      <c r="N23" s="323" t="s">
        <v>282</v>
      </c>
      <c r="O23" s="323" t="s">
        <v>237</v>
      </c>
      <c r="P23" s="133">
        <v>7</v>
      </c>
      <c r="Q23" s="133">
        <v>37</v>
      </c>
      <c r="U23" s="323" t="s">
        <v>263</v>
      </c>
    </row>
    <row r="24" spans="1:21" x14ac:dyDescent="0.25">
      <c r="A24" s="323" t="s">
        <v>27</v>
      </c>
      <c r="B24" s="323" t="s">
        <v>363</v>
      </c>
      <c r="G24" s="323" t="s">
        <v>60</v>
      </c>
      <c r="H24" s="323" t="s">
        <v>59</v>
      </c>
      <c r="I24" s="323" t="s">
        <v>776</v>
      </c>
      <c r="J24" s="73">
        <v>41275</v>
      </c>
      <c r="K24" s="133"/>
      <c r="M24" s="323" t="s">
        <v>241</v>
      </c>
      <c r="N24" s="323" t="s">
        <v>1033</v>
      </c>
      <c r="O24" s="323" t="s">
        <v>237</v>
      </c>
      <c r="P24" s="133">
        <v>54</v>
      </c>
      <c r="Q24" s="133">
        <v>267</v>
      </c>
      <c r="U24" s="323" t="s">
        <v>281</v>
      </c>
    </row>
    <row r="25" spans="1:21" x14ac:dyDescent="0.25">
      <c r="A25" s="323" t="s">
        <v>27</v>
      </c>
      <c r="B25" s="323" t="s">
        <v>791</v>
      </c>
      <c r="G25" s="323" t="s">
        <v>356</v>
      </c>
      <c r="H25" s="323" t="s">
        <v>355</v>
      </c>
      <c r="I25" s="323" t="s">
        <v>776</v>
      </c>
      <c r="J25" s="323" t="s">
        <v>1224</v>
      </c>
      <c r="K25" s="133">
        <v>0</v>
      </c>
      <c r="M25" s="323" t="s">
        <v>269</v>
      </c>
      <c r="N25" s="323" t="s">
        <v>270</v>
      </c>
      <c r="O25" s="323" t="s">
        <v>237</v>
      </c>
      <c r="P25" s="133">
        <v>58</v>
      </c>
      <c r="Q25" s="133">
        <v>308</v>
      </c>
      <c r="U25" s="323" t="s">
        <v>241</v>
      </c>
    </row>
    <row r="26" spans="1:21" x14ac:dyDescent="0.25">
      <c r="A26" s="323" t="s">
        <v>27</v>
      </c>
      <c r="B26" s="323" t="s">
        <v>37</v>
      </c>
      <c r="G26" s="323" t="s">
        <v>333</v>
      </c>
      <c r="H26" s="323" t="s">
        <v>332</v>
      </c>
      <c r="I26" s="323" t="s">
        <v>460</v>
      </c>
      <c r="J26" s="73">
        <v>40848</v>
      </c>
      <c r="K26" s="133">
        <v>125</v>
      </c>
      <c r="M26" s="323" t="s">
        <v>339</v>
      </c>
      <c r="N26" s="323" t="s">
        <v>340</v>
      </c>
      <c r="O26" s="323" t="s">
        <v>309</v>
      </c>
      <c r="P26" s="133">
        <v>63</v>
      </c>
      <c r="Q26" s="133">
        <v>321</v>
      </c>
      <c r="U26" s="323" t="s">
        <v>269</v>
      </c>
    </row>
    <row r="27" spans="1:21" x14ac:dyDescent="0.25">
      <c r="A27" s="323" t="s">
        <v>27</v>
      </c>
      <c r="B27" s="323" t="s">
        <v>877</v>
      </c>
      <c r="G27" s="323" t="s">
        <v>188</v>
      </c>
      <c r="H27" s="323" t="s">
        <v>187</v>
      </c>
      <c r="I27" s="323" t="s">
        <v>460</v>
      </c>
      <c r="J27" s="73">
        <v>40817</v>
      </c>
      <c r="K27" s="133">
        <v>365</v>
      </c>
      <c r="M27" s="323" t="s">
        <v>348</v>
      </c>
      <c r="N27" s="323" t="s">
        <v>349</v>
      </c>
      <c r="O27" s="323" t="s">
        <v>309</v>
      </c>
      <c r="P27" s="133">
        <v>92</v>
      </c>
      <c r="Q27" s="133">
        <v>499</v>
      </c>
      <c r="U27" s="323" t="s">
        <v>339</v>
      </c>
    </row>
    <row r="28" spans="1:21" x14ac:dyDescent="0.25">
      <c r="A28" s="323" t="s">
        <v>480</v>
      </c>
      <c r="B28" s="323" t="s">
        <v>128</v>
      </c>
      <c r="G28" s="323" t="s">
        <v>890</v>
      </c>
      <c r="H28" s="323" t="s">
        <v>891</v>
      </c>
      <c r="I28" s="323" t="s">
        <v>776</v>
      </c>
      <c r="J28" s="73">
        <v>40817</v>
      </c>
      <c r="K28" s="133"/>
      <c r="M28" s="323" t="s">
        <v>318</v>
      </c>
      <c r="N28" s="323" t="s">
        <v>319</v>
      </c>
      <c r="O28" s="323" t="s">
        <v>309</v>
      </c>
      <c r="P28" s="133">
        <v>30</v>
      </c>
      <c r="Q28" s="133">
        <v>176</v>
      </c>
      <c r="U28" s="323" t="s">
        <v>348</v>
      </c>
    </row>
    <row r="29" spans="1:21" x14ac:dyDescent="0.25">
      <c r="A29" s="323" t="s">
        <v>480</v>
      </c>
      <c r="B29" s="323" t="s">
        <v>62</v>
      </c>
      <c r="G29" s="323" t="s">
        <v>72</v>
      </c>
      <c r="H29" s="323" t="s">
        <v>71</v>
      </c>
      <c r="I29" s="323" t="s">
        <v>460</v>
      </c>
      <c r="J29" s="73">
        <v>41487</v>
      </c>
      <c r="K29" s="133">
        <v>5</v>
      </c>
      <c r="M29" s="323" t="s">
        <v>311</v>
      </c>
      <c r="N29" s="323" t="s">
        <v>312</v>
      </c>
      <c r="O29" s="323" t="s">
        <v>309</v>
      </c>
      <c r="P29" s="133">
        <v>103</v>
      </c>
      <c r="Q29" s="133">
        <v>504</v>
      </c>
      <c r="U29" s="323" t="s">
        <v>318</v>
      </c>
    </row>
    <row r="30" spans="1:21" x14ac:dyDescent="0.25">
      <c r="A30" s="323" t="s">
        <v>480</v>
      </c>
      <c r="B30" s="323" t="s">
        <v>120</v>
      </c>
      <c r="G30" s="323" t="s">
        <v>70</v>
      </c>
      <c r="H30" s="323" t="s">
        <v>69</v>
      </c>
      <c r="I30" s="323" t="s">
        <v>776</v>
      </c>
      <c r="J30" s="323" t="s">
        <v>1224</v>
      </c>
      <c r="K30" s="133"/>
      <c r="M30" s="323" t="s">
        <v>328</v>
      </c>
      <c r="N30" s="323" t="s">
        <v>329</v>
      </c>
      <c r="O30" s="323" t="s">
        <v>309</v>
      </c>
      <c r="P30" s="133">
        <v>284</v>
      </c>
      <c r="Q30" s="133">
        <v>1499</v>
      </c>
      <c r="U30" s="323" t="s">
        <v>311</v>
      </c>
    </row>
    <row r="31" spans="1:21" x14ac:dyDescent="0.25">
      <c r="A31" s="323" t="s">
        <v>480</v>
      </c>
      <c r="B31" s="323" t="s">
        <v>41</v>
      </c>
      <c r="G31" s="323" t="s">
        <v>28</v>
      </c>
      <c r="H31" s="323" t="s">
        <v>30</v>
      </c>
      <c r="I31" s="323" t="s">
        <v>460</v>
      </c>
      <c r="J31" s="73">
        <v>41244</v>
      </c>
      <c r="K31" s="133">
        <v>107</v>
      </c>
      <c r="M31" s="323" t="s">
        <v>336</v>
      </c>
      <c r="N31" s="323" t="s">
        <v>337</v>
      </c>
      <c r="O31" s="323" t="s">
        <v>309</v>
      </c>
      <c r="P31" s="133">
        <v>29</v>
      </c>
      <c r="Q31" s="133">
        <v>160</v>
      </c>
      <c r="U31" s="323" t="s">
        <v>328</v>
      </c>
    </row>
    <row r="32" spans="1:21" x14ac:dyDescent="0.25">
      <c r="A32" s="323" t="s">
        <v>480</v>
      </c>
      <c r="B32" s="323" t="s">
        <v>43</v>
      </c>
      <c r="G32" s="323" t="s">
        <v>10</v>
      </c>
      <c r="H32" s="323" t="s">
        <v>9</v>
      </c>
      <c r="I32" s="323" t="s">
        <v>776</v>
      </c>
      <c r="J32" s="323" t="s">
        <v>1224</v>
      </c>
      <c r="K32" s="133">
        <v>0</v>
      </c>
      <c r="M32" s="323" t="s">
        <v>326</v>
      </c>
      <c r="N32" s="323" t="s">
        <v>327</v>
      </c>
      <c r="O32" s="323" t="s">
        <v>309</v>
      </c>
      <c r="P32" s="133">
        <v>339</v>
      </c>
      <c r="Q32" s="133">
        <v>1975</v>
      </c>
      <c r="U32" s="323" t="s">
        <v>336</v>
      </c>
    </row>
    <row r="33" spans="1:21" x14ac:dyDescent="0.25">
      <c r="A33" s="323" t="s">
        <v>480</v>
      </c>
      <c r="B33" s="323" t="s">
        <v>39</v>
      </c>
      <c r="G33" s="323" t="s">
        <v>1082</v>
      </c>
      <c r="H33" s="323" t="s">
        <v>1083</v>
      </c>
      <c r="I33" s="323" t="s">
        <v>776</v>
      </c>
      <c r="J33" s="323" t="s">
        <v>1224</v>
      </c>
      <c r="K33" s="133"/>
      <c r="M33" s="323" t="s">
        <v>316</v>
      </c>
      <c r="N33" s="323" t="s">
        <v>317</v>
      </c>
      <c r="O33" s="323" t="s">
        <v>309</v>
      </c>
      <c r="P33" s="133">
        <v>117</v>
      </c>
      <c r="Q33" s="133">
        <v>459</v>
      </c>
      <c r="U33" s="323" t="s">
        <v>326</v>
      </c>
    </row>
    <row r="34" spans="1:21" x14ac:dyDescent="0.25">
      <c r="A34" s="323" t="s">
        <v>480</v>
      </c>
      <c r="B34" s="323" t="s">
        <v>48</v>
      </c>
      <c r="G34" s="323" t="s">
        <v>76</v>
      </c>
      <c r="H34" s="323" t="s">
        <v>75</v>
      </c>
      <c r="I34" s="323" t="s">
        <v>460</v>
      </c>
      <c r="J34" s="73">
        <v>41275</v>
      </c>
      <c r="K34" s="133">
        <v>70</v>
      </c>
      <c r="M34" s="323" t="s">
        <v>341</v>
      </c>
      <c r="N34" s="323" t="s">
        <v>342</v>
      </c>
      <c r="O34" s="323" t="s">
        <v>309</v>
      </c>
      <c r="P34" s="133">
        <v>20</v>
      </c>
      <c r="Q34" s="133">
        <v>86</v>
      </c>
      <c r="U34" s="323" t="s">
        <v>316</v>
      </c>
    </row>
    <row r="35" spans="1:21" x14ac:dyDescent="0.25">
      <c r="A35" s="323" t="s">
        <v>480</v>
      </c>
      <c r="B35" s="323" t="s">
        <v>50</v>
      </c>
      <c r="G35" s="323" t="s">
        <v>1533</v>
      </c>
      <c r="H35" s="323" t="s">
        <v>244</v>
      </c>
      <c r="I35" s="323" t="s">
        <v>460</v>
      </c>
      <c r="J35" s="73">
        <v>40695</v>
      </c>
      <c r="K35" s="133">
        <v>42</v>
      </c>
      <c r="M35" s="323" t="s">
        <v>358</v>
      </c>
      <c r="N35" s="323" t="s">
        <v>1036</v>
      </c>
      <c r="O35" s="323" t="s">
        <v>309</v>
      </c>
      <c r="P35" s="133"/>
      <c r="Q35" s="133"/>
      <c r="U35" s="323" t="s">
        <v>341</v>
      </c>
    </row>
    <row r="36" spans="1:21" x14ac:dyDescent="0.25">
      <c r="A36" s="323" t="s">
        <v>480</v>
      </c>
      <c r="B36" s="323" t="s">
        <v>52</v>
      </c>
      <c r="G36" s="323" t="s">
        <v>192</v>
      </c>
      <c r="H36" s="323" t="s">
        <v>191</v>
      </c>
      <c r="I36" s="323" t="s">
        <v>460</v>
      </c>
      <c r="J36" s="73">
        <v>40756</v>
      </c>
      <c r="K36" s="133">
        <v>93</v>
      </c>
      <c r="M36" s="323" t="s">
        <v>357</v>
      </c>
      <c r="N36" s="323" t="s">
        <v>1035</v>
      </c>
      <c r="O36" s="323" t="s">
        <v>309</v>
      </c>
      <c r="P36" s="133"/>
      <c r="Q36" s="133"/>
      <c r="U36" s="323" t="s">
        <v>358</v>
      </c>
    </row>
    <row r="37" spans="1:21" x14ac:dyDescent="0.25">
      <c r="A37" s="323" t="s">
        <v>480</v>
      </c>
      <c r="B37" s="323" t="s">
        <v>58</v>
      </c>
      <c r="G37" s="323" t="s">
        <v>78</v>
      </c>
      <c r="H37" s="323" t="s">
        <v>77</v>
      </c>
      <c r="I37" s="323" t="s">
        <v>776</v>
      </c>
      <c r="J37" s="323" t="s">
        <v>1224</v>
      </c>
      <c r="K37" s="133"/>
      <c r="M37" s="323" t="s">
        <v>308</v>
      </c>
      <c r="N37" s="323" t="s">
        <v>310</v>
      </c>
      <c r="O37" s="323" t="s">
        <v>309</v>
      </c>
      <c r="P37" s="133"/>
      <c r="Q37" s="133"/>
      <c r="U37" s="323" t="s">
        <v>357</v>
      </c>
    </row>
    <row r="38" spans="1:21" x14ac:dyDescent="0.25">
      <c r="A38" s="323" t="s">
        <v>480</v>
      </c>
      <c r="B38" s="323" t="s">
        <v>60</v>
      </c>
      <c r="G38" s="323" t="s">
        <v>82</v>
      </c>
      <c r="H38" s="323" t="s">
        <v>81</v>
      </c>
      <c r="I38" s="323" t="s">
        <v>776</v>
      </c>
      <c r="J38" s="323" t="s">
        <v>1224</v>
      </c>
      <c r="K38" s="133"/>
      <c r="M38" s="323" t="s">
        <v>346</v>
      </c>
      <c r="N38" s="323" t="s">
        <v>347</v>
      </c>
      <c r="O38" s="323" t="s">
        <v>309</v>
      </c>
      <c r="P38" s="133">
        <v>46</v>
      </c>
      <c r="Q38" s="133">
        <v>192</v>
      </c>
      <c r="U38" s="323" t="s">
        <v>308</v>
      </c>
    </row>
    <row r="39" spans="1:21" x14ac:dyDescent="0.25">
      <c r="A39" s="323" t="s">
        <v>480</v>
      </c>
      <c r="B39" s="323" t="s">
        <v>72</v>
      </c>
      <c r="G39" s="323" t="s">
        <v>838</v>
      </c>
      <c r="H39" s="323" t="s">
        <v>839</v>
      </c>
      <c r="I39" s="323" t="s">
        <v>776</v>
      </c>
      <c r="J39" s="323" t="s">
        <v>1224</v>
      </c>
      <c r="K39" s="133">
        <v>0</v>
      </c>
      <c r="M39" s="323" t="s">
        <v>314</v>
      </c>
      <c r="N39" s="323" t="s">
        <v>315</v>
      </c>
      <c r="O39" s="323" t="s">
        <v>309</v>
      </c>
      <c r="P39" s="133">
        <v>69</v>
      </c>
      <c r="Q39" s="133">
        <v>290</v>
      </c>
      <c r="U39" s="323" t="s">
        <v>346</v>
      </c>
    </row>
    <row r="40" spans="1:21" x14ac:dyDescent="0.25">
      <c r="A40" s="323" t="s">
        <v>480</v>
      </c>
      <c r="B40" s="323" t="s">
        <v>70</v>
      </c>
      <c r="G40" s="323" t="s">
        <v>840</v>
      </c>
      <c r="H40" s="323" t="s">
        <v>841</v>
      </c>
      <c r="I40" s="323" t="s">
        <v>776</v>
      </c>
      <c r="J40" s="323" t="s">
        <v>1224</v>
      </c>
      <c r="K40" s="133">
        <v>0</v>
      </c>
      <c r="M40" s="323" t="s">
        <v>324</v>
      </c>
      <c r="N40" s="323" t="s">
        <v>325</v>
      </c>
      <c r="O40" s="323" t="s">
        <v>309</v>
      </c>
      <c r="P40" s="133">
        <v>47</v>
      </c>
      <c r="Q40" s="133">
        <v>208</v>
      </c>
      <c r="U40" s="323" t="s">
        <v>314</v>
      </c>
    </row>
    <row r="41" spans="1:21" x14ac:dyDescent="0.25">
      <c r="A41" s="323" t="s">
        <v>480</v>
      </c>
      <c r="B41" s="323" t="s">
        <v>76</v>
      </c>
      <c r="G41" s="323" t="s">
        <v>32</v>
      </c>
      <c r="H41" s="323" t="s">
        <v>31</v>
      </c>
      <c r="I41" s="323" t="s">
        <v>776</v>
      </c>
      <c r="J41" s="323" t="s">
        <v>1224</v>
      </c>
      <c r="K41" s="133"/>
      <c r="M41" s="323" t="s">
        <v>322</v>
      </c>
      <c r="N41" s="323" t="s">
        <v>323</v>
      </c>
      <c r="O41" s="323" t="s">
        <v>309</v>
      </c>
      <c r="P41" s="133">
        <v>510</v>
      </c>
      <c r="Q41" s="133">
        <v>2680</v>
      </c>
      <c r="U41" s="323" t="s">
        <v>324</v>
      </c>
    </row>
    <row r="42" spans="1:21" x14ac:dyDescent="0.25">
      <c r="A42" s="323" t="s">
        <v>480</v>
      </c>
      <c r="B42" s="323" t="s">
        <v>78</v>
      </c>
      <c r="G42" s="323" t="s">
        <v>1197</v>
      </c>
      <c r="H42" s="323" t="s">
        <v>1185</v>
      </c>
      <c r="I42" s="323" t="s">
        <v>776</v>
      </c>
      <c r="J42" s="323" t="s">
        <v>1224</v>
      </c>
      <c r="K42" s="133"/>
      <c r="M42" s="323" t="s">
        <v>344</v>
      </c>
      <c r="N42" s="323" t="s">
        <v>345</v>
      </c>
      <c r="O42" s="323" t="s">
        <v>309</v>
      </c>
      <c r="P42" s="133">
        <v>181</v>
      </c>
      <c r="Q42" s="133">
        <v>1001</v>
      </c>
      <c r="U42" s="323" t="s">
        <v>322</v>
      </c>
    </row>
    <row r="43" spans="1:21" x14ac:dyDescent="0.25">
      <c r="A43" s="323" t="s">
        <v>480</v>
      </c>
      <c r="B43" s="323" t="s">
        <v>82</v>
      </c>
      <c r="G43" s="323" t="s">
        <v>1262</v>
      </c>
      <c r="H43" s="323" t="s">
        <v>1259</v>
      </c>
      <c r="I43" s="323" t="s">
        <v>460</v>
      </c>
      <c r="J43" s="323" t="s">
        <v>1224</v>
      </c>
      <c r="K43" s="133">
        <v>62</v>
      </c>
      <c r="M43" s="323" t="s">
        <v>30</v>
      </c>
      <c r="N43" s="323" t="s">
        <v>28</v>
      </c>
      <c r="O43" s="323" t="s">
        <v>27</v>
      </c>
      <c r="P43" s="133">
        <v>107</v>
      </c>
      <c r="Q43" s="133">
        <v>559</v>
      </c>
      <c r="U43" s="323" t="s">
        <v>344</v>
      </c>
    </row>
    <row r="44" spans="1:21" x14ac:dyDescent="0.25">
      <c r="A44" s="323" t="s">
        <v>480</v>
      </c>
      <c r="B44" s="323" t="s">
        <v>88</v>
      </c>
      <c r="G44" s="323" t="s">
        <v>312</v>
      </c>
      <c r="H44" s="323" t="s">
        <v>311</v>
      </c>
      <c r="I44" s="323" t="s">
        <v>460</v>
      </c>
      <c r="J44" s="73">
        <v>40695</v>
      </c>
      <c r="K44" s="133">
        <v>103</v>
      </c>
      <c r="M44" s="323" t="s">
        <v>29</v>
      </c>
      <c r="N44" s="323" t="s">
        <v>362</v>
      </c>
      <c r="O44" s="323" t="s">
        <v>27</v>
      </c>
      <c r="P44" s="133">
        <v>160</v>
      </c>
      <c r="Q44" s="133">
        <v>830</v>
      </c>
      <c r="U44" s="323" t="s">
        <v>30</v>
      </c>
    </row>
    <row r="45" spans="1:21" x14ac:dyDescent="0.25">
      <c r="A45" s="323" t="s">
        <v>480</v>
      </c>
      <c r="B45" s="323" t="s">
        <v>44</v>
      </c>
      <c r="G45" s="323" t="s">
        <v>335</v>
      </c>
      <c r="H45" s="323" t="s">
        <v>334</v>
      </c>
      <c r="I45" s="323" t="s">
        <v>460</v>
      </c>
      <c r="J45" s="73">
        <v>40878</v>
      </c>
      <c r="K45" s="133">
        <v>154</v>
      </c>
      <c r="M45" s="323" t="s">
        <v>36</v>
      </c>
      <c r="N45" s="323" t="s">
        <v>37</v>
      </c>
      <c r="O45" s="323" t="s">
        <v>27</v>
      </c>
      <c r="P45" s="133"/>
      <c r="Q45" s="133"/>
      <c r="U45" s="323" t="s">
        <v>29</v>
      </c>
    </row>
    <row r="46" spans="1:21" x14ac:dyDescent="0.25">
      <c r="A46" s="323" t="s">
        <v>480</v>
      </c>
      <c r="B46" s="323" t="s">
        <v>56</v>
      </c>
      <c r="G46" s="323" t="s">
        <v>88</v>
      </c>
      <c r="H46" s="323" t="s">
        <v>87</v>
      </c>
      <c r="I46" s="323" t="s">
        <v>460</v>
      </c>
      <c r="J46" s="73">
        <v>41183</v>
      </c>
      <c r="K46" s="133">
        <v>13</v>
      </c>
      <c r="M46" s="323" t="s">
        <v>33</v>
      </c>
      <c r="N46" s="323" t="s">
        <v>34</v>
      </c>
      <c r="O46" s="323" t="s">
        <v>27</v>
      </c>
      <c r="P46" s="133"/>
      <c r="Q46" s="133"/>
      <c r="U46" s="323" t="s">
        <v>36</v>
      </c>
    </row>
    <row r="47" spans="1:21" x14ac:dyDescent="0.25">
      <c r="A47" s="323" t="s">
        <v>480</v>
      </c>
      <c r="B47" s="323" t="s">
        <v>90</v>
      </c>
      <c r="G47" s="323" t="s">
        <v>44</v>
      </c>
      <c r="H47" s="323" t="s">
        <v>45</v>
      </c>
      <c r="I47" s="323" t="s">
        <v>460</v>
      </c>
      <c r="J47" s="73">
        <v>41122</v>
      </c>
      <c r="K47" s="133">
        <v>4</v>
      </c>
      <c r="M47" s="323" t="s">
        <v>31</v>
      </c>
      <c r="N47" s="323" t="s">
        <v>32</v>
      </c>
      <c r="O47" s="323" t="s">
        <v>27</v>
      </c>
      <c r="P47" s="133"/>
      <c r="Q47" s="133"/>
      <c r="U47" s="323" t="s">
        <v>33</v>
      </c>
    </row>
    <row r="48" spans="1:21" x14ac:dyDescent="0.25">
      <c r="A48" s="323" t="s">
        <v>480</v>
      </c>
      <c r="B48" s="323" t="s">
        <v>92</v>
      </c>
      <c r="G48" s="323" t="s">
        <v>56</v>
      </c>
      <c r="H48" s="323" t="s">
        <v>55</v>
      </c>
      <c r="I48" s="323" t="s">
        <v>776</v>
      </c>
      <c r="J48" s="323" t="s">
        <v>1224</v>
      </c>
      <c r="K48" s="133">
        <v>0</v>
      </c>
      <c r="M48" s="323" t="s">
        <v>21</v>
      </c>
      <c r="N48" s="323" t="s">
        <v>22</v>
      </c>
      <c r="O48" s="323" t="s">
        <v>5</v>
      </c>
      <c r="P48" s="133">
        <v>641</v>
      </c>
      <c r="Q48" s="133">
        <v>4010</v>
      </c>
      <c r="U48" s="323" t="s">
        <v>31</v>
      </c>
    </row>
    <row r="49" spans="1:21" x14ac:dyDescent="0.25">
      <c r="A49" s="323" t="s">
        <v>480</v>
      </c>
      <c r="B49" s="323" t="s">
        <v>94</v>
      </c>
      <c r="G49" s="323" t="s">
        <v>986</v>
      </c>
      <c r="H49" s="323" t="s">
        <v>988</v>
      </c>
      <c r="I49" s="323" t="s">
        <v>460</v>
      </c>
      <c r="J49" s="73">
        <v>41275</v>
      </c>
      <c r="K49" s="133">
        <v>27</v>
      </c>
      <c r="M49" s="323" t="s">
        <v>15</v>
      </c>
      <c r="N49" s="323" t="s">
        <v>16</v>
      </c>
      <c r="O49" s="323" t="s">
        <v>5</v>
      </c>
      <c r="P49" s="133"/>
      <c r="Q49" s="133"/>
      <c r="U49" s="323" t="s">
        <v>21</v>
      </c>
    </row>
    <row r="50" spans="1:21" x14ac:dyDescent="0.25">
      <c r="A50" s="323" t="s">
        <v>480</v>
      </c>
      <c r="B50" s="323" t="s">
        <v>54</v>
      </c>
      <c r="G50" s="323" t="s">
        <v>12</v>
      </c>
      <c r="H50" s="323" t="s">
        <v>11</v>
      </c>
      <c r="I50" s="323" t="s">
        <v>460</v>
      </c>
      <c r="J50" s="323" t="s">
        <v>1224</v>
      </c>
      <c r="K50" s="133">
        <v>190</v>
      </c>
      <c r="M50" s="323" t="s">
        <v>17</v>
      </c>
      <c r="N50" s="323" t="s">
        <v>18</v>
      </c>
      <c r="O50" s="323" t="s">
        <v>5</v>
      </c>
      <c r="P50" s="133">
        <v>129</v>
      </c>
      <c r="Q50" s="133">
        <v>742</v>
      </c>
      <c r="U50" s="323" t="s">
        <v>15</v>
      </c>
    </row>
    <row r="51" spans="1:21" x14ac:dyDescent="0.25">
      <c r="A51" s="323" t="s">
        <v>480</v>
      </c>
      <c r="B51" s="323" t="s">
        <v>66</v>
      </c>
      <c r="G51" s="323" t="s">
        <v>12</v>
      </c>
      <c r="H51" s="323" t="s">
        <v>388</v>
      </c>
      <c r="I51" s="323" t="s">
        <v>460</v>
      </c>
      <c r="J51" s="323" t="s">
        <v>1224</v>
      </c>
      <c r="K51" s="133">
        <v>80</v>
      </c>
      <c r="M51" s="323" t="s">
        <v>4</v>
      </c>
      <c r="N51" s="323" t="s">
        <v>6</v>
      </c>
      <c r="O51" s="323" t="s">
        <v>5</v>
      </c>
      <c r="P51" s="133">
        <v>257</v>
      </c>
      <c r="Q51" s="133">
        <v>1278</v>
      </c>
      <c r="U51" s="323" t="s">
        <v>17</v>
      </c>
    </row>
    <row r="52" spans="1:21" x14ac:dyDescent="0.25">
      <c r="A52" s="323" t="s">
        <v>480</v>
      </c>
      <c r="B52" s="323" t="s">
        <v>80</v>
      </c>
      <c r="G52" s="323" t="s">
        <v>12</v>
      </c>
      <c r="H52" s="323" t="s">
        <v>389</v>
      </c>
      <c r="I52" s="323" t="s">
        <v>460</v>
      </c>
      <c r="J52" s="323" t="s">
        <v>1224</v>
      </c>
      <c r="K52" s="133">
        <v>223</v>
      </c>
      <c r="M52" s="323" t="s">
        <v>7</v>
      </c>
      <c r="N52" s="323" t="s">
        <v>8</v>
      </c>
      <c r="O52" s="323" t="s">
        <v>5</v>
      </c>
      <c r="P52" s="133">
        <v>14</v>
      </c>
      <c r="Q52" s="133">
        <v>59</v>
      </c>
      <c r="U52" s="323" t="s">
        <v>4</v>
      </c>
    </row>
    <row r="53" spans="1:21" x14ac:dyDescent="0.25">
      <c r="A53" s="323" t="s">
        <v>480</v>
      </c>
      <c r="B53" s="323" t="s">
        <v>102</v>
      </c>
      <c r="G53" s="323" t="s">
        <v>12</v>
      </c>
      <c r="H53" s="323" t="s">
        <v>391</v>
      </c>
      <c r="I53" s="323" t="s">
        <v>776</v>
      </c>
      <c r="J53" s="323" t="s">
        <v>1224</v>
      </c>
      <c r="K53" s="133"/>
      <c r="M53" s="323" t="s">
        <v>13</v>
      </c>
      <c r="N53" s="323" t="s">
        <v>14</v>
      </c>
      <c r="O53" s="323" t="s">
        <v>5</v>
      </c>
      <c r="P53" s="133">
        <v>41</v>
      </c>
      <c r="Q53" s="133">
        <v>227</v>
      </c>
      <c r="U53" s="323" t="s">
        <v>7</v>
      </c>
    </row>
    <row r="54" spans="1:21" x14ac:dyDescent="0.25">
      <c r="A54" s="323" t="s">
        <v>480</v>
      </c>
      <c r="B54" s="323" t="s">
        <v>106</v>
      </c>
      <c r="G54" s="323" t="s">
        <v>169</v>
      </c>
      <c r="H54" s="323" t="s">
        <v>168</v>
      </c>
      <c r="I54" s="323" t="s">
        <v>776</v>
      </c>
      <c r="J54" s="323" t="s">
        <v>1224</v>
      </c>
      <c r="K54" s="133"/>
      <c r="M54" s="323" t="s">
        <v>25</v>
      </c>
      <c r="N54" s="323" t="s">
        <v>26</v>
      </c>
      <c r="O54" s="323" t="s">
        <v>5</v>
      </c>
      <c r="P54" s="133">
        <v>14</v>
      </c>
      <c r="Q54" s="133">
        <v>77</v>
      </c>
      <c r="U54" s="323" t="s">
        <v>13</v>
      </c>
    </row>
    <row r="55" spans="1:21" x14ac:dyDescent="0.25">
      <c r="A55" s="323" t="s">
        <v>480</v>
      </c>
      <c r="B55" s="323" t="s">
        <v>116</v>
      </c>
      <c r="G55" s="323" t="s">
        <v>716</v>
      </c>
      <c r="H55" s="323" t="s">
        <v>1250</v>
      </c>
      <c r="I55" s="323" t="s">
        <v>460</v>
      </c>
      <c r="J55" s="323" t="s">
        <v>1224</v>
      </c>
      <c r="K55" s="133">
        <v>152</v>
      </c>
      <c r="M55" s="323" t="s">
        <v>19</v>
      </c>
      <c r="N55" s="323" t="s">
        <v>20</v>
      </c>
      <c r="O55" s="323" t="s">
        <v>5</v>
      </c>
      <c r="P55" s="133">
        <v>21</v>
      </c>
      <c r="Q55" s="133">
        <v>112</v>
      </c>
      <c r="U55" s="323" t="s">
        <v>25</v>
      </c>
    </row>
    <row r="56" spans="1:21" x14ac:dyDescent="0.25">
      <c r="A56" s="323" t="s">
        <v>480</v>
      </c>
      <c r="B56" s="323" t="s">
        <v>130</v>
      </c>
      <c r="G56" s="323" t="s">
        <v>231</v>
      </c>
      <c r="H56" s="323" t="s">
        <v>386</v>
      </c>
      <c r="I56" s="323" t="s">
        <v>460</v>
      </c>
      <c r="J56" s="323" t="s">
        <v>1224</v>
      </c>
      <c r="K56" s="133">
        <v>32</v>
      </c>
      <c r="M56" s="323" t="s">
        <v>23</v>
      </c>
      <c r="N56" s="323" t="s">
        <v>24</v>
      </c>
      <c r="O56" s="323" t="s">
        <v>5</v>
      </c>
      <c r="P56" s="133">
        <v>20</v>
      </c>
      <c r="Q56" s="133">
        <v>95</v>
      </c>
      <c r="U56" s="323" t="s">
        <v>19</v>
      </c>
    </row>
    <row r="57" spans="1:21" x14ac:dyDescent="0.25">
      <c r="A57" s="323" t="s">
        <v>480</v>
      </c>
      <c r="B57" s="323" t="s">
        <v>138</v>
      </c>
      <c r="G57" s="323" t="s">
        <v>917</v>
      </c>
      <c r="H57" s="323" t="s">
        <v>918</v>
      </c>
      <c r="I57" s="323" t="s">
        <v>460</v>
      </c>
      <c r="J57" s="73">
        <v>41122</v>
      </c>
      <c r="K57" s="133">
        <v>104</v>
      </c>
      <c r="M57" s="323" t="s">
        <v>208</v>
      </c>
      <c r="N57" s="323" t="s">
        <v>209</v>
      </c>
      <c r="O57" s="323" t="s">
        <v>185</v>
      </c>
      <c r="P57" s="133">
        <v>415</v>
      </c>
      <c r="Q57" s="133">
        <v>1898</v>
      </c>
      <c r="U57" s="323" t="s">
        <v>23</v>
      </c>
    </row>
    <row r="58" spans="1:21" x14ac:dyDescent="0.25">
      <c r="A58" s="323" t="s">
        <v>480</v>
      </c>
      <c r="B58" s="323" t="s">
        <v>136</v>
      </c>
      <c r="G58" s="323" t="s">
        <v>362</v>
      </c>
      <c r="H58" s="323" t="s">
        <v>29</v>
      </c>
      <c r="I58" s="323" t="s">
        <v>460</v>
      </c>
      <c r="J58" s="73">
        <v>41030</v>
      </c>
      <c r="K58" s="133">
        <v>160</v>
      </c>
      <c r="M58" s="323" t="s">
        <v>210</v>
      </c>
      <c r="N58" s="323" t="s">
        <v>211</v>
      </c>
      <c r="O58" s="323" t="s">
        <v>185</v>
      </c>
      <c r="P58" s="133"/>
      <c r="Q58" s="133"/>
      <c r="U58" s="323" t="s">
        <v>208</v>
      </c>
    </row>
    <row r="59" spans="1:21" x14ac:dyDescent="0.25">
      <c r="A59" s="323" t="s">
        <v>480</v>
      </c>
      <c r="B59" s="323" t="s">
        <v>68</v>
      </c>
      <c r="G59" s="323" t="s">
        <v>194</v>
      </c>
      <c r="H59" s="323" t="s">
        <v>193</v>
      </c>
      <c r="I59" s="323" t="s">
        <v>460</v>
      </c>
      <c r="J59" s="73">
        <v>40695</v>
      </c>
      <c r="K59" s="133">
        <v>719</v>
      </c>
      <c r="M59" s="323" t="s">
        <v>206</v>
      </c>
      <c r="N59" s="323" t="s">
        <v>207</v>
      </c>
      <c r="O59" s="323" t="s">
        <v>185</v>
      </c>
      <c r="P59" s="133"/>
      <c r="Q59" s="133"/>
      <c r="U59" s="323" t="s">
        <v>210</v>
      </c>
    </row>
    <row r="60" spans="1:21" x14ac:dyDescent="0.25">
      <c r="A60" s="323" t="s">
        <v>480</v>
      </c>
      <c r="B60" s="323" t="s">
        <v>84</v>
      </c>
      <c r="G60" s="323" t="s">
        <v>14</v>
      </c>
      <c r="H60" s="323" t="s">
        <v>13</v>
      </c>
      <c r="I60" s="323" t="s">
        <v>460</v>
      </c>
      <c r="J60" s="73">
        <v>40878</v>
      </c>
      <c r="K60" s="133">
        <v>41</v>
      </c>
      <c r="M60" s="323" t="s">
        <v>216</v>
      </c>
      <c r="N60" s="323" t="s">
        <v>217</v>
      </c>
      <c r="O60" s="323" t="s">
        <v>185</v>
      </c>
      <c r="P60" s="133"/>
      <c r="Q60" s="133"/>
      <c r="U60" s="323" t="s">
        <v>206</v>
      </c>
    </row>
    <row r="61" spans="1:21" x14ac:dyDescent="0.25">
      <c r="A61" s="323" t="s">
        <v>480</v>
      </c>
      <c r="B61" s="323" t="s">
        <v>86</v>
      </c>
      <c r="G61" s="323" t="s">
        <v>752</v>
      </c>
      <c r="H61" s="323" t="s">
        <v>753</v>
      </c>
      <c r="I61" s="323" t="s">
        <v>460</v>
      </c>
      <c r="J61" s="323" t="s">
        <v>1224</v>
      </c>
      <c r="K61" s="133"/>
      <c r="M61" s="323" t="s">
        <v>226</v>
      </c>
      <c r="N61" s="323" t="s">
        <v>227</v>
      </c>
      <c r="O61" s="323" t="s">
        <v>185</v>
      </c>
      <c r="P61" s="133"/>
      <c r="Q61" s="133"/>
      <c r="U61" s="323" t="s">
        <v>216</v>
      </c>
    </row>
    <row r="62" spans="1:21" x14ac:dyDescent="0.25">
      <c r="A62" s="323" t="s">
        <v>480</v>
      </c>
      <c r="B62" s="323" t="s">
        <v>100</v>
      </c>
      <c r="G62" s="323" t="s">
        <v>811</v>
      </c>
      <c r="H62" s="323" t="s">
        <v>810</v>
      </c>
      <c r="I62" s="323" t="s">
        <v>776</v>
      </c>
      <c r="J62" s="323" t="s">
        <v>1224</v>
      </c>
      <c r="K62" s="133">
        <v>0</v>
      </c>
      <c r="M62" s="323" t="s">
        <v>212</v>
      </c>
      <c r="N62" s="323" t="s">
        <v>213</v>
      </c>
      <c r="O62" s="323" t="s">
        <v>185</v>
      </c>
      <c r="P62" s="133">
        <v>47</v>
      </c>
      <c r="Q62" s="133">
        <v>153</v>
      </c>
      <c r="U62" s="323" t="s">
        <v>226</v>
      </c>
    </row>
    <row r="63" spans="1:21" x14ac:dyDescent="0.25">
      <c r="A63" s="323" t="s">
        <v>480</v>
      </c>
      <c r="B63" s="323" t="s">
        <v>104</v>
      </c>
      <c r="G63" s="323" t="s">
        <v>894</v>
      </c>
      <c r="H63" s="323" t="s">
        <v>895</v>
      </c>
      <c r="I63" s="323" t="s">
        <v>460</v>
      </c>
      <c r="J63" s="73">
        <v>41487</v>
      </c>
      <c r="K63" s="133">
        <v>10</v>
      </c>
      <c r="M63" s="323" t="s">
        <v>201</v>
      </c>
      <c r="N63" s="323" t="s">
        <v>202</v>
      </c>
      <c r="O63" s="323" t="s">
        <v>185</v>
      </c>
      <c r="P63" s="133">
        <v>274</v>
      </c>
      <c r="Q63" s="133">
        <v>1210</v>
      </c>
      <c r="U63" s="323" t="s">
        <v>212</v>
      </c>
    </row>
    <row r="64" spans="1:21" x14ac:dyDescent="0.25">
      <c r="A64" s="323" t="s">
        <v>480</v>
      </c>
      <c r="B64" s="323" t="s">
        <v>98</v>
      </c>
      <c r="G64" s="323" t="s">
        <v>252</v>
      </c>
      <c r="H64" s="323" t="s">
        <v>251</v>
      </c>
      <c r="I64" s="323" t="s">
        <v>460</v>
      </c>
      <c r="J64" s="73">
        <v>40725</v>
      </c>
      <c r="K64" s="133">
        <v>199</v>
      </c>
      <c r="M64" s="323" t="s">
        <v>203</v>
      </c>
      <c r="N64" s="323" t="s">
        <v>204</v>
      </c>
      <c r="O64" s="323" t="s">
        <v>185</v>
      </c>
      <c r="P64" s="133"/>
      <c r="Q64" s="133"/>
      <c r="U64" s="323" t="s">
        <v>201</v>
      </c>
    </row>
    <row r="65" spans="1:21" x14ac:dyDescent="0.25">
      <c r="A65" s="323" t="s">
        <v>480</v>
      </c>
      <c r="B65" s="323" t="s">
        <v>142</v>
      </c>
      <c r="G65" s="323" t="s">
        <v>254</v>
      </c>
      <c r="H65" s="323" t="s">
        <v>253</v>
      </c>
      <c r="I65" s="323" t="s">
        <v>460</v>
      </c>
      <c r="J65" s="73">
        <v>40725</v>
      </c>
      <c r="K65" s="133">
        <v>115</v>
      </c>
      <c r="M65" s="323" t="s">
        <v>199</v>
      </c>
      <c r="N65" s="323" t="s">
        <v>200</v>
      </c>
      <c r="O65" s="323" t="s">
        <v>185</v>
      </c>
      <c r="P65" s="133"/>
      <c r="Q65" s="133"/>
      <c r="U65" s="323" t="s">
        <v>203</v>
      </c>
    </row>
    <row r="66" spans="1:21" x14ac:dyDescent="0.25">
      <c r="A66" s="323" t="s">
        <v>480</v>
      </c>
      <c r="B66" s="323" t="s">
        <v>551</v>
      </c>
      <c r="G66" s="323" t="s">
        <v>196</v>
      </c>
      <c r="H66" s="323" t="s">
        <v>195</v>
      </c>
      <c r="I66" s="323" t="s">
        <v>460</v>
      </c>
      <c r="J66" s="73">
        <v>41061</v>
      </c>
      <c r="K66" s="133">
        <v>1497</v>
      </c>
      <c r="M66" s="323" t="s">
        <v>220</v>
      </c>
      <c r="N66" s="323" t="s">
        <v>221</v>
      </c>
      <c r="O66" s="323" t="s">
        <v>185</v>
      </c>
      <c r="P66" s="133"/>
      <c r="Q66" s="133"/>
      <c r="U66" s="323" t="s">
        <v>199</v>
      </c>
    </row>
    <row r="67" spans="1:21" x14ac:dyDescent="0.25">
      <c r="A67" s="323" t="s">
        <v>480</v>
      </c>
      <c r="B67" s="323" t="s">
        <v>108</v>
      </c>
      <c r="G67" s="323" t="s">
        <v>1203</v>
      </c>
      <c r="H67" s="323" t="s">
        <v>1181</v>
      </c>
      <c r="I67" s="323" t="s">
        <v>776</v>
      </c>
      <c r="J67" s="323" t="s">
        <v>1224</v>
      </c>
      <c r="K67" s="133"/>
      <c r="M67" s="323" t="s">
        <v>150</v>
      </c>
      <c r="N67" s="323" t="s">
        <v>152</v>
      </c>
      <c r="O67" s="323" t="s">
        <v>151</v>
      </c>
      <c r="P67" s="133">
        <v>185</v>
      </c>
      <c r="Q67" s="133">
        <v>830</v>
      </c>
      <c r="U67" s="323" t="s">
        <v>220</v>
      </c>
    </row>
    <row r="68" spans="1:21" x14ac:dyDescent="0.25">
      <c r="A68" s="323" t="s">
        <v>480</v>
      </c>
      <c r="B68" s="323" t="s">
        <v>110</v>
      </c>
      <c r="G68" s="323" t="s">
        <v>1537</v>
      </c>
      <c r="H68" s="323" t="s">
        <v>1574</v>
      </c>
      <c r="I68" s="323" t="s">
        <v>460</v>
      </c>
      <c r="J68" s="73">
        <v>42929</v>
      </c>
      <c r="K68" s="133">
        <v>19</v>
      </c>
      <c r="M68" s="323" t="s">
        <v>304</v>
      </c>
      <c r="N68" s="323" t="s">
        <v>305</v>
      </c>
      <c r="O68" s="323" t="s">
        <v>301</v>
      </c>
      <c r="P68" s="133">
        <v>88</v>
      </c>
      <c r="Q68" s="133">
        <v>330</v>
      </c>
      <c r="U68" s="323" t="s">
        <v>150</v>
      </c>
    </row>
    <row r="69" spans="1:21" x14ac:dyDescent="0.25">
      <c r="A69" s="323" t="s">
        <v>480</v>
      </c>
      <c r="B69" s="323" t="s">
        <v>112</v>
      </c>
      <c r="G69" s="323" t="s">
        <v>1213</v>
      </c>
      <c r="H69" s="323" t="s">
        <v>1180</v>
      </c>
      <c r="I69" s="323" t="s">
        <v>776</v>
      </c>
      <c r="J69" s="323" t="s">
        <v>1224</v>
      </c>
      <c r="K69" s="133"/>
      <c r="M69" s="323" t="s">
        <v>306</v>
      </c>
      <c r="N69" s="323" t="s">
        <v>307</v>
      </c>
      <c r="O69" s="323" t="s">
        <v>301</v>
      </c>
      <c r="P69" s="133">
        <v>46</v>
      </c>
      <c r="Q69" s="133">
        <v>199</v>
      </c>
      <c r="U69" s="323" t="s">
        <v>304</v>
      </c>
    </row>
    <row r="70" spans="1:21" x14ac:dyDescent="0.25">
      <c r="A70" s="323" t="s">
        <v>480</v>
      </c>
      <c r="B70" s="323" t="s">
        <v>114</v>
      </c>
      <c r="G70" s="323" t="s">
        <v>16</v>
      </c>
      <c r="H70" s="323" t="s">
        <v>15</v>
      </c>
      <c r="I70" s="323" t="s">
        <v>776</v>
      </c>
      <c r="J70" s="323" t="s">
        <v>1224</v>
      </c>
      <c r="K70" s="133"/>
      <c r="M70" s="323" t="s">
        <v>222</v>
      </c>
      <c r="N70" s="323" t="s">
        <v>223</v>
      </c>
      <c r="O70" s="323" t="s">
        <v>185</v>
      </c>
      <c r="P70" s="133">
        <v>129</v>
      </c>
      <c r="Q70" s="133">
        <v>640</v>
      </c>
      <c r="U70" s="323" t="s">
        <v>306</v>
      </c>
    </row>
    <row r="71" spans="1:21" x14ac:dyDescent="0.25">
      <c r="A71" s="323" t="s">
        <v>480</v>
      </c>
      <c r="B71" s="323" t="s">
        <v>118</v>
      </c>
      <c r="G71" s="323" t="s">
        <v>1202</v>
      </c>
      <c r="H71" s="323" t="s">
        <v>1178</v>
      </c>
      <c r="I71" s="323" t="s">
        <v>776</v>
      </c>
      <c r="J71" s="323" t="s">
        <v>1224</v>
      </c>
      <c r="K71" s="133"/>
      <c r="M71" s="323" t="s">
        <v>189</v>
      </c>
      <c r="N71" s="323" t="s">
        <v>190</v>
      </c>
      <c r="O71" s="323" t="s">
        <v>185</v>
      </c>
      <c r="P71" s="133">
        <v>203</v>
      </c>
      <c r="Q71" s="133">
        <v>1138</v>
      </c>
      <c r="U71" s="323" t="s">
        <v>222</v>
      </c>
    </row>
    <row r="72" spans="1:21" x14ac:dyDescent="0.25">
      <c r="A72" s="323" t="s">
        <v>480</v>
      </c>
      <c r="B72" s="323" t="s">
        <v>122</v>
      </c>
      <c r="G72" s="323" t="s">
        <v>474</v>
      </c>
      <c r="H72" s="323" t="s">
        <v>475</v>
      </c>
      <c r="I72" s="323" t="s">
        <v>460</v>
      </c>
      <c r="J72" s="323" t="s">
        <v>1224</v>
      </c>
      <c r="K72" s="133">
        <v>3</v>
      </c>
      <c r="M72" s="323" t="s">
        <v>184</v>
      </c>
      <c r="N72" s="323" t="s">
        <v>186</v>
      </c>
      <c r="O72" s="323" t="s">
        <v>185</v>
      </c>
      <c r="P72" s="133">
        <v>40</v>
      </c>
      <c r="Q72" s="133">
        <v>240</v>
      </c>
      <c r="U72" s="323" t="s">
        <v>189</v>
      </c>
    </row>
    <row r="73" spans="1:21" x14ac:dyDescent="0.25">
      <c r="A73" s="323" t="s">
        <v>480</v>
      </c>
      <c r="B73" s="323" t="s">
        <v>124</v>
      </c>
      <c r="G73" s="323" t="s">
        <v>370</v>
      </c>
      <c r="H73" s="323" t="s">
        <v>380</v>
      </c>
      <c r="I73" s="323" t="s">
        <v>776</v>
      </c>
      <c r="J73" s="73">
        <v>41275</v>
      </c>
      <c r="K73" s="133"/>
      <c r="M73" s="323" t="s">
        <v>228</v>
      </c>
      <c r="N73" s="323" t="s">
        <v>229</v>
      </c>
      <c r="O73" s="323" t="s">
        <v>185</v>
      </c>
      <c r="P73" s="133">
        <v>48</v>
      </c>
      <c r="Q73" s="133">
        <v>293</v>
      </c>
      <c r="U73" s="323" t="s">
        <v>184</v>
      </c>
    </row>
    <row r="74" spans="1:21" x14ac:dyDescent="0.25">
      <c r="A74" s="323" t="s">
        <v>480</v>
      </c>
      <c r="B74" s="323" t="s">
        <v>96</v>
      </c>
      <c r="G74" s="323" t="s">
        <v>958</v>
      </c>
      <c r="H74" s="323" t="s">
        <v>959</v>
      </c>
      <c r="I74" s="323" t="s">
        <v>776</v>
      </c>
      <c r="J74" s="73">
        <v>42019</v>
      </c>
      <c r="K74" s="133"/>
      <c r="M74" s="323" t="s">
        <v>224</v>
      </c>
      <c r="N74" s="323" t="s">
        <v>225</v>
      </c>
      <c r="O74" s="323" t="s">
        <v>185</v>
      </c>
      <c r="P74" s="133">
        <v>43</v>
      </c>
      <c r="Q74" s="133">
        <v>269</v>
      </c>
      <c r="U74" s="323" t="s">
        <v>228</v>
      </c>
    </row>
    <row r="75" spans="1:21" x14ac:dyDescent="0.25">
      <c r="A75" s="323" t="s">
        <v>480</v>
      </c>
      <c r="B75" s="323" t="s">
        <v>132</v>
      </c>
      <c r="G75" s="323" t="s">
        <v>367</v>
      </c>
      <c r="H75" s="323" t="s">
        <v>381</v>
      </c>
      <c r="I75" s="323" t="s">
        <v>460</v>
      </c>
      <c r="J75" s="73">
        <v>41244</v>
      </c>
      <c r="K75" s="133">
        <v>56</v>
      </c>
      <c r="M75" s="323" t="s">
        <v>143</v>
      </c>
      <c r="N75" s="323" t="s">
        <v>145</v>
      </c>
      <c r="O75" s="323" t="s">
        <v>144</v>
      </c>
      <c r="P75" s="133"/>
      <c r="Q75" s="133"/>
      <c r="U75" s="323" t="s">
        <v>224</v>
      </c>
    </row>
    <row r="76" spans="1:21" x14ac:dyDescent="0.25">
      <c r="A76" s="323" t="s">
        <v>480</v>
      </c>
      <c r="B76" s="323" t="s">
        <v>134</v>
      </c>
      <c r="G76" s="323" t="s">
        <v>1236</v>
      </c>
      <c r="H76" s="323" t="s">
        <v>1235</v>
      </c>
      <c r="I76" s="323" t="s">
        <v>460</v>
      </c>
      <c r="J76" s="73">
        <v>42724</v>
      </c>
      <c r="K76" s="133">
        <v>39</v>
      </c>
      <c r="M76" s="323" t="s">
        <v>298</v>
      </c>
      <c r="N76" s="323" t="s">
        <v>300</v>
      </c>
      <c r="O76" s="323" t="s">
        <v>299</v>
      </c>
      <c r="P76" s="133">
        <v>14</v>
      </c>
      <c r="Q76" s="133">
        <v>75</v>
      </c>
      <c r="U76" s="323" t="s">
        <v>143</v>
      </c>
    </row>
    <row r="77" spans="1:21" x14ac:dyDescent="0.25">
      <c r="A77" s="323" t="s">
        <v>480</v>
      </c>
      <c r="B77" s="323" t="s">
        <v>64</v>
      </c>
      <c r="G77" s="323" t="s">
        <v>368</v>
      </c>
      <c r="H77" s="323" t="s">
        <v>382</v>
      </c>
      <c r="I77" s="323" t="s">
        <v>460</v>
      </c>
      <c r="J77" s="73">
        <v>41244</v>
      </c>
      <c r="K77" s="133">
        <v>29</v>
      </c>
      <c r="M77" s="323" t="s">
        <v>175</v>
      </c>
      <c r="N77" s="323" t="s">
        <v>1510</v>
      </c>
      <c r="O77" s="323" t="s">
        <v>173</v>
      </c>
      <c r="P77" s="133">
        <v>16</v>
      </c>
      <c r="Q77" s="133">
        <v>79</v>
      </c>
      <c r="U77" s="323" t="s">
        <v>298</v>
      </c>
    </row>
    <row r="78" spans="1:21" x14ac:dyDescent="0.25">
      <c r="A78" s="323" t="s">
        <v>480</v>
      </c>
      <c r="B78" s="323" t="s">
        <v>126</v>
      </c>
      <c r="G78" s="323" t="s">
        <v>1285</v>
      </c>
      <c r="H78" s="323" t="s">
        <v>1284</v>
      </c>
      <c r="I78" s="323" t="s">
        <v>460</v>
      </c>
      <c r="J78" s="73">
        <v>42781</v>
      </c>
      <c r="K78" s="133">
        <v>59</v>
      </c>
      <c r="M78" s="323" t="s">
        <v>172</v>
      </c>
      <c r="N78" s="323" t="s">
        <v>174</v>
      </c>
      <c r="O78" s="323" t="s">
        <v>173</v>
      </c>
      <c r="P78" s="133">
        <v>13</v>
      </c>
      <c r="Q78" s="133">
        <v>70</v>
      </c>
      <c r="U78" s="323" t="s">
        <v>175</v>
      </c>
    </row>
    <row r="79" spans="1:21" x14ac:dyDescent="0.25">
      <c r="A79" s="323" t="s">
        <v>480</v>
      </c>
      <c r="B79" s="323" t="s">
        <v>74</v>
      </c>
      <c r="G79" s="323" t="s">
        <v>256</v>
      </c>
      <c r="H79" s="323" t="s">
        <v>255</v>
      </c>
      <c r="I79" s="323" t="s">
        <v>460</v>
      </c>
      <c r="J79" s="73">
        <v>40909</v>
      </c>
      <c r="K79" s="133">
        <v>44</v>
      </c>
      <c r="M79" s="323" t="s">
        <v>177</v>
      </c>
      <c r="N79" s="323" t="s">
        <v>178</v>
      </c>
      <c r="O79" s="323" t="s">
        <v>173</v>
      </c>
      <c r="P79" s="133">
        <v>10</v>
      </c>
      <c r="Q79" s="133">
        <v>41</v>
      </c>
      <c r="U79" s="323" t="s">
        <v>172</v>
      </c>
    </row>
    <row r="80" spans="1:21" x14ac:dyDescent="0.25">
      <c r="A80" s="323" t="s">
        <v>480</v>
      </c>
      <c r="B80" s="323" t="s">
        <v>140</v>
      </c>
      <c r="G80" s="323" t="s">
        <v>174</v>
      </c>
      <c r="H80" s="323" t="s">
        <v>172</v>
      </c>
      <c r="I80" s="323" t="s">
        <v>460</v>
      </c>
      <c r="J80" s="73">
        <v>41030</v>
      </c>
      <c r="K80" s="133">
        <v>13</v>
      </c>
      <c r="M80" s="323" t="s">
        <v>179</v>
      </c>
      <c r="N80" s="323" t="s">
        <v>181</v>
      </c>
      <c r="O80" s="323" t="s">
        <v>180</v>
      </c>
      <c r="P80" s="133">
        <v>11</v>
      </c>
      <c r="Q80" s="133">
        <v>50</v>
      </c>
      <c r="U80" s="323" t="s">
        <v>177</v>
      </c>
    </row>
    <row r="81" spans="1:21" x14ac:dyDescent="0.25">
      <c r="A81" s="323" t="s">
        <v>480</v>
      </c>
      <c r="B81" s="323" t="s">
        <v>467</v>
      </c>
      <c r="G81" s="323" t="s">
        <v>145</v>
      </c>
      <c r="H81" s="323" t="s">
        <v>143</v>
      </c>
      <c r="I81" s="323" t="s">
        <v>776</v>
      </c>
      <c r="J81" s="323" t="s">
        <v>1224</v>
      </c>
      <c r="K81" s="133"/>
      <c r="M81" s="323" t="s">
        <v>182</v>
      </c>
      <c r="N81" s="323" t="s">
        <v>183</v>
      </c>
      <c r="O81" s="323" t="s">
        <v>180</v>
      </c>
      <c r="P81" s="133">
        <v>0</v>
      </c>
      <c r="Q81" s="133">
        <v>0</v>
      </c>
      <c r="U81" s="323" t="s">
        <v>179</v>
      </c>
    </row>
    <row r="82" spans="1:21" x14ac:dyDescent="0.25">
      <c r="A82" s="323" t="s">
        <v>480</v>
      </c>
      <c r="B82" s="323" t="s">
        <v>917</v>
      </c>
      <c r="G82" s="323" t="s">
        <v>469</v>
      </c>
      <c r="H82" s="323" t="s">
        <v>470</v>
      </c>
      <c r="I82" s="323" t="s">
        <v>776</v>
      </c>
      <c r="J82" s="73">
        <v>41365</v>
      </c>
      <c r="K82" s="133">
        <v>0</v>
      </c>
      <c r="M82" s="323" t="s">
        <v>109</v>
      </c>
      <c r="N82" s="323" t="s">
        <v>110</v>
      </c>
      <c r="O82" s="323" t="s">
        <v>480</v>
      </c>
      <c r="P82" s="133">
        <v>0</v>
      </c>
      <c r="Q82" s="133">
        <v>0</v>
      </c>
      <c r="U82" s="323" t="s">
        <v>182</v>
      </c>
    </row>
    <row r="83" spans="1:21" x14ac:dyDescent="0.25">
      <c r="A83" s="323" t="s">
        <v>480</v>
      </c>
      <c r="B83" s="323" t="s">
        <v>958</v>
      </c>
      <c r="G83" s="323" t="s">
        <v>1037</v>
      </c>
      <c r="H83" s="323" t="s">
        <v>313</v>
      </c>
      <c r="I83" s="323" t="s">
        <v>776</v>
      </c>
      <c r="J83" s="73">
        <v>40695</v>
      </c>
      <c r="K83" s="133">
        <v>0</v>
      </c>
      <c r="M83" s="323" t="s">
        <v>111</v>
      </c>
      <c r="N83" s="323" t="s">
        <v>112</v>
      </c>
      <c r="O83" s="323" t="s">
        <v>480</v>
      </c>
      <c r="P83" s="133">
        <v>0</v>
      </c>
      <c r="Q83" s="133">
        <v>0</v>
      </c>
      <c r="U83" s="323" t="s">
        <v>109</v>
      </c>
    </row>
    <row r="84" spans="1:21" x14ac:dyDescent="0.25">
      <c r="A84" s="323" t="s">
        <v>480</v>
      </c>
      <c r="B84" s="323" t="s">
        <v>1137</v>
      </c>
      <c r="G84" s="323" t="s">
        <v>34</v>
      </c>
      <c r="H84" s="323" t="s">
        <v>33</v>
      </c>
      <c r="I84" s="323" t="s">
        <v>776</v>
      </c>
      <c r="J84" s="323" t="s">
        <v>1224</v>
      </c>
      <c r="K84" s="133"/>
      <c r="M84" s="323" t="s">
        <v>85</v>
      </c>
      <c r="N84" s="323" t="s">
        <v>86</v>
      </c>
      <c r="O84" s="323" t="s">
        <v>480</v>
      </c>
      <c r="P84" s="133">
        <v>0</v>
      </c>
      <c r="Q84" s="133">
        <v>0</v>
      </c>
      <c r="U84" s="323" t="s">
        <v>111</v>
      </c>
    </row>
    <row r="85" spans="1:21" x14ac:dyDescent="0.25">
      <c r="A85" s="323" t="s">
        <v>480</v>
      </c>
      <c r="B85" s="323" t="s">
        <v>1158</v>
      </c>
      <c r="G85" s="323" t="s">
        <v>198</v>
      </c>
      <c r="H85" s="323" t="s">
        <v>197</v>
      </c>
      <c r="I85" s="323" t="s">
        <v>460</v>
      </c>
      <c r="J85" s="73">
        <v>40817</v>
      </c>
      <c r="K85" s="133">
        <v>547</v>
      </c>
      <c r="M85" s="323" t="s">
        <v>83</v>
      </c>
      <c r="N85" s="323" t="s">
        <v>84</v>
      </c>
      <c r="O85" s="323" t="s">
        <v>480</v>
      </c>
      <c r="P85" s="133">
        <v>0</v>
      </c>
      <c r="Q85" s="133">
        <v>0</v>
      </c>
      <c r="U85" s="323" t="s">
        <v>85</v>
      </c>
    </row>
    <row r="86" spans="1:21" x14ac:dyDescent="0.25">
      <c r="A86" s="323" t="s">
        <v>480</v>
      </c>
      <c r="B86" s="323" t="s">
        <v>1162</v>
      </c>
      <c r="G86" s="323" t="s">
        <v>303</v>
      </c>
      <c r="H86" s="323" t="s">
        <v>302</v>
      </c>
      <c r="I86" s="323" t="s">
        <v>460</v>
      </c>
      <c r="J86" s="73">
        <v>41701</v>
      </c>
      <c r="K86" s="133">
        <v>375</v>
      </c>
      <c r="M86" s="323" t="s">
        <v>69</v>
      </c>
      <c r="N86" s="323" t="s">
        <v>70</v>
      </c>
      <c r="O86" s="323" t="s">
        <v>480</v>
      </c>
      <c r="P86" s="133"/>
      <c r="Q86" s="133"/>
      <c r="U86" s="323" t="s">
        <v>83</v>
      </c>
    </row>
    <row r="87" spans="1:21" x14ac:dyDescent="0.25">
      <c r="A87" s="323" t="s">
        <v>480</v>
      </c>
      <c r="B87" s="323" t="s">
        <v>1159</v>
      </c>
      <c r="G87" s="323" t="s">
        <v>35</v>
      </c>
      <c r="H87" s="323" t="s">
        <v>360</v>
      </c>
      <c r="I87" s="323" t="s">
        <v>776</v>
      </c>
      <c r="J87" s="323" t="s">
        <v>1224</v>
      </c>
      <c r="K87" s="133">
        <v>0</v>
      </c>
      <c r="M87" s="323" t="s">
        <v>103</v>
      </c>
      <c r="N87" s="323" t="s">
        <v>104</v>
      </c>
      <c r="O87" s="323" t="s">
        <v>480</v>
      </c>
      <c r="P87" s="133">
        <v>0</v>
      </c>
      <c r="Q87" s="133">
        <v>0</v>
      </c>
      <c r="U87" s="323" t="s">
        <v>69</v>
      </c>
    </row>
    <row r="88" spans="1:21" x14ac:dyDescent="0.25">
      <c r="A88" s="323" t="s">
        <v>480</v>
      </c>
      <c r="B88" s="323" t="s">
        <v>1161</v>
      </c>
      <c r="G88" s="323" t="s">
        <v>1286</v>
      </c>
      <c r="H88" s="323" t="s">
        <v>1277</v>
      </c>
      <c r="I88" s="323" t="s">
        <v>460</v>
      </c>
      <c r="J88" s="73">
        <v>42887</v>
      </c>
      <c r="K88" s="133">
        <v>123</v>
      </c>
      <c r="M88" s="323" t="s">
        <v>67</v>
      </c>
      <c r="N88" s="323" t="s">
        <v>68</v>
      </c>
      <c r="O88" s="323" t="s">
        <v>480</v>
      </c>
      <c r="P88" s="133">
        <v>0</v>
      </c>
      <c r="Q88" s="133">
        <v>0</v>
      </c>
      <c r="U88" s="323" t="s">
        <v>103</v>
      </c>
    </row>
    <row r="89" spans="1:21" x14ac:dyDescent="0.25">
      <c r="A89" s="323" t="s">
        <v>480</v>
      </c>
      <c r="B89" s="323" t="s">
        <v>1160</v>
      </c>
      <c r="G89" s="323" t="s">
        <v>240</v>
      </c>
      <c r="H89" s="323" t="s">
        <v>239</v>
      </c>
      <c r="I89" s="323" t="s">
        <v>460</v>
      </c>
      <c r="J89" s="73">
        <v>40603</v>
      </c>
      <c r="K89" s="133">
        <v>102</v>
      </c>
      <c r="M89" s="323" t="s">
        <v>99</v>
      </c>
      <c r="N89" s="323" t="s">
        <v>100</v>
      </c>
      <c r="O89" s="323" t="s">
        <v>480</v>
      </c>
      <c r="P89" s="133">
        <v>4</v>
      </c>
      <c r="Q89" s="133">
        <v>15</v>
      </c>
      <c r="U89" s="323" t="s">
        <v>67</v>
      </c>
    </row>
    <row r="90" spans="1:21" x14ac:dyDescent="0.25">
      <c r="A90" s="323" t="s">
        <v>480</v>
      </c>
      <c r="B90" s="323" t="s">
        <v>1286</v>
      </c>
      <c r="G90" s="323" t="s">
        <v>284</v>
      </c>
      <c r="H90" s="323" t="s">
        <v>283</v>
      </c>
      <c r="I90" s="323" t="s">
        <v>460</v>
      </c>
      <c r="J90" s="73">
        <v>40695</v>
      </c>
      <c r="K90" s="133">
        <v>138</v>
      </c>
      <c r="M90" s="323" t="s">
        <v>49</v>
      </c>
      <c r="N90" s="323" t="s">
        <v>50</v>
      </c>
      <c r="O90" s="323" t="s">
        <v>480</v>
      </c>
      <c r="P90" s="133"/>
      <c r="Q90" s="133"/>
      <c r="U90" s="323" t="s">
        <v>99</v>
      </c>
    </row>
    <row r="91" spans="1:21" x14ac:dyDescent="0.25">
      <c r="A91" s="323" t="s">
        <v>719</v>
      </c>
      <c r="B91" s="323" t="s">
        <v>535</v>
      </c>
      <c r="G91" s="323" t="s">
        <v>363</v>
      </c>
      <c r="H91" s="323" t="s">
        <v>376</v>
      </c>
      <c r="I91" s="323" t="s">
        <v>460</v>
      </c>
      <c r="J91" s="73">
        <v>40940</v>
      </c>
      <c r="K91" s="133">
        <v>143</v>
      </c>
      <c r="M91" s="323" t="s">
        <v>65</v>
      </c>
      <c r="N91" s="323" t="s">
        <v>66</v>
      </c>
      <c r="O91" s="323" t="s">
        <v>480</v>
      </c>
      <c r="P91" s="133">
        <v>0</v>
      </c>
      <c r="Q91" s="133">
        <v>0</v>
      </c>
      <c r="U91" s="323" t="s">
        <v>49</v>
      </c>
    </row>
    <row r="92" spans="1:21" x14ac:dyDescent="0.25">
      <c r="A92" s="323" t="s">
        <v>719</v>
      </c>
      <c r="B92" s="323" t="s">
        <v>1062</v>
      </c>
      <c r="G92" s="323" t="s">
        <v>90</v>
      </c>
      <c r="H92" s="323" t="s">
        <v>89</v>
      </c>
      <c r="I92" s="323" t="s">
        <v>460</v>
      </c>
      <c r="J92" s="73">
        <v>41275</v>
      </c>
      <c r="K92" s="133">
        <v>19</v>
      </c>
      <c r="M92" s="323" t="s">
        <v>53</v>
      </c>
      <c r="N92" s="323" t="s">
        <v>54</v>
      </c>
      <c r="O92" s="323" t="s">
        <v>480</v>
      </c>
      <c r="P92" s="133">
        <v>0</v>
      </c>
      <c r="Q92" s="133">
        <v>0</v>
      </c>
      <c r="U92" s="323" t="s">
        <v>65</v>
      </c>
    </row>
    <row r="93" spans="1:21" x14ac:dyDescent="0.25">
      <c r="A93" s="323" t="s">
        <v>719</v>
      </c>
      <c r="B93" s="323" t="s">
        <v>1147</v>
      </c>
      <c r="G93" s="323" t="s">
        <v>92</v>
      </c>
      <c r="H93" s="323" t="s">
        <v>91</v>
      </c>
      <c r="I93" s="323" t="s">
        <v>460</v>
      </c>
      <c r="J93" s="73">
        <v>41275</v>
      </c>
      <c r="K93" s="133">
        <v>12</v>
      </c>
      <c r="M93" s="323" t="s">
        <v>115</v>
      </c>
      <c r="N93" s="323" t="s">
        <v>116</v>
      </c>
      <c r="O93" s="323" t="s">
        <v>480</v>
      </c>
      <c r="P93" s="133">
        <v>0</v>
      </c>
      <c r="Q93" s="133">
        <v>0</v>
      </c>
      <c r="U93" s="323" t="s">
        <v>53</v>
      </c>
    </row>
    <row r="94" spans="1:21" x14ac:dyDescent="0.25">
      <c r="A94" s="323" t="s">
        <v>361</v>
      </c>
      <c r="B94" s="323" t="s">
        <v>35</v>
      </c>
      <c r="G94" s="323" t="s">
        <v>18</v>
      </c>
      <c r="H94" s="323" t="s">
        <v>17</v>
      </c>
      <c r="I94" s="323" t="s">
        <v>460</v>
      </c>
      <c r="J94" s="73">
        <v>40695</v>
      </c>
      <c r="K94" s="133">
        <v>129</v>
      </c>
      <c r="M94" s="323" t="s">
        <v>79</v>
      </c>
      <c r="N94" s="323" t="s">
        <v>80</v>
      </c>
      <c r="O94" s="323" t="s">
        <v>480</v>
      </c>
      <c r="P94" s="133">
        <v>0</v>
      </c>
      <c r="Q94" s="133">
        <v>0</v>
      </c>
      <c r="U94" s="323" t="s">
        <v>115</v>
      </c>
    </row>
    <row r="95" spans="1:21" x14ac:dyDescent="0.25">
      <c r="A95" s="323" t="s">
        <v>144</v>
      </c>
      <c r="B95" s="323" t="s">
        <v>145</v>
      </c>
      <c r="G95" s="323" t="s">
        <v>1195</v>
      </c>
      <c r="H95" s="323" t="s">
        <v>1177</v>
      </c>
      <c r="I95" s="323" t="s">
        <v>460</v>
      </c>
      <c r="J95" s="323" t="s">
        <v>1224</v>
      </c>
      <c r="K95" s="133">
        <v>43</v>
      </c>
      <c r="M95" s="323" t="s">
        <v>137</v>
      </c>
      <c r="N95" s="323" t="s">
        <v>138</v>
      </c>
      <c r="O95" s="323" t="s">
        <v>480</v>
      </c>
      <c r="P95" s="133">
        <v>0</v>
      </c>
      <c r="Q95" s="133">
        <v>0</v>
      </c>
      <c r="U95" s="323" t="s">
        <v>79</v>
      </c>
    </row>
    <row r="96" spans="1:21" x14ac:dyDescent="0.25">
      <c r="A96" s="323" t="s">
        <v>146</v>
      </c>
      <c r="B96" s="323" t="s">
        <v>838</v>
      </c>
      <c r="G96" s="323" t="s">
        <v>186</v>
      </c>
      <c r="H96" s="323" t="s">
        <v>184</v>
      </c>
      <c r="I96" s="323" t="s">
        <v>460</v>
      </c>
      <c r="J96" s="73">
        <v>41030</v>
      </c>
      <c r="K96" s="133">
        <v>40</v>
      </c>
      <c r="M96" s="323" t="s">
        <v>101</v>
      </c>
      <c r="N96" s="323" t="s">
        <v>102</v>
      </c>
      <c r="O96" s="323" t="s">
        <v>480</v>
      </c>
      <c r="P96" s="133">
        <v>0</v>
      </c>
      <c r="Q96" s="133">
        <v>0</v>
      </c>
      <c r="U96" s="323" t="s">
        <v>137</v>
      </c>
    </row>
    <row r="97" spans="1:21" x14ac:dyDescent="0.25">
      <c r="A97" s="323" t="s">
        <v>146</v>
      </c>
      <c r="B97" s="323" t="s">
        <v>840</v>
      </c>
      <c r="G97" s="323" t="s">
        <v>223</v>
      </c>
      <c r="H97" s="323" t="s">
        <v>222</v>
      </c>
      <c r="I97" s="323" t="s">
        <v>460</v>
      </c>
      <c r="J97" s="73">
        <v>40848</v>
      </c>
      <c r="K97" s="133">
        <v>129</v>
      </c>
      <c r="M97" s="323" t="s">
        <v>105</v>
      </c>
      <c r="N97" s="323" t="s">
        <v>106</v>
      </c>
      <c r="O97" s="323" t="s">
        <v>480</v>
      </c>
      <c r="P97" s="133">
        <v>0</v>
      </c>
      <c r="Q97" s="133">
        <v>0</v>
      </c>
      <c r="U97" s="323" t="s">
        <v>101</v>
      </c>
    </row>
    <row r="98" spans="1:21" x14ac:dyDescent="0.25">
      <c r="A98" s="323" t="s">
        <v>146</v>
      </c>
      <c r="B98" s="323" t="s">
        <v>370</v>
      </c>
      <c r="G98" s="323" t="s">
        <v>190</v>
      </c>
      <c r="H98" s="323" t="s">
        <v>189</v>
      </c>
      <c r="I98" s="323" t="s">
        <v>460</v>
      </c>
      <c r="J98" s="73">
        <v>41000</v>
      </c>
      <c r="K98" s="133">
        <v>203</v>
      </c>
      <c r="M98" s="323" t="s">
        <v>129</v>
      </c>
      <c r="N98" s="323" t="s">
        <v>130</v>
      </c>
      <c r="O98" s="323" t="s">
        <v>480</v>
      </c>
      <c r="P98" s="133">
        <v>0</v>
      </c>
      <c r="Q98" s="133">
        <v>0</v>
      </c>
      <c r="U98" s="323" t="s">
        <v>105</v>
      </c>
    </row>
    <row r="99" spans="1:21" x14ac:dyDescent="0.25">
      <c r="A99" s="323" t="s">
        <v>146</v>
      </c>
      <c r="B99" s="323" t="s">
        <v>367</v>
      </c>
      <c r="G99" s="323" t="s">
        <v>158</v>
      </c>
      <c r="H99" s="323" t="s">
        <v>157</v>
      </c>
      <c r="I99" s="323" t="s">
        <v>776</v>
      </c>
      <c r="J99" s="73">
        <v>41122</v>
      </c>
      <c r="K99" s="133">
        <v>0</v>
      </c>
      <c r="M99" s="323" t="s">
        <v>133</v>
      </c>
      <c r="N99" s="323" t="s">
        <v>134</v>
      </c>
      <c r="O99" s="323" t="s">
        <v>480</v>
      </c>
      <c r="P99" s="133"/>
      <c r="Q99" s="133"/>
      <c r="U99" s="323" t="s">
        <v>129</v>
      </c>
    </row>
    <row r="100" spans="1:21" x14ac:dyDescent="0.25">
      <c r="A100" s="323" t="s">
        <v>146</v>
      </c>
      <c r="B100" s="323" t="s">
        <v>368</v>
      </c>
      <c r="G100" s="323" t="s">
        <v>1048</v>
      </c>
      <c r="H100" s="323" t="s">
        <v>1047</v>
      </c>
      <c r="I100" s="323" t="s">
        <v>460</v>
      </c>
      <c r="J100" s="73">
        <v>42180</v>
      </c>
      <c r="K100" s="133">
        <v>61</v>
      </c>
      <c r="M100" s="323" t="s">
        <v>113</v>
      </c>
      <c r="N100" s="323" t="s">
        <v>114</v>
      </c>
      <c r="O100" s="323" t="s">
        <v>480</v>
      </c>
      <c r="P100" s="133">
        <v>0</v>
      </c>
      <c r="Q100" s="133">
        <v>0</v>
      </c>
      <c r="U100" s="323" t="s">
        <v>133</v>
      </c>
    </row>
    <row r="101" spans="1:21" x14ac:dyDescent="0.25">
      <c r="A101" s="323" t="s">
        <v>146</v>
      </c>
      <c r="B101" s="323" t="s">
        <v>369</v>
      </c>
      <c r="G101" s="323" t="s">
        <v>1510</v>
      </c>
      <c r="H101" s="323" t="s">
        <v>175</v>
      </c>
      <c r="I101" s="323" t="s">
        <v>460</v>
      </c>
      <c r="J101" s="73">
        <v>41030</v>
      </c>
      <c r="K101" s="133">
        <v>16</v>
      </c>
      <c r="M101" s="323" t="s">
        <v>107</v>
      </c>
      <c r="N101" s="323" t="s">
        <v>108</v>
      </c>
      <c r="O101" s="323" t="s">
        <v>480</v>
      </c>
      <c r="P101" s="133">
        <v>48</v>
      </c>
      <c r="Q101" s="133">
        <v>225</v>
      </c>
      <c r="U101" s="323" t="s">
        <v>113</v>
      </c>
    </row>
    <row r="102" spans="1:21" x14ac:dyDescent="0.25">
      <c r="A102" s="323" t="s">
        <v>146</v>
      </c>
      <c r="B102" s="323" t="s">
        <v>365</v>
      </c>
      <c r="G102" s="323" t="s">
        <v>1056</v>
      </c>
      <c r="H102" s="323" t="s">
        <v>1059</v>
      </c>
      <c r="I102" s="323" t="s">
        <v>776</v>
      </c>
      <c r="J102" s="73">
        <v>42125</v>
      </c>
      <c r="K102" s="133">
        <v>6</v>
      </c>
      <c r="M102" s="323" t="s">
        <v>95</v>
      </c>
      <c r="N102" s="323" t="s">
        <v>96</v>
      </c>
      <c r="O102" s="323" t="s">
        <v>480</v>
      </c>
      <c r="P102" s="133">
        <v>0</v>
      </c>
      <c r="Q102" s="133">
        <v>0</v>
      </c>
      <c r="U102" s="323" t="s">
        <v>107</v>
      </c>
    </row>
    <row r="103" spans="1:21" x14ac:dyDescent="0.25">
      <c r="A103" s="323" t="s">
        <v>146</v>
      </c>
      <c r="B103" s="323" t="s">
        <v>149</v>
      </c>
      <c r="G103" s="323" t="s">
        <v>94</v>
      </c>
      <c r="H103" s="323" t="s">
        <v>93</v>
      </c>
      <c r="I103" s="323" t="s">
        <v>776</v>
      </c>
      <c r="J103" s="323" t="s">
        <v>1224</v>
      </c>
      <c r="K103" s="133">
        <v>0</v>
      </c>
      <c r="M103" s="323" t="s">
        <v>139</v>
      </c>
      <c r="N103" s="323" t="s">
        <v>140</v>
      </c>
      <c r="O103" s="323" t="s">
        <v>480</v>
      </c>
      <c r="P103" s="133">
        <v>16</v>
      </c>
      <c r="Q103" s="133">
        <v>66</v>
      </c>
      <c r="U103" s="323" t="s">
        <v>95</v>
      </c>
    </row>
    <row r="104" spans="1:21" x14ac:dyDescent="0.25">
      <c r="A104" s="323" t="s">
        <v>146</v>
      </c>
      <c r="B104" s="323" t="s">
        <v>371</v>
      </c>
      <c r="G104" s="323" t="s">
        <v>820</v>
      </c>
      <c r="H104" s="323" t="s">
        <v>821</v>
      </c>
      <c r="I104" s="323" t="s">
        <v>776</v>
      </c>
      <c r="J104" s="73">
        <v>41518</v>
      </c>
      <c r="K104" s="133"/>
      <c r="M104" s="323" t="s">
        <v>135</v>
      </c>
      <c r="N104" s="323" t="s">
        <v>136</v>
      </c>
      <c r="O104" s="323" t="s">
        <v>480</v>
      </c>
      <c r="P104" s="133">
        <v>0</v>
      </c>
      <c r="Q104" s="133">
        <v>0</v>
      </c>
      <c r="U104" s="323" t="s">
        <v>139</v>
      </c>
    </row>
    <row r="105" spans="1:21" x14ac:dyDescent="0.25">
      <c r="A105" s="323" t="s">
        <v>146</v>
      </c>
      <c r="B105" s="323" t="s">
        <v>945</v>
      </c>
      <c r="G105" s="323" t="s">
        <v>319</v>
      </c>
      <c r="H105" s="323" t="s">
        <v>318</v>
      </c>
      <c r="I105" s="323" t="s">
        <v>460</v>
      </c>
      <c r="J105" s="73">
        <v>41030</v>
      </c>
      <c r="K105" s="133">
        <v>30</v>
      </c>
      <c r="M105" s="323" t="s">
        <v>93</v>
      </c>
      <c r="N105" s="323" t="s">
        <v>94</v>
      </c>
      <c r="O105" s="323" t="s">
        <v>480</v>
      </c>
      <c r="P105" s="133">
        <v>0</v>
      </c>
      <c r="Q105" s="133">
        <v>0</v>
      </c>
      <c r="U105" s="323" t="s">
        <v>135</v>
      </c>
    </row>
    <row r="106" spans="1:21" x14ac:dyDescent="0.25">
      <c r="A106" s="323" t="s">
        <v>146</v>
      </c>
      <c r="B106" s="323" t="s">
        <v>1084</v>
      </c>
      <c r="G106" s="323" t="s">
        <v>321</v>
      </c>
      <c r="H106" s="323" t="s">
        <v>320</v>
      </c>
      <c r="I106" s="323" t="s">
        <v>460</v>
      </c>
      <c r="J106" s="73">
        <v>40695</v>
      </c>
      <c r="K106" s="133">
        <v>418</v>
      </c>
      <c r="M106" s="323" t="s">
        <v>121</v>
      </c>
      <c r="N106" s="323" t="s">
        <v>122</v>
      </c>
      <c r="O106" s="323" t="s">
        <v>480</v>
      </c>
      <c r="P106" s="133">
        <v>0</v>
      </c>
      <c r="Q106" s="133">
        <v>0</v>
      </c>
      <c r="U106" s="323" t="s">
        <v>93</v>
      </c>
    </row>
    <row r="107" spans="1:21" x14ac:dyDescent="0.25">
      <c r="A107" s="323" t="s">
        <v>146</v>
      </c>
      <c r="B107" s="323" t="s">
        <v>1150</v>
      </c>
      <c r="G107" s="323" t="s">
        <v>200</v>
      </c>
      <c r="H107" s="323" t="s">
        <v>199</v>
      </c>
      <c r="I107" s="323" t="s">
        <v>776</v>
      </c>
      <c r="J107" s="323" t="s">
        <v>1224</v>
      </c>
      <c r="K107" s="133"/>
      <c r="M107" s="323" t="s">
        <v>71</v>
      </c>
      <c r="N107" s="323" t="s">
        <v>72</v>
      </c>
      <c r="O107" s="323" t="s">
        <v>480</v>
      </c>
      <c r="P107" s="133">
        <v>5</v>
      </c>
      <c r="Q107" s="133">
        <v>27</v>
      </c>
      <c r="U107" s="323" t="s">
        <v>121</v>
      </c>
    </row>
    <row r="108" spans="1:21" x14ac:dyDescent="0.25">
      <c r="A108" s="323" t="s">
        <v>146</v>
      </c>
      <c r="B108" s="323" t="s">
        <v>1236</v>
      </c>
      <c r="G108" s="323" t="s">
        <v>1661</v>
      </c>
      <c r="H108" s="323" t="s">
        <v>1124</v>
      </c>
      <c r="I108" s="323" t="s">
        <v>460</v>
      </c>
      <c r="J108" s="73">
        <v>42435</v>
      </c>
      <c r="K108" s="133">
        <v>108</v>
      </c>
      <c r="M108" s="323" t="s">
        <v>131</v>
      </c>
      <c r="N108" s="323" t="s">
        <v>132</v>
      </c>
      <c r="O108" s="323" t="s">
        <v>480</v>
      </c>
      <c r="P108" s="133">
        <v>0</v>
      </c>
      <c r="Q108" s="133">
        <v>0</v>
      </c>
      <c r="U108" s="323" t="s">
        <v>71</v>
      </c>
    </row>
    <row r="109" spans="1:21" x14ac:dyDescent="0.25">
      <c r="A109" s="323" t="s">
        <v>146</v>
      </c>
      <c r="B109" s="323" t="s">
        <v>1245</v>
      </c>
      <c r="G109" s="323" t="s">
        <v>327</v>
      </c>
      <c r="H109" s="323" t="s">
        <v>326</v>
      </c>
      <c r="I109" s="323" t="s">
        <v>460</v>
      </c>
      <c r="J109" s="73">
        <v>41456</v>
      </c>
      <c r="K109" s="133">
        <v>339</v>
      </c>
      <c r="M109" s="323" t="s">
        <v>354</v>
      </c>
      <c r="N109" s="323" t="s">
        <v>1034</v>
      </c>
      <c r="O109" s="323" t="s">
        <v>309</v>
      </c>
      <c r="P109" s="133"/>
      <c r="Q109" s="133"/>
      <c r="U109" s="323" t="s">
        <v>131</v>
      </c>
    </row>
    <row r="110" spans="1:21" x14ac:dyDescent="0.25">
      <c r="A110" s="323" t="s">
        <v>146</v>
      </c>
      <c r="B110" s="323" t="s">
        <v>1555</v>
      </c>
      <c r="G110" s="323" t="s">
        <v>329</v>
      </c>
      <c r="H110" s="323" t="s">
        <v>328</v>
      </c>
      <c r="I110" s="323" t="s">
        <v>460</v>
      </c>
      <c r="J110" s="73">
        <v>41426</v>
      </c>
      <c r="K110" s="133">
        <v>284</v>
      </c>
      <c r="M110" s="323" t="s">
        <v>332</v>
      </c>
      <c r="N110" s="323" t="s">
        <v>333</v>
      </c>
      <c r="O110" s="323" t="s">
        <v>309</v>
      </c>
      <c r="P110" s="133">
        <v>125</v>
      </c>
      <c r="Q110" s="133">
        <v>483</v>
      </c>
      <c r="U110" s="323" t="s">
        <v>354</v>
      </c>
    </row>
    <row r="111" spans="1:21" x14ac:dyDescent="0.25">
      <c r="A111" s="323" t="s">
        <v>146</v>
      </c>
      <c r="B111" s="323" t="s">
        <v>1605</v>
      </c>
      <c r="G111" s="323" t="s">
        <v>323</v>
      </c>
      <c r="H111" s="323" t="s">
        <v>322</v>
      </c>
      <c r="I111" s="323" t="s">
        <v>460</v>
      </c>
      <c r="J111" s="73">
        <v>41061</v>
      </c>
      <c r="K111" s="133">
        <v>510</v>
      </c>
      <c r="M111" s="323" t="s">
        <v>355</v>
      </c>
      <c r="N111" s="323" t="s">
        <v>356</v>
      </c>
      <c r="O111" s="323" t="s">
        <v>309</v>
      </c>
      <c r="P111" s="133">
        <v>0</v>
      </c>
      <c r="Q111" s="133">
        <v>0</v>
      </c>
      <c r="U111" s="323" t="s">
        <v>332</v>
      </c>
    </row>
    <row r="112" spans="1:21" x14ac:dyDescent="0.25">
      <c r="A112" s="323" t="s">
        <v>146</v>
      </c>
      <c r="B112" s="323" t="s">
        <v>1660</v>
      </c>
      <c r="G112" s="323" t="s">
        <v>325</v>
      </c>
      <c r="H112" s="323" t="s">
        <v>324</v>
      </c>
      <c r="I112" s="323" t="s">
        <v>460</v>
      </c>
      <c r="J112" s="73">
        <v>40878</v>
      </c>
      <c r="K112" s="133">
        <v>47</v>
      </c>
      <c r="M112" s="323" t="s">
        <v>334</v>
      </c>
      <c r="N112" s="323" t="s">
        <v>335</v>
      </c>
      <c r="O112" s="323" t="s">
        <v>309</v>
      </c>
      <c r="P112" s="133">
        <v>154</v>
      </c>
      <c r="Q112" s="133">
        <v>919</v>
      </c>
      <c r="U112" s="323" t="s">
        <v>355</v>
      </c>
    </row>
    <row r="113" spans="1:21" x14ac:dyDescent="0.25">
      <c r="A113" s="323" t="s">
        <v>146</v>
      </c>
      <c r="B113" s="323" t="s">
        <v>1661</v>
      </c>
      <c r="G113" s="323" t="s">
        <v>812</v>
      </c>
      <c r="H113" s="323" t="s">
        <v>813</v>
      </c>
      <c r="I113" s="323" t="s">
        <v>460</v>
      </c>
      <c r="J113" s="73">
        <v>41548</v>
      </c>
      <c r="K113" s="133">
        <v>432</v>
      </c>
      <c r="M113" s="323" t="s">
        <v>350</v>
      </c>
      <c r="N113" s="323" t="s">
        <v>351</v>
      </c>
      <c r="O113" s="323" t="s">
        <v>309</v>
      </c>
      <c r="P113" s="133">
        <v>1425</v>
      </c>
      <c r="Q113" s="133">
        <v>7038</v>
      </c>
      <c r="U113" s="323" t="s">
        <v>334</v>
      </c>
    </row>
    <row r="114" spans="1:21" x14ac:dyDescent="0.25">
      <c r="A114" s="323" t="s">
        <v>818</v>
      </c>
      <c r="B114" s="323" t="s">
        <v>820</v>
      </c>
      <c r="G114" s="323" t="s">
        <v>849</v>
      </c>
      <c r="H114" s="323" t="s">
        <v>848</v>
      </c>
      <c r="I114" s="323" t="s">
        <v>460</v>
      </c>
      <c r="J114" s="73">
        <v>41548</v>
      </c>
      <c r="K114" s="133">
        <v>172</v>
      </c>
      <c r="M114" s="323" t="s">
        <v>313</v>
      </c>
      <c r="N114" s="323" t="s">
        <v>1037</v>
      </c>
      <c r="O114" s="323" t="s">
        <v>309</v>
      </c>
      <c r="P114" s="133">
        <v>0</v>
      </c>
      <c r="Q114" s="133">
        <v>0</v>
      </c>
      <c r="U114" s="323" t="s">
        <v>350</v>
      </c>
    </row>
    <row r="115" spans="1:21" x14ac:dyDescent="0.25">
      <c r="A115" s="323" t="s">
        <v>151</v>
      </c>
      <c r="B115" s="323" t="s">
        <v>809</v>
      </c>
      <c r="G115" s="323" t="s">
        <v>258</v>
      </c>
      <c r="H115" s="323" t="s">
        <v>257</v>
      </c>
      <c r="I115" s="323" t="s">
        <v>460</v>
      </c>
      <c r="J115" s="73">
        <v>40756</v>
      </c>
      <c r="K115" s="133">
        <v>61</v>
      </c>
      <c r="M115" s="323" t="s">
        <v>330</v>
      </c>
      <c r="N115" s="323" t="s">
        <v>331</v>
      </c>
      <c r="O115" s="323" t="s">
        <v>309</v>
      </c>
      <c r="P115" s="133">
        <v>0</v>
      </c>
      <c r="Q115" s="133">
        <v>0</v>
      </c>
      <c r="U115" s="323" t="s">
        <v>313</v>
      </c>
    </row>
    <row r="116" spans="1:21" x14ac:dyDescent="0.25">
      <c r="A116" s="323" t="s">
        <v>151</v>
      </c>
      <c r="B116" s="323" t="s">
        <v>804</v>
      </c>
      <c r="G116" s="323" t="s">
        <v>202</v>
      </c>
      <c r="H116" s="323" t="s">
        <v>201</v>
      </c>
      <c r="I116" s="323" t="s">
        <v>460</v>
      </c>
      <c r="J116" s="73">
        <v>41030</v>
      </c>
      <c r="K116" s="133">
        <v>274</v>
      </c>
      <c r="M116" s="323" t="s">
        <v>320</v>
      </c>
      <c r="N116" s="323" t="s">
        <v>321</v>
      </c>
      <c r="O116" s="323" t="s">
        <v>309</v>
      </c>
      <c r="P116" s="133">
        <v>418</v>
      </c>
      <c r="Q116" s="133">
        <v>1554</v>
      </c>
      <c r="U116" s="323" t="s">
        <v>330</v>
      </c>
    </row>
    <row r="117" spans="1:21" x14ac:dyDescent="0.25">
      <c r="A117" s="323" t="s">
        <v>151</v>
      </c>
      <c r="B117" s="323" t="s">
        <v>805</v>
      </c>
      <c r="G117" s="323" t="s">
        <v>260</v>
      </c>
      <c r="H117" s="323" t="s">
        <v>259</v>
      </c>
      <c r="I117" s="323" t="s">
        <v>460</v>
      </c>
      <c r="J117" s="73">
        <v>40725</v>
      </c>
      <c r="K117" s="133">
        <v>103</v>
      </c>
      <c r="M117" s="323" t="s">
        <v>343</v>
      </c>
      <c r="N117" s="323" t="s">
        <v>1032</v>
      </c>
      <c r="O117" s="323" t="s">
        <v>309</v>
      </c>
      <c r="P117" s="133">
        <v>163</v>
      </c>
      <c r="Q117" s="133">
        <v>909</v>
      </c>
      <c r="U117" s="323" t="s">
        <v>320</v>
      </c>
    </row>
    <row r="118" spans="1:21" x14ac:dyDescent="0.25">
      <c r="A118" s="323" t="s">
        <v>151</v>
      </c>
      <c r="B118" s="323" t="s">
        <v>188</v>
      </c>
      <c r="G118" s="323" t="s">
        <v>1201</v>
      </c>
      <c r="H118" s="323" t="s">
        <v>1189</v>
      </c>
      <c r="I118" s="323" t="s">
        <v>460</v>
      </c>
      <c r="J118" s="323" t="s">
        <v>1224</v>
      </c>
      <c r="K118" s="133">
        <v>37</v>
      </c>
      <c r="M118" s="323" t="s">
        <v>195</v>
      </c>
      <c r="N118" s="323" t="s">
        <v>196</v>
      </c>
      <c r="O118" s="323" t="s">
        <v>185</v>
      </c>
      <c r="P118" s="133">
        <v>1497</v>
      </c>
      <c r="Q118" s="133">
        <v>8461</v>
      </c>
      <c r="U118" s="323" t="s">
        <v>343</v>
      </c>
    </row>
    <row r="119" spans="1:21" x14ac:dyDescent="0.25">
      <c r="A119" s="323" t="s">
        <v>151</v>
      </c>
      <c r="B119" s="323" t="s">
        <v>12</v>
      </c>
      <c r="G119" s="323" t="s">
        <v>803</v>
      </c>
      <c r="H119" s="323" t="s">
        <v>797</v>
      </c>
      <c r="I119" s="323" t="s">
        <v>776</v>
      </c>
      <c r="J119" s="323" t="s">
        <v>1224</v>
      </c>
      <c r="K119" s="133">
        <v>0</v>
      </c>
      <c r="M119" s="323" t="s">
        <v>193</v>
      </c>
      <c r="N119" s="323" t="s">
        <v>194</v>
      </c>
      <c r="O119" s="323" t="s">
        <v>185</v>
      </c>
      <c r="P119" s="133">
        <v>719</v>
      </c>
      <c r="Q119" s="133">
        <v>3659</v>
      </c>
      <c r="U119" s="323" t="s">
        <v>195</v>
      </c>
    </row>
    <row r="120" spans="1:21" x14ac:dyDescent="0.25">
      <c r="A120" s="323" t="s">
        <v>151</v>
      </c>
      <c r="B120" s="323" t="s">
        <v>811</v>
      </c>
      <c r="G120" s="323" t="s">
        <v>802</v>
      </c>
      <c r="H120" s="323" t="s">
        <v>801</v>
      </c>
      <c r="I120" s="323" t="s">
        <v>776</v>
      </c>
      <c r="J120" s="323" t="s">
        <v>1224</v>
      </c>
      <c r="K120" s="133">
        <v>0</v>
      </c>
      <c r="M120" s="323" t="s">
        <v>191</v>
      </c>
      <c r="N120" s="323" t="s">
        <v>192</v>
      </c>
      <c r="O120" s="323" t="s">
        <v>185</v>
      </c>
      <c r="P120" s="133">
        <v>93</v>
      </c>
      <c r="Q120" s="133">
        <v>428</v>
      </c>
      <c r="U120" s="323" t="s">
        <v>193</v>
      </c>
    </row>
    <row r="121" spans="1:21" x14ac:dyDescent="0.25">
      <c r="A121" s="323" t="s">
        <v>151</v>
      </c>
      <c r="B121" s="323" t="s">
        <v>469</v>
      </c>
      <c r="G121" s="323" t="s">
        <v>1245</v>
      </c>
      <c r="H121" s="323" t="s">
        <v>1246</v>
      </c>
      <c r="I121" s="323" t="s">
        <v>460</v>
      </c>
      <c r="J121" s="323" t="s">
        <v>1224</v>
      </c>
      <c r="K121" s="133">
        <v>24</v>
      </c>
      <c r="M121" s="323" t="s">
        <v>218</v>
      </c>
      <c r="N121" s="323" t="s">
        <v>219</v>
      </c>
      <c r="O121" s="323" t="s">
        <v>185</v>
      </c>
      <c r="P121" s="133">
        <v>651</v>
      </c>
      <c r="Q121" s="133">
        <v>3631</v>
      </c>
      <c r="U121" s="323" t="s">
        <v>191</v>
      </c>
    </row>
    <row r="122" spans="1:21" x14ac:dyDescent="0.25">
      <c r="A122" s="323" t="s">
        <v>151</v>
      </c>
      <c r="B122" s="323" t="s">
        <v>198</v>
      </c>
      <c r="G122" s="323" t="s">
        <v>204</v>
      </c>
      <c r="H122" s="323" t="s">
        <v>203</v>
      </c>
      <c r="I122" s="323" t="s">
        <v>776</v>
      </c>
      <c r="J122" s="323" t="s">
        <v>1224</v>
      </c>
      <c r="K122" s="133"/>
      <c r="M122" s="323" t="s">
        <v>197</v>
      </c>
      <c r="N122" s="323" t="s">
        <v>198</v>
      </c>
      <c r="O122" s="323" t="s">
        <v>151</v>
      </c>
      <c r="P122" s="133">
        <v>547</v>
      </c>
      <c r="Q122" s="133">
        <v>2368</v>
      </c>
      <c r="U122" s="323" t="s">
        <v>218</v>
      </c>
    </row>
    <row r="123" spans="1:21" x14ac:dyDescent="0.25">
      <c r="A123" s="323" t="s">
        <v>151</v>
      </c>
      <c r="B123" s="323" t="s">
        <v>158</v>
      </c>
      <c r="G123" s="323" t="s">
        <v>1144</v>
      </c>
      <c r="H123" s="323" t="s">
        <v>1126</v>
      </c>
      <c r="I123" s="323" t="s">
        <v>460</v>
      </c>
      <c r="J123" s="73">
        <v>42370</v>
      </c>
      <c r="K123" s="133">
        <v>36</v>
      </c>
      <c r="M123" s="323" t="s">
        <v>187</v>
      </c>
      <c r="N123" s="323" t="s">
        <v>188</v>
      </c>
      <c r="O123" s="323" t="s">
        <v>151</v>
      </c>
      <c r="P123" s="133">
        <v>365</v>
      </c>
      <c r="Q123" s="133">
        <v>1730</v>
      </c>
      <c r="U123" s="323" t="s">
        <v>197</v>
      </c>
    </row>
    <row r="124" spans="1:21" x14ac:dyDescent="0.25">
      <c r="A124" s="323" t="s">
        <v>151</v>
      </c>
      <c r="B124" s="323" t="s">
        <v>812</v>
      </c>
      <c r="G124" s="323" t="s">
        <v>205</v>
      </c>
      <c r="H124" s="323" t="s">
        <v>390</v>
      </c>
      <c r="I124" s="323" t="s">
        <v>776</v>
      </c>
      <c r="J124" s="323" t="s">
        <v>1224</v>
      </c>
      <c r="K124" s="133"/>
      <c r="M124" s="323" t="s">
        <v>214</v>
      </c>
      <c r="N124" s="323" t="s">
        <v>215</v>
      </c>
      <c r="O124" s="323" t="s">
        <v>185</v>
      </c>
      <c r="P124" s="133">
        <v>356</v>
      </c>
      <c r="Q124" s="133">
        <v>1787</v>
      </c>
      <c r="U124" s="323" t="s">
        <v>187</v>
      </c>
    </row>
    <row r="125" spans="1:21" x14ac:dyDescent="0.25">
      <c r="A125" s="323" t="s">
        <v>151</v>
      </c>
      <c r="B125" s="323" t="s">
        <v>803</v>
      </c>
      <c r="G125" s="323" t="s">
        <v>160</v>
      </c>
      <c r="H125" s="323" t="s">
        <v>159</v>
      </c>
      <c r="I125" s="323" t="s">
        <v>460</v>
      </c>
      <c r="J125" s="73">
        <v>40940</v>
      </c>
      <c r="K125" s="133">
        <v>127</v>
      </c>
      <c r="M125" s="323" t="s">
        <v>153</v>
      </c>
      <c r="N125" s="323" t="s">
        <v>154</v>
      </c>
      <c r="O125" s="323" t="s">
        <v>151</v>
      </c>
      <c r="P125" s="133">
        <v>447</v>
      </c>
      <c r="Q125" s="133">
        <v>2332</v>
      </c>
      <c r="U125" s="323" t="s">
        <v>214</v>
      </c>
    </row>
    <row r="126" spans="1:21" x14ac:dyDescent="0.25">
      <c r="A126" s="323" t="s">
        <v>151</v>
      </c>
      <c r="B126" s="323" t="s">
        <v>802</v>
      </c>
      <c r="G126" s="323" t="s">
        <v>940</v>
      </c>
      <c r="H126" s="323" t="s">
        <v>941</v>
      </c>
      <c r="I126" s="323" t="s">
        <v>460</v>
      </c>
      <c r="J126" s="73">
        <v>41730</v>
      </c>
      <c r="K126" s="133">
        <v>154</v>
      </c>
      <c r="M126" s="323" t="s">
        <v>159</v>
      </c>
      <c r="N126" s="323" t="s">
        <v>160</v>
      </c>
      <c r="O126" s="323" t="s">
        <v>151</v>
      </c>
      <c r="P126" s="133">
        <v>127</v>
      </c>
      <c r="Q126" s="133">
        <v>649</v>
      </c>
      <c r="U126" s="323" t="s">
        <v>153</v>
      </c>
    </row>
    <row r="127" spans="1:21" x14ac:dyDescent="0.25">
      <c r="A127" s="323" t="s">
        <v>151</v>
      </c>
      <c r="B127" s="323" t="s">
        <v>160</v>
      </c>
      <c r="G127" s="323" t="s">
        <v>154</v>
      </c>
      <c r="H127" s="323" t="s">
        <v>153</v>
      </c>
      <c r="I127" s="323" t="s">
        <v>460</v>
      </c>
      <c r="J127" s="73">
        <v>40848</v>
      </c>
      <c r="K127" s="133">
        <v>447</v>
      </c>
      <c r="M127" s="323" t="s">
        <v>155</v>
      </c>
      <c r="N127" s="323" t="s">
        <v>156</v>
      </c>
      <c r="O127" s="323" t="s">
        <v>151</v>
      </c>
      <c r="P127" s="133">
        <v>175</v>
      </c>
      <c r="Q127" s="133">
        <v>834</v>
      </c>
      <c r="U127" s="323" t="s">
        <v>159</v>
      </c>
    </row>
    <row r="128" spans="1:21" x14ac:dyDescent="0.25">
      <c r="A128" s="323" t="s">
        <v>151</v>
      </c>
      <c r="B128" s="323" t="s">
        <v>154</v>
      </c>
      <c r="G128" s="323" t="s">
        <v>913</v>
      </c>
      <c r="H128" s="323" t="s">
        <v>914</v>
      </c>
      <c r="I128" s="323" t="s">
        <v>460</v>
      </c>
      <c r="J128" s="73">
        <v>41791</v>
      </c>
      <c r="K128" s="133">
        <v>156</v>
      </c>
      <c r="M128" s="323" t="s">
        <v>157</v>
      </c>
      <c r="N128" s="323" t="s">
        <v>158</v>
      </c>
      <c r="O128" s="323" t="s">
        <v>151</v>
      </c>
      <c r="P128" s="133">
        <v>0</v>
      </c>
      <c r="Q128" s="133">
        <v>0</v>
      </c>
      <c r="U128" s="323" t="s">
        <v>155</v>
      </c>
    </row>
    <row r="129" spans="1:21" x14ac:dyDescent="0.25">
      <c r="A129" s="323" t="s">
        <v>151</v>
      </c>
      <c r="B129" s="323" t="s">
        <v>156</v>
      </c>
      <c r="G129" s="323" t="s">
        <v>156</v>
      </c>
      <c r="H129" s="323" t="s">
        <v>155</v>
      </c>
      <c r="I129" s="323" t="s">
        <v>460</v>
      </c>
      <c r="J129" s="323" t="s">
        <v>1224</v>
      </c>
      <c r="K129" s="133">
        <v>175</v>
      </c>
      <c r="M129" s="323" t="s">
        <v>161</v>
      </c>
      <c r="N129" s="323" t="s">
        <v>162</v>
      </c>
      <c r="O129" s="323" t="s">
        <v>151</v>
      </c>
      <c r="P129" s="133">
        <v>0</v>
      </c>
      <c r="Q129" s="133">
        <v>0</v>
      </c>
      <c r="U129" s="323" t="s">
        <v>157</v>
      </c>
    </row>
    <row r="130" spans="1:21" x14ac:dyDescent="0.25">
      <c r="A130" s="323" t="s">
        <v>151</v>
      </c>
      <c r="B130" s="323" t="s">
        <v>152</v>
      </c>
      <c r="G130" s="323" t="s">
        <v>331</v>
      </c>
      <c r="H130" s="323" t="s">
        <v>330</v>
      </c>
      <c r="I130" s="323" t="s">
        <v>776</v>
      </c>
      <c r="J130" s="323" t="s">
        <v>1224</v>
      </c>
      <c r="K130" s="133">
        <v>0</v>
      </c>
      <c r="M130" s="323" t="s">
        <v>163</v>
      </c>
      <c r="N130" s="323" t="s">
        <v>164</v>
      </c>
      <c r="O130" s="323" t="s">
        <v>151</v>
      </c>
      <c r="P130" s="133">
        <v>0</v>
      </c>
      <c r="Q130" s="133">
        <v>0</v>
      </c>
      <c r="U130" s="323" t="s">
        <v>161</v>
      </c>
    </row>
    <row r="131" spans="1:21" x14ac:dyDescent="0.25">
      <c r="A131" s="323" t="s">
        <v>151</v>
      </c>
      <c r="B131" s="323" t="s">
        <v>295</v>
      </c>
      <c r="G131" s="323" t="s">
        <v>207</v>
      </c>
      <c r="H131" s="323" t="s">
        <v>206</v>
      </c>
      <c r="I131" s="323" t="s">
        <v>776</v>
      </c>
      <c r="J131" s="73">
        <v>40817</v>
      </c>
      <c r="K131" s="133"/>
      <c r="M131" s="323" t="s">
        <v>360</v>
      </c>
      <c r="N131" s="323" t="s">
        <v>35</v>
      </c>
      <c r="O131" s="323" t="s">
        <v>361</v>
      </c>
      <c r="P131" s="133">
        <v>0</v>
      </c>
      <c r="Q131" s="133">
        <v>0</v>
      </c>
      <c r="U131" s="323" t="s">
        <v>163</v>
      </c>
    </row>
    <row r="132" spans="1:21" x14ac:dyDescent="0.25">
      <c r="A132" s="323" t="s">
        <v>151</v>
      </c>
      <c r="B132" s="323" t="s">
        <v>471</v>
      </c>
      <c r="G132" s="323" t="s">
        <v>167</v>
      </c>
      <c r="H132" s="323" t="s">
        <v>165</v>
      </c>
      <c r="I132" s="323" t="s">
        <v>460</v>
      </c>
      <c r="J132" s="73">
        <v>41000</v>
      </c>
      <c r="K132" s="133">
        <v>33</v>
      </c>
      <c r="M132" s="323" t="s">
        <v>302</v>
      </c>
      <c r="N132" s="323" t="s">
        <v>303</v>
      </c>
      <c r="O132" s="323" t="s">
        <v>301</v>
      </c>
      <c r="P132" s="133">
        <v>375</v>
      </c>
      <c r="Q132" s="133">
        <v>1691</v>
      </c>
      <c r="U132" s="323" t="s">
        <v>360</v>
      </c>
    </row>
    <row r="133" spans="1:21" x14ac:dyDescent="0.25">
      <c r="A133" s="323" t="s">
        <v>151</v>
      </c>
      <c r="B133" s="323" t="s">
        <v>162</v>
      </c>
      <c r="G133" s="323" t="s">
        <v>761</v>
      </c>
      <c r="H133" s="323" t="s">
        <v>762</v>
      </c>
      <c r="I133" s="323" t="s">
        <v>460</v>
      </c>
      <c r="J133" s="73">
        <v>41030</v>
      </c>
      <c r="K133" s="133">
        <v>29</v>
      </c>
      <c r="M133" s="323" t="s">
        <v>87</v>
      </c>
      <c r="N133" s="323" t="s">
        <v>88</v>
      </c>
      <c r="O133" s="323" t="s">
        <v>480</v>
      </c>
      <c r="P133" s="133">
        <v>13</v>
      </c>
      <c r="Q133" s="133">
        <v>46</v>
      </c>
      <c r="U133" s="323" t="s">
        <v>302</v>
      </c>
    </row>
    <row r="134" spans="1:21" x14ac:dyDescent="0.25">
      <c r="A134" s="323" t="s">
        <v>151</v>
      </c>
      <c r="B134" s="323" t="s">
        <v>792</v>
      </c>
      <c r="G134" s="323" t="s">
        <v>152</v>
      </c>
      <c r="H134" s="323" t="s">
        <v>150</v>
      </c>
      <c r="I134" s="323" t="s">
        <v>460</v>
      </c>
      <c r="J134" s="73">
        <v>41579</v>
      </c>
      <c r="K134" s="133">
        <v>185</v>
      </c>
      <c r="M134" s="323" t="s">
        <v>285</v>
      </c>
      <c r="N134" s="323" t="s">
        <v>286</v>
      </c>
      <c r="O134" s="323" t="s">
        <v>180</v>
      </c>
      <c r="P134" s="133">
        <v>24</v>
      </c>
      <c r="Q134" s="133">
        <v>115</v>
      </c>
      <c r="U134" s="323" t="s">
        <v>87</v>
      </c>
    </row>
    <row r="135" spans="1:21" x14ac:dyDescent="0.25">
      <c r="A135" s="323" t="s">
        <v>151</v>
      </c>
      <c r="B135" s="323" t="s">
        <v>793</v>
      </c>
      <c r="G135" s="323" t="s">
        <v>54</v>
      </c>
      <c r="H135" s="323" t="s">
        <v>53</v>
      </c>
      <c r="I135" s="323" t="s">
        <v>776</v>
      </c>
      <c r="J135" s="323" t="s">
        <v>1224</v>
      </c>
      <c r="K135" s="133">
        <v>0</v>
      </c>
      <c r="M135" s="323" t="s">
        <v>9</v>
      </c>
      <c r="N135" s="323" t="s">
        <v>10</v>
      </c>
      <c r="O135" s="323" t="s">
        <v>5</v>
      </c>
      <c r="P135" s="133">
        <v>0</v>
      </c>
      <c r="Q135" s="133">
        <v>0</v>
      </c>
      <c r="U135" s="323" t="s">
        <v>285</v>
      </c>
    </row>
    <row r="136" spans="1:21" x14ac:dyDescent="0.25">
      <c r="A136" s="323" t="s">
        <v>151</v>
      </c>
      <c r="B136" s="323" t="s">
        <v>164</v>
      </c>
      <c r="G136" s="323" t="s">
        <v>66</v>
      </c>
      <c r="H136" s="323" t="s">
        <v>65</v>
      </c>
      <c r="I136" s="323" t="s">
        <v>776</v>
      </c>
      <c r="J136" s="323" t="s">
        <v>1224</v>
      </c>
      <c r="K136" s="133">
        <v>0</v>
      </c>
      <c r="M136" s="323" t="s">
        <v>352</v>
      </c>
      <c r="N136" s="323" t="s">
        <v>353</v>
      </c>
      <c r="O136" s="323" t="s">
        <v>309</v>
      </c>
      <c r="P136" s="133">
        <v>88</v>
      </c>
      <c r="Q136" s="133">
        <v>558</v>
      </c>
      <c r="U136" s="323" t="s">
        <v>9</v>
      </c>
    </row>
    <row r="137" spans="1:21" x14ac:dyDescent="0.25">
      <c r="A137" s="323" t="s">
        <v>151</v>
      </c>
      <c r="B137" s="323" t="s">
        <v>814</v>
      </c>
      <c r="G137" s="323" t="s">
        <v>80</v>
      </c>
      <c r="H137" s="323" t="s">
        <v>79</v>
      </c>
      <c r="I137" s="323" t="s">
        <v>776</v>
      </c>
      <c r="J137" s="323" t="s">
        <v>1224</v>
      </c>
      <c r="K137" s="133">
        <v>0</v>
      </c>
      <c r="M137" s="323" t="s">
        <v>271</v>
      </c>
      <c r="N137" s="323" t="s">
        <v>272</v>
      </c>
      <c r="O137" s="323" t="s">
        <v>237</v>
      </c>
      <c r="P137" s="133">
        <v>64</v>
      </c>
      <c r="Q137" s="133">
        <v>362</v>
      </c>
      <c r="U137" s="323" t="s">
        <v>352</v>
      </c>
    </row>
    <row r="138" spans="1:21" x14ac:dyDescent="0.25">
      <c r="A138" s="323" t="s">
        <v>151</v>
      </c>
      <c r="B138" s="323" t="s">
        <v>849</v>
      </c>
      <c r="G138" s="323" t="s">
        <v>102</v>
      </c>
      <c r="H138" s="323" t="s">
        <v>101</v>
      </c>
      <c r="I138" s="323" t="s">
        <v>776</v>
      </c>
      <c r="J138" s="323" t="s">
        <v>1224</v>
      </c>
      <c r="K138" s="133">
        <v>0</v>
      </c>
      <c r="M138" s="323" t="s">
        <v>11</v>
      </c>
      <c r="N138" s="323" t="s">
        <v>12</v>
      </c>
      <c r="O138" s="323" t="s">
        <v>5</v>
      </c>
      <c r="P138" s="133">
        <v>190</v>
      </c>
      <c r="Q138" s="133">
        <v>928</v>
      </c>
      <c r="U138" s="323" t="s">
        <v>271</v>
      </c>
    </row>
    <row r="139" spans="1:21" x14ac:dyDescent="0.25">
      <c r="A139" s="323" t="s">
        <v>151</v>
      </c>
      <c r="B139" s="323" t="s">
        <v>890</v>
      </c>
      <c r="G139" s="323" t="s">
        <v>106</v>
      </c>
      <c r="H139" s="323" t="s">
        <v>105</v>
      </c>
      <c r="I139" s="323" t="s">
        <v>776</v>
      </c>
      <c r="J139" s="323" t="s">
        <v>1224</v>
      </c>
      <c r="K139" s="133">
        <v>0</v>
      </c>
      <c r="M139" s="323" t="s">
        <v>91</v>
      </c>
      <c r="N139" s="323" t="s">
        <v>92</v>
      </c>
      <c r="O139" s="323" t="s">
        <v>480</v>
      </c>
      <c r="P139" s="133">
        <v>12</v>
      </c>
      <c r="Q139" s="133">
        <v>61</v>
      </c>
      <c r="U139" s="323" t="s">
        <v>11</v>
      </c>
    </row>
    <row r="140" spans="1:21" x14ac:dyDescent="0.25">
      <c r="A140" s="323" t="s">
        <v>151</v>
      </c>
      <c r="B140" s="323" t="s">
        <v>913</v>
      </c>
      <c r="G140" s="323" t="s">
        <v>116</v>
      </c>
      <c r="H140" s="323" t="s">
        <v>115</v>
      </c>
      <c r="I140" s="323" t="s">
        <v>776</v>
      </c>
      <c r="J140" s="323" t="s">
        <v>1224</v>
      </c>
      <c r="K140" s="133">
        <v>0</v>
      </c>
      <c r="M140" s="323" t="s">
        <v>119</v>
      </c>
      <c r="N140" s="323" t="s">
        <v>120</v>
      </c>
      <c r="O140" s="323" t="s">
        <v>480</v>
      </c>
      <c r="P140" s="133">
        <v>62</v>
      </c>
      <c r="Q140" s="133">
        <v>304</v>
      </c>
      <c r="U140" s="323" t="s">
        <v>91</v>
      </c>
    </row>
    <row r="141" spans="1:21" x14ac:dyDescent="0.25">
      <c r="A141" s="323" t="s">
        <v>151</v>
      </c>
      <c r="B141" s="323" t="s">
        <v>940</v>
      </c>
      <c r="G141" s="323" t="s">
        <v>130</v>
      </c>
      <c r="H141" s="323" t="s">
        <v>129</v>
      </c>
      <c r="I141" s="323" t="s">
        <v>776</v>
      </c>
      <c r="J141" s="323" t="s">
        <v>1224</v>
      </c>
      <c r="K141" s="133">
        <v>0</v>
      </c>
      <c r="M141" s="323" t="s">
        <v>51</v>
      </c>
      <c r="N141" s="323" t="s">
        <v>52</v>
      </c>
      <c r="O141" s="323" t="s">
        <v>480</v>
      </c>
      <c r="P141" s="133">
        <v>36</v>
      </c>
      <c r="Q141" s="133">
        <v>228</v>
      </c>
      <c r="U141" s="323" t="s">
        <v>119</v>
      </c>
    </row>
    <row r="142" spans="1:21" x14ac:dyDescent="0.25">
      <c r="A142" s="323" t="s">
        <v>166</v>
      </c>
      <c r="B142" s="323" t="s">
        <v>167</v>
      </c>
      <c r="G142" s="323" t="s">
        <v>138</v>
      </c>
      <c r="H142" s="323" t="s">
        <v>137</v>
      </c>
      <c r="I142" s="323" t="s">
        <v>776</v>
      </c>
      <c r="J142" s="323" t="s">
        <v>1224</v>
      </c>
      <c r="K142" s="133">
        <v>0</v>
      </c>
      <c r="M142" s="323" t="s">
        <v>47</v>
      </c>
      <c r="N142" s="323" t="s">
        <v>48</v>
      </c>
      <c r="O142" s="323" t="s">
        <v>480</v>
      </c>
      <c r="P142" s="133"/>
      <c r="Q142" s="133"/>
      <c r="U142" s="323" t="s">
        <v>51</v>
      </c>
    </row>
    <row r="143" spans="1:21" x14ac:dyDescent="0.25">
      <c r="A143" s="323" t="s">
        <v>166</v>
      </c>
      <c r="B143" s="323" t="s">
        <v>761</v>
      </c>
      <c r="G143" s="323" t="s">
        <v>262</v>
      </c>
      <c r="H143" s="323" t="s">
        <v>261</v>
      </c>
      <c r="I143" s="323" t="s">
        <v>460</v>
      </c>
      <c r="J143" s="73">
        <v>40817</v>
      </c>
      <c r="K143" s="133">
        <v>24</v>
      </c>
      <c r="M143" s="323" t="s">
        <v>127</v>
      </c>
      <c r="N143" s="323" t="s">
        <v>128</v>
      </c>
      <c r="O143" s="323" t="s">
        <v>480</v>
      </c>
      <c r="P143" s="133">
        <v>0</v>
      </c>
      <c r="Q143" s="133">
        <v>0</v>
      </c>
      <c r="U143" s="323" t="s">
        <v>47</v>
      </c>
    </row>
    <row r="144" spans="1:21" x14ac:dyDescent="0.25">
      <c r="A144" s="323" t="s">
        <v>166</v>
      </c>
      <c r="B144" s="323" t="s">
        <v>1144</v>
      </c>
      <c r="G144" s="323" t="s">
        <v>264</v>
      </c>
      <c r="H144" s="323" t="s">
        <v>263</v>
      </c>
      <c r="I144" s="323" t="s">
        <v>460</v>
      </c>
      <c r="J144" s="73">
        <v>40817</v>
      </c>
      <c r="K144" s="133">
        <v>14</v>
      </c>
      <c r="M144" s="323" t="s">
        <v>59</v>
      </c>
      <c r="N144" s="323" t="s">
        <v>60</v>
      </c>
      <c r="O144" s="323" t="s">
        <v>480</v>
      </c>
      <c r="P144" s="133"/>
      <c r="Q144" s="133"/>
      <c r="U144" s="323" t="s">
        <v>127</v>
      </c>
    </row>
    <row r="145" spans="1:21" x14ac:dyDescent="0.25">
      <c r="A145" s="323" t="s">
        <v>173</v>
      </c>
      <c r="B145" s="323" t="s">
        <v>174</v>
      </c>
      <c r="G145" s="323" t="s">
        <v>136</v>
      </c>
      <c r="H145" s="323" t="s">
        <v>135</v>
      </c>
      <c r="I145" s="323" t="s">
        <v>776</v>
      </c>
      <c r="J145" s="323" t="s">
        <v>1224</v>
      </c>
      <c r="K145" s="133">
        <v>0</v>
      </c>
      <c r="M145" s="323" t="s">
        <v>38</v>
      </c>
      <c r="N145" s="323" t="s">
        <v>39</v>
      </c>
      <c r="O145" s="323" t="s">
        <v>480</v>
      </c>
      <c r="P145" s="133"/>
      <c r="Q145" s="133"/>
      <c r="U145" s="323" t="s">
        <v>59</v>
      </c>
    </row>
    <row r="146" spans="1:21" x14ac:dyDescent="0.25">
      <c r="A146" s="323" t="s">
        <v>173</v>
      </c>
      <c r="B146" s="323" t="s">
        <v>178</v>
      </c>
      <c r="G146" s="323" t="s">
        <v>68</v>
      </c>
      <c r="H146" s="323" t="s">
        <v>67</v>
      </c>
      <c r="I146" s="323" t="s">
        <v>776</v>
      </c>
      <c r="J146" s="323" t="s">
        <v>1224</v>
      </c>
      <c r="K146" s="133">
        <v>0</v>
      </c>
      <c r="M146" s="323" t="s">
        <v>75</v>
      </c>
      <c r="N146" s="323" t="s">
        <v>76</v>
      </c>
      <c r="O146" s="323" t="s">
        <v>480</v>
      </c>
      <c r="P146" s="133">
        <v>70</v>
      </c>
      <c r="Q146" s="133">
        <v>375</v>
      </c>
      <c r="U146" s="323" t="s">
        <v>38</v>
      </c>
    </row>
    <row r="147" spans="1:21" x14ac:dyDescent="0.25">
      <c r="A147" s="323" t="s">
        <v>173</v>
      </c>
      <c r="B147" s="323" t="s">
        <v>1065</v>
      </c>
      <c r="G147" s="323" t="s">
        <v>84</v>
      </c>
      <c r="H147" s="323" t="s">
        <v>83</v>
      </c>
      <c r="I147" s="323" t="s">
        <v>776</v>
      </c>
      <c r="J147" s="323" t="s">
        <v>1224</v>
      </c>
      <c r="K147" s="133">
        <v>0</v>
      </c>
      <c r="M147" s="323" t="s">
        <v>73</v>
      </c>
      <c r="N147" s="323" t="s">
        <v>74</v>
      </c>
      <c r="O147" s="323" t="s">
        <v>480</v>
      </c>
      <c r="P147" s="133"/>
      <c r="Q147" s="133"/>
      <c r="U147" s="323" t="s">
        <v>75</v>
      </c>
    </row>
    <row r="148" spans="1:21" x14ac:dyDescent="0.25">
      <c r="A148" s="323" t="s">
        <v>173</v>
      </c>
      <c r="B148" s="323" t="s">
        <v>1064</v>
      </c>
      <c r="G148" s="323" t="s">
        <v>86</v>
      </c>
      <c r="H148" s="323" t="s">
        <v>85</v>
      </c>
      <c r="I148" s="323" t="s">
        <v>776</v>
      </c>
      <c r="J148" s="323" t="s">
        <v>1224</v>
      </c>
      <c r="K148" s="133">
        <v>0</v>
      </c>
      <c r="M148" s="323" t="s">
        <v>40</v>
      </c>
      <c r="N148" s="323" t="s">
        <v>41</v>
      </c>
      <c r="O148" s="323" t="s">
        <v>480</v>
      </c>
      <c r="P148" s="133">
        <v>65</v>
      </c>
      <c r="Q148" s="133">
        <v>353</v>
      </c>
      <c r="U148" s="323" t="s">
        <v>73</v>
      </c>
    </row>
    <row r="149" spans="1:21" x14ac:dyDescent="0.25">
      <c r="A149" s="323" t="s">
        <v>173</v>
      </c>
      <c r="B149" s="323" t="s">
        <v>1056</v>
      </c>
      <c r="G149" s="323" t="s">
        <v>100</v>
      </c>
      <c r="H149" s="323" t="s">
        <v>99</v>
      </c>
      <c r="I149" s="323" t="s">
        <v>460</v>
      </c>
      <c r="J149" s="73">
        <v>41122</v>
      </c>
      <c r="K149" s="133">
        <v>4</v>
      </c>
      <c r="M149" s="323" t="s">
        <v>141</v>
      </c>
      <c r="N149" s="323" t="s">
        <v>142</v>
      </c>
      <c r="O149" s="323" t="s">
        <v>480</v>
      </c>
      <c r="P149" s="133">
        <v>0</v>
      </c>
      <c r="Q149" s="133">
        <v>0</v>
      </c>
      <c r="U149" s="323" t="s">
        <v>40</v>
      </c>
    </row>
    <row r="150" spans="1:21" x14ac:dyDescent="0.25">
      <c r="A150" s="323" t="s">
        <v>173</v>
      </c>
      <c r="B150" s="323" t="s">
        <v>1510</v>
      </c>
      <c r="G150" s="323" t="s">
        <v>104</v>
      </c>
      <c r="H150" s="323" t="s">
        <v>103</v>
      </c>
      <c r="I150" s="323" t="s">
        <v>776</v>
      </c>
      <c r="J150" s="323" t="s">
        <v>1224</v>
      </c>
      <c r="K150" s="133">
        <v>0</v>
      </c>
      <c r="M150" s="323" t="s">
        <v>97</v>
      </c>
      <c r="N150" s="323" t="s">
        <v>98</v>
      </c>
      <c r="O150" s="323" t="s">
        <v>480</v>
      </c>
      <c r="P150" s="133">
        <v>0</v>
      </c>
      <c r="Q150" s="133">
        <v>0</v>
      </c>
      <c r="U150" s="323" t="s">
        <v>141</v>
      </c>
    </row>
    <row r="151" spans="1:21" x14ac:dyDescent="0.25">
      <c r="A151" s="323" t="s">
        <v>173</v>
      </c>
      <c r="B151" s="323" t="s">
        <v>1542</v>
      </c>
      <c r="G151" s="323" t="s">
        <v>98</v>
      </c>
      <c r="H151" s="323" t="s">
        <v>97</v>
      </c>
      <c r="I151" s="323" t="s">
        <v>776</v>
      </c>
      <c r="J151" s="323" t="s">
        <v>1224</v>
      </c>
      <c r="K151" s="133">
        <v>0</v>
      </c>
      <c r="M151" s="323" t="s">
        <v>61</v>
      </c>
      <c r="N151" s="323" t="s">
        <v>62</v>
      </c>
      <c r="O151" s="323" t="s">
        <v>480</v>
      </c>
      <c r="P151" s="133"/>
      <c r="Q151" s="133"/>
      <c r="U151" s="323" t="s">
        <v>97</v>
      </c>
    </row>
    <row r="152" spans="1:21" x14ac:dyDescent="0.25">
      <c r="A152" s="323" t="s">
        <v>180</v>
      </c>
      <c r="B152" s="323" t="s">
        <v>183</v>
      </c>
      <c r="G152" s="323" t="s">
        <v>1660</v>
      </c>
      <c r="H152" s="323" t="s">
        <v>383</v>
      </c>
      <c r="I152" s="323" t="s">
        <v>460</v>
      </c>
      <c r="J152" s="73">
        <v>41275</v>
      </c>
      <c r="K152" s="133">
        <v>76</v>
      </c>
      <c r="M152" s="323" t="s">
        <v>77</v>
      </c>
      <c r="N152" s="323" t="s">
        <v>78</v>
      </c>
      <c r="O152" s="323" t="s">
        <v>480</v>
      </c>
      <c r="P152" s="133"/>
      <c r="Q152" s="133"/>
      <c r="U152" s="323" t="s">
        <v>61</v>
      </c>
    </row>
    <row r="153" spans="1:21" x14ac:dyDescent="0.25">
      <c r="A153" s="323" t="s">
        <v>180</v>
      </c>
      <c r="B153" s="323" t="s">
        <v>286</v>
      </c>
      <c r="G153" s="323" t="s">
        <v>987</v>
      </c>
      <c r="H153" s="323" t="s">
        <v>989</v>
      </c>
      <c r="I153" s="323" t="s">
        <v>460</v>
      </c>
      <c r="J153" s="73">
        <v>41275</v>
      </c>
      <c r="K153" s="133">
        <v>14</v>
      </c>
      <c r="M153" s="323" t="s">
        <v>89</v>
      </c>
      <c r="N153" s="323" t="s">
        <v>90</v>
      </c>
      <c r="O153" s="323" t="s">
        <v>480</v>
      </c>
      <c r="P153" s="133">
        <v>19</v>
      </c>
      <c r="Q153" s="133">
        <v>102</v>
      </c>
      <c r="U153" s="323" t="s">
        <v>77</v>
      </c>
    </row>
    <row r="154" spans="1:21" x14ac:dyDescent="0.25">
      <c r="A154" s="323" t="s">
        <v>180</v>
      </c>
      <c r="B154" s="323" t="s">
        <v>181</v>
      </c>
      <c r="G154" s="323" t="s">
        <v>1035</v>
      </c>
      <c r="H154" s="323" t="s">
        <v>357</v>
      </c>
      <c r="I154" s="323" t="s">
        <v>776</v>
      </c>
      <c r="J154" s="323" t="s">
        <v>1224</v>
      </c>
      <c r="K154" s="133"/>
      <c r="M154" s="323" t="s">
        <v>117</v>
      </c>
      <c r="N154" s="323" t="s">
        <v>118</v>
      </c>
      <c r="O154" s="323" t="s">
        <v>480</v>
      </c>
      <c r="P154" s="133">
        <v>10</v>
      </c>
      <c r="Q154" s="133">
        <v>39</v>
      </c>
      <c r="U154" s="323" t="s">
        <v>89</v>
      </c>
    </row>
    <row r="155" spans="1:21" x14ac:dyDescent="0.25">
      <c r="A155" s="323" t="s">
        <v>180</v>
      </c>
      <c r="B155" s="323" t="s">
        <v>986</v>
      </c>
      <c r="G155" s="323" t="s">
        <v>209</v>
      </c>
      <c r="H155" s="323" t="s">
        <v>208</v>
      </c>
      <c r="I155" s="323" t="s">
        <v>460</v>
      </c>
      <c r="J155" s="73">
        <v>40695</v>
      </c>
      <c r="K155" s="133">
        <v>415</v>
      </c>
      <c r="M155" s="323" t="s">
        <v>123</v>
      </c>
      <c r="N155" s="323" t="s">
        <v>124</v>
      </c>
      <c r="O155" s="323" t="s">
        <v>480</v>
      </c>
      <c r="P155" s="133">
        <v>8</v>
      </c>
      <c r="Q155" s="133">
        <v>32</v>
      </c>
      <c r="U155" s="323" t="s">
        <v>117</v>
      </c>
    </row>
    <row r="156" spans="1:21" x14ac:dyDescent="0.25">
      <c r="A156" s="323" t="s">
        <v>180</v>
      </c>
      <c r="B156" s="323" t="s">
        <v>987</v>
      </c>
      <c r="G156" s="323" t="s">
        <v>211</v>
      </c>
      <c r="H156" s="323" t="s">
        <v>210</v>
      </c>
      <c r="I156" s="323" t="s">
        <v>776</v>
      </c>
      <c r="J156" s="73">
        <v>40756</v>
      </c>
      <c r="K156" s="133"/>
      <c r="M156" s="323" t="s">
        <v>125</v>
      </c>
      <c r="N156" s="323" t="s">
        <v>126</v>
      </c>
      <c r="O156" s="323" t="s">
        <v>480</v>
      </c>
      <c r="P156" s="133">
        <v>32</v>
      </c>
      <c r="Q156" s="133">
        <v>180</v>
      </c>
      <c r="U156" s="323" t="s">
        <v>123</v>
      </c>
    </row>
    <row r="157" spans="1:21" x14ac:dyDescent="0.25">
      <c r="A157" s="323" t="s">
        <v>185</v>
      </c>
      <c r="B157" s="323" t="s">
        <v>192</v>
      </c>
      <c r="G157" s="323" t="s">
        <v>1212</v>
      </c>
      <c r="H157" s="323" t="s">
        <v>1179</v>
      </c>
      <c r="I157" s="323" t="s">
        <v>776</v>
      </c>
      <c r="J157" s="323" t="s">
        <v>1224</v>
      </c>
      <c r="K157" s="133"/>
      <c r="M157" s="323" t="s">
        <v>63</v>
      </c>
      <c r="N157" s="323" t="s">
        <v>64</v>
      </c>
      <c r="O157" s="323" t="s">
        <v>480</v>
      </c>
      <c r="P157" s="133"/>
      <c r="Q157" s="133"/>
      <c r="U157" s="323" t="s">
        <v>125</v>
      </c>
    </row>
    <row r="158" spans="1:21" x14ac:dyDescent="0.25">
      <c r="A158" s="323" t="s">
        <v>185</v>
      </c>
      <c r="B158" s="323" t="s">
        <v>12</v>
      </c>
      <c r="G158" s="323" t="s">
        <v>1134</v>
      </c>
      <c r="H158" s="323" t="s">
        <v>1128</v>
      </c>
      <c r="I158" s="323" t="s">
        <v>460</v>
      </c>
      <c r="J158" s="73">
        <v>42430</v>
      </c>
      <c r="K158" s="133">
        <v>61</v>
      </c>
      <c r="M158" s="323" t="s">
        <v>81</v>
      </c>
      <c r="N158" s="323" t="s">
        <v>82</v>
      </c>
      <c r="O158" s="323" t="s">
        <v>480</v>
      </c>
      <c r="P158" s="133"/>
      <c r="Q158" s="133"/>
      <c r="U158" s="323" t="s">
        <v>63</v>
      </c>
    </row>
    <row r="159" spans="1:21" x14ac:dyDescent="0.25">
      <c r="A159" s="323" t="s">
        <v>185</v>
      </c>
      <c r="B159" s="323" t="s">
        <v>194</v>
      </c>
      <c r="G159" s="323" t="s">
        <v>1133</v>
      </c>
      <c r="H159" s="323" t="s">
        <v>1127</v>
      </c>
      <c r="I159" s="323" t="s">
        <v>776</v>
      </c>
      <c r="J159" s="73">
        <v>42401</v>
      </c>
      <c r="K159" s="133"/>
      <c r="M159" s="323" t="s">
        <v>57</v>
      </c>
      <c r="N159" s="323" t="s">
        <v>58</v>
      </c>
      <c r="O159" s="323" t="s">
        <v>480</v>
      </c>
      <c r="P159" s="133"/>
      <c r="Q159" s="133"/>
      <c r="U159" s="323" t="s">
        <v>81</v>
      </c>
    </row>
    <row r="160" spans="1:21" x14ac:dyDescent="0.25">
      <c r="A160" s="323" t="s">
        <v>185</v>
      </c>
      <c r="B160" s="323" t="s">
        <v>196</v>
      </c>
      <c r="G160" s="323" t="s">
        <v>233</v>
      </c>
      <c r="H160" s="323" t="s">
        <v>232</v>
      </c>
      <c r="I160" s="323" t="s">
        <v>776</v>
      </c>
      <c r="J160" s="73">
        <v>41091</v>
      </c>
      <c r="K160" s="133"/>
      <c r="M160" s="323" t="s">
        <v>55</v>
      </c>
      <c r="N160" s="323" t="s">
        <v>56</v>
      </c>
      <c r="O160" s="323" t="s">
        <v>480</v>
      </c>
      <c r="P160" s="133">
        <v>0</v>
      </c>
      <c r="Q160" s="133">
        <v>0</v>
      </c>
      <c r="U160" s="323" t="s">
        <v>57</v>
      </c>
    </row>
    <row r="161" spans="1:21" x14ac:dyDescent="0.25">
      <c r="A161" s="323" t="s">
        <v>185</v>
      </c>
      <c r="B161" s="323" t="s">
        <v>474</v>
      </c>
      <c r="G161" s="323" t="s">
        <v>235</v>
      </c>
      <c r="H161" s="323" t="s">
        <v>234</v>
      </c>
      <c r="I161" s="323" t="s">
        <v>776</v>
      </c>
      <c r="J161" s="323" t="s">
        <v>1224</v>
      </c>
      <c r="K161" s="133"/>
      <c r="M161" s="323" t="s">
        <v>42</v>
      </c>
      <c r="N161" s="323" t="s">
        <v>43</v>
      </c>
      <c r="O161" s="323" t="s">
        <v>480</v>
      </c>
      <c r="P161" s="133">
        <v>14</v>
      </c>
      <c r="Q161" s="133">
        <v>81</v>
      </c>
      <c r="U161" s="323" t="s">
        <v>55</v>
      </c>
    </row>
    <row r="162" spans="1:21" x14ac:dyDescent="0.25">
      <c r="A162" s="323" t="s">
        <v>185</v>
      </c>
      <c r="B162" s="323" t="s">
        <v>186</v>
      </c>
      <c r="G162" s="323" t="s">
        <v>295</v>
      </c>
      <c r="H162" s="323" t="s">
        <v>1136</v>
      </c>
      <c r="I162" s="323" t="s">
        <v>776</v>
      </c>
      <c r="J162" s="323" t="s">
        <v>1224</v>
      </c>
      <c r="K162" s="133"/>
      <c r="M162" s="323" t="s">
        <v>45</v>
      </c>
      <c r="N162" s="323" t="s">
        <v>44</v>
      </c>
      <c r="O162" s="323" t="s">
        <v>480</v>
      </c>
      <c r="P162" s="133">
        <v>4</v>
      </c>
      <c r="Q162" s="133">
        <v>27</v>
      </c>
      <c r="U162" s="323" t="s">
        <v>42</v>
      </c>
    </row>
    <row r="163" spans="1:21" x14ac:dyDescent="0.25">
      <c r="A163" s="323" t="s">
        <v>185</v>
      </c>
      <c r="B163" s="323" t="s">
        <v>223</v>
      </c>
      <c r="G163" s="323" t="s">
        <v>471</v>
      </c>
      <c r="H163" s="323" t="s">
        <v>472</v>
      </c>
      <c r="I163" s="323" t="s">
        <v>776</v>
      </c>
      <c r="J163" s="73">
        <v>41091</v>
      </c>
      <c r="K163" s="133">
        <v>0</v>
      </c>
      <c r="M163" s="323" t="s">
        <v>46</v>
      </c>
      <c r="N163" s="323" t="s">
        <v>551</v>
      </c>
      <c r="O163" s="323" t="s">
        <v>480</v>
      </c>
      <c r="P163" s="133">
        <v>11</v>
      </c>
      <c r="Q163" s="133">
        <v>46</v>
      </c>
      <c r="U163" s="323" t="s">
        <v>45</v>
      </c>
    </row>
    <row r="164" spans="1:21" x14ac:dyDescent="0.25">
      <c r="A164" s="323" t="s">
        <v>185</v>
      </c>
      <c r="B164" s="323" t="s">
        <v>190</v>
      </c>
      <c r="G164" s="323" t="s">
        <v>1150</v>
      </c>
      <c r="H164" s="323" t="s">
        <v>1131</v>
      </c>
      <c r="I164" s="323" t="s">
        <v>460</v>
      </c>
      <c r="J164" s="73">
        <v>42401</v>
      </c>
      <c r="K164" s="133">
        <v>30</v>
      </c>
      <c r="M164" s="323" t="s">
        <v>374</v>
      </c>
      <c r="N164" s="323" t="s">
        <v>364</v>
      </c>
      <c r="O164" s="323" t="s">
        <v>5</v>
      </c>
      <c r="P164" s="133">
        <v>147</v>
      </c>
      <c r="Q164" s="133">
        <v>771</v>
      </c>
      <c r="U164" s="323" t="s">
        <v>46</v>
      </c>
    </row>
    <row r="165" spans="1:21" x14ac:dyDescent="0.25">
      <c r="A165" s="323" t="s">
        <v>185</v>
      </c>
      <c r="B165" s="323" t="s">
        <v>200</v>
      </c>
      <c r="G165" s="323" t="s">
        <v>369</v>
      </c>
      <c r="H165" s="323" t="s">
        <v>147</v>
      </c>
      <c r="I165" s="323" t="s">
        <v>460</v>
      </c>
      <c r="J165" s="73">
        <v>40787</v>
      </c>
      <c r="K165" s="133">
        <v>42</v>
      </c>
      <c r="M165" s="323" t="s">
        <v>375</v>
      </c>
      <c r="N165" s="323" t="s">
        <v>465</v>
      </c>
      <c r="O165" s="323" t="s">
        <v>5</v>
      </c>
      <c r="P165" s="133">
        <v>12</v>
      </c>
      <c r="Q165" s="133">
        <v>52</v>
      </c>
      <c r="U165" s="323" t="s">
        <v>374</v>
      </c>
    </row>
    <row r="166" spans="1:21" x14ac:dyDescent="0.25">
      <c r="A166" s="323" t="s">
        <v>185</v>
      </c>
      <c r="B166" s="323" t="s">
        <v>202</v>
      </c>
      <c r="G166" s="323" t="s">
        <v>945</v>
      </c>
      <c r="H166" s="323" t="s">
        <v>944</v>
      </c>
      <c r="I166" s="323" t="s">
        <v>460</v>
      </c>
      <c r="J166" s="73">
        <v>40787</v>
      </c>
      <c r="K166" s="133">
        <v>22</v>
      </c>
      <c r="M166" s="323" t="s">
        <v>376</v>
      </c>
      <c r="N166" s="323" t="s">
        <v>363</v>
      </c>
      <c r="O166" s="323" t="s">
        <v>27</v>
      </c>
      <c r="P166" s="133">
        <v>143</v>
      </c>
      <c r="Q166" s="133">
        <v>640</v>
      </c>
      <c r="U166" s="323" t="s">
        <v>375</v>
      </c>
    </row>
    <row r="167" spans="1:21" x14ac:dyDescent="0.25">
      <c r="A167" s="323" t="s">
        <v>185</v>
      </c>
      <c r="B167" s="323" t="s">
        <v>204</v>
      </c>
      <c r="G167" s="323" t="s">
        <v>365</v>
      </c>
      <c r="H167" s="323" t="s">
        <v>384</v>
      </c>
      <c r="I167" s="323" t="s">
        <v>776</v>
      </c>
      <c r="J167" s="73">
        <v>40787</v>
      </c>
      <c r="K167" s="133">
        <v>0</v>
      </c>
      <c r="M167" s="323" t="s">
        <v>388</v>
      </c>
      <c r="N167" s="323" t="s">
        <v>12</v>
      </c>
      <c r="O167" s="323" t="s">
        <v>151</v>
      </c>
      <c r="P167" s="133">
        <v>80</v>
      </c>
      <c r="Q167" s="133">
        <v>290</v>
      </c>
      <c r="U167" s="323" t="s">
        <v>376</v>
      </c>
    </row>
    <row r="168" spans="1:21" x14ac:dyDescent="0.25">
      <c r="A168" s="323" t="s">
        <v>185</v>
      </c>
      <c r="B168" s="323" t="s">
        <v>205</v>
      </c>
      <c r="G168" s="323" t="s">
        <v>142</v>
      </c>
      <c r="H168" s="323" t="s">
        <v>141</v>
      </c>
      <c r="I168" s="323" t="s">
        <v>776</v>
      </c>
      <c r="J168" s="73">
        <v>41275</v>
      </c>
      <c r="K168" s="133">
        <v>0</v>
      </c>
      <c r="M168" s="323" t="s">
        <v>389</v>
      </c>
      <c r="N168" s="323" t="s">
        <v>12</v>
      </c>
      <c r="O168" s="323" t="s">
        <v>185</v>
      </c>
      <c r="P168" s="133">
        <v>223</v>
      </c>
      <c r="Q168" s="133">
        <v>1067</v>
      </c>
      <c r="U168" s="323" t="s">
        <v>388</v>
      </c>
    </row>
    <row r="169" spans="1:21" x14ac:dyDescent="0.25">
      <c r="A169" s="323" t="s">
        <v>185</v>
      </c>
      <c r="B169" s="323" t="s">
        <v>207</v>
      </c>
      <c r="G169" s="323" t="s">
        <v>905</v>
      </c>
      <c r="H169" s="323" t="s">
        <v>906</v>
      </c>
      <c r="I169" s="323" t="s">
        <v>460</v>
      </c>
      <c r="J169" s="73">
        <v>41703</v>
      </c>
      <c r="K169" s="133">
        <v>42</v>
      </c>
      <c r="M169" s="323" t="s">
        <v>390</v>
      </c>
      <c r="N169" s="323" t="s">
        <v>205</v>
      </c>
      <c r="O169" s="323" t="s">
        <v>185</v>
      </c>
      <c r="P169" s="133"/>
      <c r="Q169" s="133"/>
      <c r="U169" s="323" t="s">
        <v>389</v>
      </c>
    </row>
    <row r="170" spans="1:21" x14ac:dyDescent="0.25">
      <c r="A170" s="323" t="s">
        <v>185</v>
      </c>
      <c r="B170" s="323" t="s">
        <v>209</v>
      </c>
      <c r="G170" s="323" t="s">
        <v>915</v>
      </c>
      <c r="H170" s="323" t="s">
        <v>916</v>
      </c>
      <c r="I170" s="323" t="s">
        <v>460</v>
      </c>
      <c r="J170" s="73">
        <v>41734</v>
      </c>
      <c r="K170" s="133">
        <v>22</v>
      </c>
      <c r="M170" s="323" t="s">
        <v>391</v>
      </c>
      <c r="N170" s="323" t="s">
        <v>12</v>
      </c>
      <c r="O170" s="323" t="s">
        <v>301</v>
      </c>
      <c r="P170" s="133"/>
      <c r="Q170" s="133"/>
      <c r="U170" s="323" t="s">
        <v>390</v>
      </c>
    </row>
    <row r="171" spans="1:21" x14ac:dyDescent="0.25">
      <c r="A171" s="323" t="s">
        <v>185</v>
      </c>
      <c r="B171" s="323" t="s">
        <v>211</v>
      </c>
      <c r="G171" s="323" t="s">
        <v>8</v>
      </c>
      <c r="H171" s="323" t="s">
        <v>7</v>
      </c>
      <c r="I171" s="323" t="s">
        <v>460</v>
      </c>
      <c r="J171" s="73">
        <v>41183</v>
      </c>
      <c r="K171" s="133">
        <v>14</v>
      </c>
      <c r="M171" s="323" t="s">
        <v>475</v>
      </c>
      <c r="N171" s="323" t="s">
        <v>474</v>
      </c>
      <c r="O171" s="323" t="s">
        <v>185</v>
      </c>
      <c r="P171" s="133">
        <v>3</v>
      </c>
      <c r="Q171" s="133">
        <v>18</v>
      </c>
      <c r="U171" s="323" t="s">
        <v>391</v>
      </c>
    </row>
    <row r="172" spans="1:21" x14ac:dyDescent="0.25">
      <c r="A172" s="323" t="s">
        <v>185</v>
      </c>
      <c r="B172" s="323" t="s">
        <v>213</v>
      </c>
      <c r="G172" s="323" t="s">
        <v>1160</v>
      </c>
      <c r="H172" s="323" t="s">
        <v>1168</v>
      </c>
      <c r="I172" s="323" t="s">
        <v>460</v>
      </c>
      <c r="J172" s="73">
        <v>42584</v>
      </c>
      <c r="K172" s="133">
        <v>19</v>
      </c>
      <c r="M172" s="323" t="s">
        <v>468</v>
      </c>
      <c r="N172" s="323" t="s">
        <v>467</v>
      </c>
      <c r="O172" s="323" t="s">
        <v>480</v>
      </c>
      <c r="P172" s="133">
        <v>0</v>
      </c>
      <c r="Q172" s="133">
        <v>0</v>
      </c>
      <c r="U172" s="323" t="s">
        <v>475</v>
      </c>
    </row>
    <row r="173" spans="1:21" x14ac:dyDescent="0.25">
      <c r="A173" s="323" t="s">
        <v>185</v>
      </c>
      <c r="B173" s="323" t="s">
        <v>215</v>
      </c>
      <c r="G173" s="323" t="s">
        <v>266</v>
      </c>
      <c r="H173" s="323" t="s">
        <v>265</v>
      </c>
      <c r="I173" s="323" t="s">
        <v>776</v>
      </c>
      <c r="J173" s="73">
        <v>40817</v>
      </c>
      <c r="K173" s="133"/>
      <c r="M173" s="323" t="s">
        <v>470</v>
      </c>
      <c r="N173" s="323" t="s">
        <v>469</v>
      </c>
      <c r="O173" s="323" t="s">
        <v>151</v>
      </c>
      <c r="P173" s="133">
        <v>0</v>
      </c>
      <c r="Q173" s="133">
        <v>0</v>
      </c>
      <c r="U173" s="323" t="s">
        <v>468</v>
      </c>
    </row>
    <row r="174" spans="1:21" x14ac:dyDescent="0.25">
      <c r="A174" s="323" t="s">
        <v>185</v>
      </c>
      <c r="B174" s="323" t="s">
        <v>217</v>
      </c>
      <c r="G174" s="323" t="s">
        <v>213</v>
      </c>
      <c r="H174" s="323" t="s">
        <v>212</v>
      </c>
      <c r="I174" s="323" t="s">
        <v>460</v>
      </c>
      <c r="J174" s="323" t="s">
        <v>1224</v>
      </c>
      <c r="K174" s="133">
        <v>47</v>
      </c>
      <c r="M174" s="323" t="s">
        <v>472</v>
      </c>
      <c r="N174" s="323" t="s">
        <v>471</v>
      </c>
      <c r="O174" s="323" t="s">
        <v>151</v>
      </c>
      <c r="P174" s="133">
        <v>0</v>
      </c>
      <c r="Q174" s="133">
        <v>0</v>
      </c>
      <c r="U174" s="323" t="s">
        <v>470</v>
      </c>
    </row>
    <row r="175" spans="1:21" x14ac:dyDescent="0.25">
      <c r="A175" s="323" t="s">
        <v>185</v>
      </c>
      <c r="B175" s="323" t="s">
        <v>229</v>
      </c>
      <c r="G175" s="323" t="s">
        <v>162</v>
      </c>
      <c r="H175" s="323" t="s">
        <v>161</v>
      </c>
      <c r="I175" s="323" t="s">
        <v>776</v>
      </c>
      <c r="J175" s="323" t="s">
        <v>1224</v>
      </c>
      <c r="K175" s="133">
        <v>0</v>
      </c>
      <c r="M175" s="323" t="s">
        <v>473</v>
      </c>
      <c r="N175" s="323" t="s">
        <v>792</v>
      </c>
      <c r="O175" s="323" t="s">
        <v>151</v>
      </c>
      <c r="P175" s="133">
        <v>0</v>
      </c>
      <c r="Q175" s="133">
        <v>0</v>
      </c>
      <c r="U175" s="323" t="s">
        <v>472</v>
      </c>
    </row>
    <row r="176" spans="1:21" x14ac:dyDescent="0.25">
      <c r="A176" s="323" t="s">
        <v>185</v>
      </c>
      <c r="B176" s="323" t="s">
        <v>219</v>
      </c>
      <c r="G176" s="323" t="s">
        <v>291</v>
      </c>
      <c r="H176" s="323" t="s">
        <v>290</v>
      </c>
      <c r="I176" s="323" t="s">
        <v>460</v>
      </c>
      <c r="J176" s="73">
        <v>41609</v>
      </c>
      <c r="K176" s="133">
        <v>75</v>
      </c>
      <c r="M176" s="323" t="s">
        <v>751</v>
      </c>
      <c r="N176" s="323" t="s">
        <v>747</v>
      </c>
      <c r="O176" s="323" t="s">
        <v>747</v>
      </c>
      <c r="P176" s="133">
        <v>5</v>
      </c>
      <c r="Q176" s="133">
        <v>32</v>
      </c>
      <c r="U176" s="323" t="s">
        <v>473</v>
      </c>
    </row>
    <row r="177" spans="1:21" x14ac:dyDescent="0.25">
      <c r="A177" s="323" t="s">
        <v>185</v>
      </c>
      <c r="B177" s="323" t="s">
        <v>221</v>
      </c>
      <c r="G177" s="323" t="s">
        <v>289</v>
      </c>
      <c r="H177" s="323" t="s">
        <v>287</v>
      </c>
      <c r="I177" s="323" t="s">
        <v>460</v>
      </c>
      <c r="J177" s="73">
        <v>40878</v>
      </c>
      <c r="K177" s="133">
        <v>66</v>
      </c>
      <c r="M177" s="323" t="s">
        <v>753</v>
      </c>
      <c r="N177" s="323" t="s">
        <v>752</v>
      </c>
      <c r="O177" s="323" t="s">
        <v>309</v>
      </c>
      <c r="P177" s="133"/>
      <c r="Q177" s="133">
        <v>872</v>
      </c>
      <c r="U177" s="323" t="s">
        <v>751</v>
      </c>
    </row>
    <row r="178" spans="1:21" x14ac:dyDescent="0.25">
      <c r="A178" s="323" t="s">
        <v>185</v>
      </c>
      <c r="B178" s="323" t="s">
        <v>225</v>
      </c>
      <c r="G178" s="323" t="s">
        <v>907</v>
      </c>
      <c r="H178" s="323" t="s">
        <v>908</v>
      </c>
      <c r="I178" s="323" t="s">
        <v>460</v>
      </c>
      <c r="J178" s="73">
        <v>41947</v>
      </c>
      <c r="K178" s="133">
        <v>38</v>
      </c>
      <c r="M178" s="323" t="s">
        <v>794</v>
      </c>
      <c r="N178" s="323" t="s">
        <v>793</v>
      </c>
      <c r="O178" s="323" t="s">
        <v>151</v>
      </c>
      <c r="P178" s="133">
        <v>0</v>
      </c>
      <c r="Q178" s="133">
        <v>0</v>
      </c>
      <c r="U178" s="323" t="s">
        <v>753</v>
      </c>
    </row>
    <row r="179" spans="1:21" x14ac:dyDescent="0.25">
      <c r="A179" s="323" t="s">
        <v>185</v>
      </c>
      <c r="B179" s="323" t="s">
        <v>227</v>
      </c>
      <c r="G179" s="323" t="s">
        <v>372</v>
      </c>
      <c r="H179" s="323" t="s">
        <v>294</v>
      </c>
      <c r="I179" s="323" t="s">
        <v>460</v>
      </c>
      <c r="J179" s="73">
        <v>40878</v>
      </c>
      <c r="K179" s="133">
        <v>43</v>
      </c>
      <c r="M179" s="323" t="s">
        <v>790</v>
      </c>
      <c r="N179" s="323" t="s">
        <v>791</v>
      </c>
      <c r="O179" s="323" t="s">
        <v>27</v>
      </c>
      <c r="P179" s="133">
        <v>57</v>
      </c>
      <c r="Q179" s="133">
        <v>270</v>
      </c>
      <c r="U179" s="323" t="s">
        <v>794</v>
      </c>
    </row>
    <row r="180" spans="1:21" x14ac:dyDescent="0.25">
      <c r="A180" s="323" t="s">
        <v>185</v>
      </c>
      <c r="B180" s="323" t="s">
        <v>1082</v>
      </c>
      <c r="G180" s="323" t="s">
        <v>373</v>
      </c>
      <c r="H180" s="323" t="s">
        <v>387</v>
      </c>
      <c r="I180" s="323" t="s">
        <v>776</v>
      </c>
      <c r="J180" s="323" t="s">
        <v>1224</v>
      </c>
      <c r="K180" s="133">
        <v>0</v>
      </c>
      <c r="M180" s="323" t="s">
        <v>784</v>
      </c>
      <c r="N180" s="323" t="s">
        <v>796</v>
      </c>
      <c r="O180" s="323" t="s">
        <v>5</v>
      </c>
      <c r="P180" s="133">
        <v>0</v>
      </c>
      <c r="Q180" s="133">
        <v>0</v>
      </c>
      <c r="U180" s="323" t="s">
        <v>790</v>
      </c>
    </row>
    <row r="181" spans="1:21" x14ac:dyDescent="0.25">
      <c r="A181" s="323" t="s">
        <v>230</v>
      </c>
      <c r="B181" s="323" t="s">
        <v>169</v>
      </c>
      <c r="G181" s="323" t="s">
        <v>293</v>
      </c>
      <c r="H181" s="323" t="s">
        <v>292</v>
      </c>
      <c r="I181" s="323" t="s">
        <v>776</v>
      </c>
      <c r="J181" s="323" t="s">
        <v>1224</v>
      </c>
      <c r="K181" s="133"/>
      <c r="M181" s="323" t="s">
        <v>797</v>
      </c>
      <c r="N181" s="323" t="s">
        <v>803</v>
      </c>
      <c r="O181" s="323" t="s">
        <v>151</v>
      </c>
      <c r="P181" s="133">
        <v>0</v>
      </c>
      <c r="Q181" s="133">
        <v>0</v>
      </c>
      <c r="U181" s="323" t="s">
        <v>784</v>
      </c>
    </row>
    <row r="182" spans="1:21" x14ac:dyDescent="0.25">
      <c r="A182" s="323" t="s">
        <v>230</v>
      </c>
      <c r="B182" s="323" t="s">
        <v>231</v>
      </c>
      <c r="G182" s="323" t="s">
        <v>359</v>
      </c>
      <c r="H182" s="323" t="s">
        <v>772</v>
      </c>
      <c r="I182" s="323" t="s">
        <v>776</v>
      </c>
      <c r="J182" s="73">
        <v>40787</v>
      </c>
      <c r="K182" s="133">
        <v>9</v>
      </c>
      <c r="M182" s="323" t="s">
        <v>801</v>
      </c>
      <c r="N182" s="323" t="s">
        <v>802</v>
      </c>
      <c r="O182" s="323" t="s">
        <v>151</v>
      </c>
      <c r="P182" s="133">
        <v>0</v>
      </c>
      <c r="Q182" s="133">
        <v>0</v>
      </c>
      <c r="U182" s="323" t="s">
        <v>797</v>
      </c>
    </row>
    <row r="183" spans="1:21" x14ac:dyDescent="0.25">
      <c r="A183" s="323" t="s">
        <v>230</v>
      </c>
      <c r="B183" s="323" t="s">
        <v>233</v>
      </c>
      <c r="G183" s="323" t="s">
        <v>171</v>
      </c>
      <c r="H183" s="323" t="s">
        <v>170</v>
      </c>
      <c r="I183" s="323" t="s">
        <v>776</v>
      </c>
      <c r="J183" s="323" t="s">
        <v>1224</v>
      </c>
      <c r="K183" s="133"/>
      <c r="M183" s="323" t="s">
        <v>806</v>
      </c>
      <c r="N183" s="323" t="s">
        <v>805</v>
      </c>
      <c r="O183" s="323" t="s">
        <v>151</v>
      </c>
      <c r="P183" s="133">
        <v>0</v>
      </c>
      <c r="Q183" s="133">
        <v>0</v>
      </c>
      <c r="U183" s="323" t="s">
        <v>801</v>
      </c>
    </row>
    <row r="184" spans="1:21" x14ac:dyDescent="0.25">
      <c r="A184" s="323" t="s">
        <v>230</v>
      </c>
      <c r="B184" s="323" t="s">
        <v>235</v>
      </c>
      <c r="G184" s="323" t="s">
        <v>149</v>
      </c>
      <c r="H184" s="323" t="s">
        <v>148</v>
      </c>
      <c r="I184" s="323" t="s">
        <v>460</v>
      </c>
      <c r="J184" s="73">
        <v>40878</v>
      </c>
      <c r="K184" s="133">
        <v>58</v>
      </c>
      <c r="M184" s="323" t="s">
        <v>807</v>
      </c>
      <c r="N184" s="323" t="s">
        <v>809</v>
      </c>
      <c r="O184" s="323" t="s">
        <v>151</v>
      </c>
      <c r="P184" s="133">
        <v>0</v>
      </c>
      <c r="Q184" s="133">
        <v>0</v>
      </c>
      <c r="U184" s="323" t="s">
        <v>806</v>
      </c>
    </row>
    <row r="185" spans="1:21" x14ac:dyDescent="0.25">
      <c r="A185" s="323" t="s">
        <v>230</v>
      </c>
      <c r="B185" s="323" t="s">
        <v>359</v>
      </c>
      <c r="G185" s="323" t="s">
        <v>1605</v>
      </c>
      <c r="H185" s="323" t="s">
        <v>1129</v>
      </c>
      <c r="I185" s="323" t="s">
        <v>460</v>
      </c>
      <c r="J185" s="73">
        <v>42401</v>
      </c>
      <c r="K185" s="133">
        <v>39</v>
      </c>
      <c r="M185" s="323" t="s">
        <v>808</v>
      </c>
      <c r="N185" s="323" t="s">
        <v>804</v>
      </c>
      <c r="O185" s="323" t="s">
        <v>151</v>
      </c>
      <c r="P185" s="133">
        <v>0</v>
      </c>
      <c r="Q185" s="133">
        <v>0</v>
      </c>
      <c r="U185" s="323" t="s">
        <v>807</v>
      </c>
    </row>
    <row r="186" spans="1:21" x14ac:dyDescent="0.25">
      <c r="A186" s="323" t="s">
        <v>230</v>
      </c>
      <c r="B186" s="323" t="s">
        <v>171</v>
      </c>
      <c r="G186" s="323" t="s">
        <v>792</v>
      </c>
      <c r="H186" s="323" t="s">
        <v>473</v>
      </c>
      <c r="I186" s="323" t="s">
        <v>776</v>
      </c>
      <c r="J186" s="73">
        <v>41091</v>
      </c>
      <c r="K186" s="133">
        <v>0</v>
      </c>
      <c r="M186" s="323" t="s">
        <v>810</v>
      </c>
      <c r="N186" s="323" t="s">
        <v>811</v>
      </c>
      <c r="O186" s="323" t="s">
        <v>151</v>
      </c>
      <c r="P186" s="133">
        <v>0</v>
      </c>
      <c r="Q186" s="133">
        <v>0</v>
      </c>
      <c r="U186" s="323" t="s">
        <v>808</v>
      </c>
    </row>
    <row r="187" spans="1:21" x14ac:dyDescent="0.25">
      <c r="A187" s="323" t="s">
        <v>230</v>
      </c>
      <c r="B187" s="323" t="s">
        <v>905</v>
      </c>
      <c r="G187" s="323" t="s">
        <v>793</v>
      </c>
      <c r="H187" s="323" t="s">
        <v>794</v>
      </c>
      <c r="I187" s="323" t="s">
        <v>776</v>
      </c>
      <c r="J187" s="323" t="s">
        <v>1224</v>
      </c>
      <c r="K187" s="133">
        <v>0</v>
      </c>
      <c r="M187" s="323" t="s">
        <v>813</v>
      </c>
      <c r="N187" s="323" t="s">
        <v>812</v>
      </c>
      <c r="O187" s="323" t="s">
        <v>151</v>
      </c>
      <c r="P187" s="133">
        <v>432</v>
      </c>
      <c r="Q187" s="133">
        <v>2149</v>
      </c>
      <c r="U187" s="323" t="s">
        <v>810</v>
      </c>
    </row>
    <row r="188" spans="1:21" x14ac:dyDescent="0.25">
      <c r="A188" s="323" t="s">
        <v>230</v>
      </c>
      <c r="B188" s="323" t="s">
        <v>915</v>
      </c>
      <c r="G188" s="323" t="s">
        <v>164</v>
      </c>
      <c r="H188" s="323" t="s">
        <v>163</v>
      </c>
      <c r="I188" s="323" t="s">
        <v>776</v>
      </c>
      <c r="J188" s="323" t="s">
        <v>1224</v>
      </c>
      <c r="K188" s="133">
        <v>0</v>
      </c>
      <c r="M188" s="323" t="s">
        <v>815</v>
      </c>
      <c r="N188" s="323" t="s">
        <v>814</v>
      </c>
      <c r="O188" s="323" t="s">
        <v>151</v>
      </c>
      <c r="P188" s="133">
        <v>0</v>
      </c>
      <c r="Q188" s="133">
        <v>0</v>
      </c>
      <c r="U188" s="323" t="s">
        <v>813</v>
      </c>
    </row>
    <row r="189" spans="1:21" x14ac:dyDescent="0.25">
      <c r="A189" s="323" t="s">
        <v>230</v>
      </c>
      <c r="B189" s="323" t="s">
        <v>1202</v>
      </c>
      <c r="G189" s="323" t="s">
        <v>551</v>
      </c>
      <c r="H189" s="323" t="s">
        <v>46</v>
      </c>
      <c r="I189" s="323" t="s">
        <v>460</v>
      </c>
      <c r="J189" s="73">
        <v>41275</v>
      </c>
      <c r="K189" s="133">
        <v>11</v>
      </c>
      <c r="M189" s="323" t="s">
        <v>817</v>
      </c>
      <c r="N189" s="323" t="s">
        <v>816</v>
      </c>
      <c r="O189" s="323" t="s">
        <v>299</v>
      </c>
      <c r="P189" s="133">
        <v>0</v>
      </c>
      <c r="Q189" s="133">
        <v>0</v>
      </c>
      <c r="U189" s="323" t="s">
        <v>815</v>
      </c>
    </row>
    <row r="190" spans="1:21" x14ac:dyDescent="0.25">
      <c r="A190" s="323" t="s">
        <v>230</v>
      </c>
      <c r="B190" s="323" t="s">
        <v>1212</v>
      </c>
      <c r="G190" s="323" t="s">
        <v>1062</v>
      </c>
      <c r="H190" s="323" t="s">
        <v>1046</v>
      </c>
      <c r="I190" s="323" t="s">
        <v>460</v>
      </c>
      <c r="J190" s="73">
        <v>42036</v>
      </c>
      <c r="K190" s="133">
        <v>32</v>
      </c>
      <c r="M190" s="323" t="s">
        <v>821</v>
      </c>
      <c r="N190" s="323" t="s">
        <v>820</v>
      </c>
      <c r="O190" s="323" t="s">
        <v>818</v>
      </c>
      <c r="P190" s="133"/>
      <c r="Q190" s="133"/>
      <c r="U190" s="323" t="s">
        <v>817</v>
      </c>
    </row>
    <row r="191" spans="1:21" x14ac:dyDescent="0.25">
      <c r="A191" s="323" t="s">
        <v>230</v>
      </c>
      <c r="B191" s="323" t="s">
        <v>1213</v>
      </c>
      <c r="G191" s="323" t="s">
        <v>760</v>
      </c>
      <c r="H191" s="323" t="s">
        <v>296</v>
      </c>
      <c r="I191" s="323" t="s">
        <v>460</v>
      </c>
      <c r="J191" s="73">
        <v>41000</v>
      </c>
      <c r="K191" s="133">
        <v>41</v>
      </c>
      <c r="M191" s="323" t="s">
        <v>822</v>
      </c>
      <c r="N191" s="323" t="s">
        <v>823</v>
      </c>
      <c r="O191" s="323" t="s">
        <v>5</v>
      </c>
      <c r="P191" s="133"/>
      <c r="Q191" s="133"/>
      <c r="U191" s="323" t="s">
        <v>821</v>
      </c>
    </row>
    <row r="192" spans="1:21" x14ac:dyDescent="0.25">
      <c r="A192" s="323" t="s">
        <v>230</v>
      </c>
      <c r="B192" s="323" t="s">
        <v>1203</v>
      </c>
      <c r="G192" s="323" t="s">
        <v>534</v>
      </c>
      <c r="H192" s="323" t="s">
        <v>763</v>
      </c>
      <c r="I192" s="323" t="s">
        <v>776</v>
      </c>
      <c r="J192" s="323" t="s">
        <v>1224</v>
      </c>
      <c r="K192" s="133">
        <v>118</v>
      </c>
      <c r="M192" s="323" t="s">
        <v>287</v>
      </c>
      <c r="N192" s="323" t="s">
        <v>289</v>
      </c>
      <c r="O192" s="323" t="s">
        <v>288</v>
      </c>
      <c r="P192" s="133">
        <v>66</v>
      </c>
      <c r="Q192" s="133">
        <v>336</v>
      </c>
      <c r="U192" s="323" t="s">
        <v>822</v>
      </c>
    </row>
    <row r="193" spans="1:21" x14ac:dyDescent="0.25">
      <c r="A193" s="323" t="s">
        <v>230</v>
      </c>
      <c r="B193" s="323" t="s">
        <v>1214</v>
      </c>
      <c r="G193" s="323" t="s">
        <v>919</v>
      </c>
      <c r="H193" s="323" t="s">
        <v>912</v>
      </c>
      <c r="I193" s="323" t="s">
        <v>460</v>
      </c>
      <c r="J193" s="73">
        <v>41747</v>
      </c>
      <c r="K193" s="133">
        <v>126</v>
      </c>
      <c r="M193" s="323" t="s">
        <v>292</v>
      </c>
      <c r="N193" s="323" t="s">
        <v>293</v>
      </c>
      <c r="O193" s="323" t="s">
        <v>288</v>
      </c>
      <c r="P193" s="133"/>
      <c r="Q193" s="133"/>
      <c r="U193" s="323" t="s">
        <v>848</v>
      </c>
    </row>
    <row r="194" spans="1:21" x14ac:dyDescent="0.25">
      <c r="A194" s="323" t="s">
        <v>230</v>
      </c>
      <c r="B194" s="323" t="s">
        <v>1218</v>
      </c>
      <c r="G194" s="323" t="s">
        <v>1218</v>
      </c>
      <c r="H194" s="323" t="s">
        <v>1183</v>
      </c>
      <c r="I194" s="323" t="s">
        <v>776</v>
      </c>
      <c r="J194" s="323" t="s">
        <v>1224</v>
      </c>
      <c r="K194" s="133"/>
      <c r="M194" s="323" t="s">
        <v>294</v>
      </c>
      <c r="N194" s="323" t="s">
        <v>372</v>
      </c>
      <c r="O194" s="323" t="s">
        <v>288</v>
      </c>
      <c r="P194" s="133">
        <v>43</v>
      </c>
      <c r="Q194" s="133">
        <v>222</v>
      </c>
      <c r="U194" s="323" t="s">
        <v>876</v>
      </c>
    </row>
    <row r="195" spans="1:21" x14ac:dyDescent="0.25">
      <c r="A195" s="323" t="s">
        <v>230</v>
      </c>
      <c r="B195" s="323" t="s">
        <v>1196</v>
      </c>
      <c r="G195" s="323" t="s">
        <v>1542</v>
      </c>
      <c r="H195" s="323" t="s">
        <v>1573</v>
      </c>
      <c r="I195" s="323" t="s">
        <v>776</v>
      </c>
      <c r="J195" s="73">
        <v>42962</v>
      </c>
      <c r="K195" s="133">
        <v>245</v>
      </c>
      <c r="M195" s="323" t="s">
        <v>290</v>
      </c>
      <c r="N195" s="323" t="s">
        <v>291</v>
      </c>
      <c r="O195" s="323" t="s">
        <v>288</v>
      </c>
      <c r="P195" s="133">
        <v>75</v>
      </c>
      <c r="Q195" s="133">
        <v>367</v>
      </c>
      <c r="U195" s="323" t="s">
        <v>878</v>
      </c>
    </row>
    <row r="196" spans="1:21" x14ac:dyDescent="0.25">
      <c r="A196" s="323" t="s">
        <v>230</v>
      </c>
      <c r="B196" s="323" t="s">
        <v>1197</v>
      </c>
      <c r="G196" s="323" t="s">
        <v>1193</v>
      </c>
      <c r="H196" s="323" t="s">
        <v>1175</v>
      </c>
      <c r="I196" s="323" t="s">
        <v>776</v>
      </c>
      <c r="J196" s="323" t="s">
        <v>1224</v>
      </c>
      <c r="K196" s="133"/>
      <c r="M196" s="323" t="s">
        <v>234</v>
      </c>
      <c r="N196" s="323" t="s">
        <v>235</v>
      </c>
      <c r="O196" s="323" t="s">
        <v>230</v>
      </c>
      <c r="P196" s="133"/>
      <c r="Q196" s="133"/>
      <c r="U196" s="323" t="s">
        <v>891</v>
      </c>
    </row>
    <row r="197" spans="1:21" x14ac:dyDescent="0.25">
      <c r="A197" s="323" t="s">
        <v>230</v>
      </c>
      <c r="B197" s="323" t="s">
        <v>1198</v>
      </c>
      <c r="G197" s="323" t="s">
        <v>1194</v>
      </c>
      <c r="H197" s="323" t="s">
        <v>1176</v>
      </c>
      <c r="I197" s="323" t="s">
        <v>776</v>
      </c>
      <c r="J197" s="323" t="s">
        <v>1224</v>
      </c>
      <c r="K197" s="133"/>
      <c r="M197" s="323" t="s">
        <v>147</v>
      </c>
      <c r="N197" s="323" t="s">
        <v>369</v>
      </c>
      <c r="O197" s="323" t="s">
        <v>146</v>
      </c>
      <c r="P197" s="133">
        <v>42</v>
      </c>
      <c r="Q197" s="133">
        <v>234</v>
      </c>
      <c r="U197" s="323" t="s">
        <v>895</v>
      </c>
    </row>
    <row r="198" spans="1:21" x14ac:dyDescent="0.25">
      <c r="A198" s="323" t="s">
        <v>230</v>
      </c>
      <c r="B198" s="323" t="s">
        <v>1199</v>
      </c>
      <c r="G198" s="323" t="s">
        <v>1192</v>
      </c>
      <c r="H198" s="323" t="s">
        <v>1174</v>
      </c>
      <c r="I198" s="323" t="s">
        <v>776</v>
      </c>
      <c r="J198" s="323" t="s">
        <v>1224</v>
      </c>
      <c r="K198" s="133">
        <v>13</v>
      </c>
      <c r="M198" s="323" t="s">
        <v>148</v>
      </c>
      <c r="N198" s="323" t="s">
        <v>149</v>
      </c>
      <c r="O198" s="323" t="s">
        <v>146</v>
      </c>
      <c r="P198" s="133">
        <v>58</v>
      </c>
      <c r="Q198" s="133">
        <v>273</v>
      </c>
      <c r="U198" s="323" t="s">
        <v>914</v>
      </c>
    </row>
    <row r="199" spans="1:21" x14ac:dyDescent="0.25">
      <c r="A199" s="323" t="s">
        <v>230</v>
      </c>
      <c r="B199" s="323" t="s">
        <v>1200</v>
      </c>
      <c r="G199" s="323" t="s">
        <v>270</v>
      </c>
      <c r="H199" s="323" t="s">
        <v>269</v>
      </c>
      <c r="I199" s="323" t="s">
        <v>460</v>
      </c>
      <c r="J199" s="73">
        <v>40909</v>
      </c>
      <c r="K199" s="133">
        <v>58</v>
      </c>
      <c r="M199" s="323" t="s">
        <v>165</v>
      </c>
      <c r="N199" s="323" t="s">
        <v>167</v>
      </c>
      <c r="O199" s="323" t="s">
        <v>166</v>
      </c>
      <c r="P199" s="133">
        <v>33</v>
      </c>
      <c r="Q199" s="133">
        <v>182</v>
      </c>
      <c r="U199" s="323" t="s">
        <v>918</v>
      </c>
    </row>
    <row r="200" spans="1:21" x14ac:dyDescent="0.25">
      <c r="A200" s="323" t="s">
        <v>230</v>
      </c>
      <c r="B200" s="323" t="s">
        <v>716</v>
      </c>
      <c r="G200" s="323" t="s">
        <v>20</v>
      </c>
      <c r="H200" s="323" t="s">
        <v>19</v>
      </c>
      <c r="I200" s="323" t="s">
        <v>460</v>
      </c>
      <c r="J200" s="73">
        <v>40848</v>
      </c>
      <c r="K200" s="133">
        <v>21</v>
      </c>
      <c r="M200" s="323" t="s">
        <v>168</v>
      </c>
      <c r="N200" s="323" t="s">
        <v>169</v>
      </c>
      <c r="O200" s="323" t="s">
        <v>230</v>
      </c>
      <c r="P200" s="133"/>
      <c r="Q200" s="133"/>
      <c r="U200" s="323" t="s">
        <v>287</v>
      </c>
    </row>
    <row r="201" spans="1:21" x14ac:dyDescent="0.25">
      <c r="A201" s="323" t="s">
        <v>237</v>
      </c>
      <c r="B201" s="323" t="s">
        <v>252</v>
      </c>
      <c r="G201" s="323" t="s">
        <v>108</v>
      </c>
      <c r="H201" s="323" t="s">
        <v>107</v>
      </c>
      <c r="I201" s="323" t="s">
        <v>460</v>
      </c>
      <c r="J201" s="73">
        <v>41487</v>
      </c>
      <c r="K201" s="133">
        <v>48</v>
      </c>
      <c r="M201" s="323" t="s">
        <v>170</v>
      </c>
      <c r="N201" s="323" t="s">
        <v>171</v>
      </c>
      <c r="O201" s="323" t="s">
        <v>230</v>
      </c>
      <c r="P201" s="133"/>
      <c r="Q201" s="133"/>
      <c r="U201" s="323" t="s">
        <v>292</v>
      </c>
    </row>
    <row r="202" spans="1:21" x14ac:dyDescent="0.25">
      <c r="A202" s="323" t="s">
        <v>237</v>
      </c>
      <c r="B202" s="323" t="s">
        <v>254</v>
      </c>
      <c r="G202" s="323" t="s">
        <v>183</v>
      </c>
      <c r="H202" s="323" t="s">
        <v>182</v>
      </c>
      <c r="I202" s="323" t="s">
        <v>776</v>
      </c>
      <c r="J202" s="73">
        <v>40969</v>
      </c>
      <c r="K202" s="133">
        <v>0</v>
      </c>
      <c r="M202" s="323" t="s">
        <v>232</v>
      </c>
      <c r="N202" s="323" t="s">
        <v>233</v>
      </c>
      <c r="O202" s="323" t="s">
        <v>230</v>
      </c>
      <c r="P202" s="133"/>
      <c r="Q202" s="133"/>
      <c r="U202" s="323" t="s">
        <v>294</v>
      </c>
    </row>
    <row r="203" spans="1:21" x14ac:dyDescent="0.25">
      <c r="A203" s="323" t="s">
        <v>237</v>
      </c>
      <c r="B203" s="323" t="s">
        <v>256</v>
      </c>
      <c r="G203" s="323" t="s">
        <v>535</v>
      </c>
      <c r="H203" s="323" t="s">
        <v>773</v>
      </c>
      <c r="I203" s="323" t="s">
        <v>460</v>
      </c>
      <c r="J203" s="73">
        <v>41365</v>
      </c>
      <c r="K203" s="133">
        <v>67</v>
      </c>
      <c r="M203" s="323" t="s">
        <v>296</v>
      </c>
      <c r="N203" s="323" t="s">
        <v>760</v>
      </c>
      <c r="O203" s="323" t="s">
        <v>297</v>
      </c>
      <c r="P203" s="133">
        <v>41</v>
      </c>
      <c r="Q203" s="133">
        <v>179</v>
      </c>
      <c r="U203" s="323" t="s">
        <v>290</v>
      </c>
    </row>
    <row r="204" spans="1:21" x14ac:dyDescent="0.25">
      <c r="A204" s="323" t="s">
        <v>237</v>
      </c>
      <c r="B204" s="323" t="s">
        <v>240</v>
      </c>
      <c r="G204" s="323" t="s">
        <v>178</v>
      </c>
      <c r="H204" s="323" t="s">
        <v>177</v>
      </c>
      <c r="I204" s="323" t="s">
        <v>460</v>
      </c>
      <c r="J204" s="73">
        <v>40969</v>
      </c>
      <c r="K204" s="133">
        <v>10</v>
      </c>
      <c r="M204" s="323" t="s">
        <v>380</v>
      </c>
      <c r="N204" s="323" t="s">
        <v>370</v>
      </c>
      <c r="O204" s="323" t="s">
        <v>146</v>
      </c>
      <c r="P204" s="133"/>
      <c r="Q204" s="133"/>
      <c r="U204" s="323" t="s">
        <v>234</v>
      </c>
    </row>
    <row r="205" spans="1:21" x14ac:dyDescent="0.25">
      <c r="A205" s="323" t="s">
        <v>237</v>
      </c>
      <c r="B205" s="323" t="s">
        <v>284</v>
      </c>
      <c r="G205" s="323" t="s">
        <v>816</v>
      </c>
      <c r="H205" s="323" t="s">
        <v>817</v>
      </c>
      <c r="I205" s="323" t="s">
        <v>776</v>
      </c>
      <c r="J205" s="73">
        <v>41487</v>
      </c>
      <c r="K205" s="133">
        <v>0</v>
      </c>
      <c r="M205" s="323" t="s">
        <v>381</v>
      </c>
      <c r="N205" s="323" t="s">
        <v>367</v>
      </c>
      <c r="O205" s="323" t="s">
        <v>146</v>
      </c>
      <c r="P205" s="133">
        <v>56</v>
      </c>
      <c r="Q205" s="133">
        <v>264</v>
      </c>
      <c r="U205" s="323" t="s">
        <v>147</v>
      </c>
    </row>
    <row r="206" spans="1:21" x14ac:dyDescent="0.25">
      <c r="A206" s="323" t="s">
        <v>237</v>
      </c>
      <c r="B206" s="323" t="s">
        <v>258</v>
      </c>
      <c r="G206" s="323" t="s">
        <v>342</v>
      </c>
      <c r="H206" s="323" t="s">
        <v>341</v>
      </c>
      <c r="I206" s="323" t="s">
        <v>460</v>
      </c>
      <c r="J206" s="73">
        <v>41030</v>
      </c>
      <c r="K206" s="133">
        <v>20</v>
      </c>
      <c r="M206" s="323" t="s">
        <v>382</v>
      </c>
      <c r="N206" s="323" t="s">
        <v>368</v>
      </c>
      <c r="O206" s="323" t="s">
        <v>146</v>
      </c>
      <c r="P206" s="133">
        <v>29</v>
      </c>
      <c r="Q206" s="133">
        <v>138</v>
      </c>
      <c r="U206" s="323" t="s">
        <v>148</v>
      </c>
    </row>
    <row r="207" spans="1:21" x14ac:dyDescent="0.25">
      <c r="A207" s="323" t="s">
        <v>237</v>
      </c>
      <c r="B207" s="323" t="s">
        <v>260</v>
      </c>
      <c r="G207" s="323" t="s">
        <v>286</v>
      </c>
      <c r="H207" s="323" t="s">
        <v>285</v>
      </c>
      <c r="I207" s="323" t="s">
        <v>460</v>
      </c>
      <c r="J207" s="73">
        <v>40940</v>
      </c>
      <c r="K207" s="133">
        <v>24</v>
      </c>
      <c r="M207" s="323" t="s">
        <v>383</v>
      </c>
      <c r="N207" s="323" t="s">
        <v>1660</v>
      </c>
      <c r="O207" s="323" t="s">
        <v>146</v>
      </c>
      <c r="P207" s="133">
        <v>76</v>
      </c>
      <c r="Q207" s="133">
        <v>338</v>
      </c>
      <c r="U207" s="323" t="s">
        <v>165</v>
      </c>
    </row>
    <row r="208" spans="1:21" x14ac:dyDescent="0.25">
      <c r="A208" s="323" t="s">
        <v>237</v>
      </c>
      <c r="B208" s="323" t="s">
        <v>262</v>
      </c>
      <c r="G208" s="323" t="s">
        <v>1036</v>
      </c>
      <c r="H208" s="323" t="s">
        <v>358</v>
      </c>
      <c r="I208" s="323" t="s">
        <v>776</v>
      </c>
      <c r="J208" s="323" t="s">
        <v>1224</v>
      </c>
      <c r="K208" s="133"/>
      <c r="M208" s="323" t="s">
        <v>384</v>
      </c>
      <c r="N208" s="323" t="s">
        <v>365</v>
      </c>
      <c r="O208" s="323" t="s">
        <v>146</v>
      </c>
      <c r="P208" s="133">
        <v>0</v>
      </c>
      <c r="Q208" s="133">
        <v>0</v>
      </c>
      <c r="U208" s="323" t="s">
        <v>168</v>
      </c>
    </row>
    <row r="209" spans="1:21" x14ac:dyDescent="0.25">
      <c r="A209" s="323" t="s">
        <v>237</v>
      </c>
      <c r="B209" s="323" t="s">
        <v>264</v>
      </c>
      <c r="G209" s="323" t="s">
        <v>1068</v>
      </c>
      <c r="H209" s="323" t="s">
        <v>1069</v>
      </c>
      <c r="I209" s="323" t="s">
        <v>460</v>
      </c>
      <c r="J209" s="73">
        <v>42036</v>
      </c>
      <c r="K209" s="133">
        <v>126</v>
      </c>
      <c r="M209" s="323" t="s">
        <v>385</v>
      </c>
      <c r="N209" s="323" t="s">
        <v>371</v>
      </c>
      <c r="O209" s="323" t="s">
        <v>146</v>
      </c>
      <c r="P209" s="133">
        <v>196</v>
      </c>
      <c r="Q209" s="133">
        <v>1008</v>
      </c>
      <c r="U209" s="323" t="s">
        <v>170</v>
      </c>
    </row>
    <row r="210" spans="1:21" x14ac:dyDescent="0.25">
      <c r="A210" s="323" t="s">
        <v>237</v>
      </c>
      <c r="B210" s="323" t="s">
        <v>266</v>
      </c>
      <c r="G210" s="323" t="s">
        <v>1084</v>
      </c>
      <c r="H210" s="323" t="s">
        <v>1085</v>
      </c>
      <c r="I210" s="323" t="s">
        <v>460</v>
      </c>
      <c r="J210" s="73">
        <v>42036</v>
      </c>
      <c r="K210" s="133">
        <v>105</v>
      </c>
      <c r="M210" s="323" t="s">
        <v>386</v>
      </c>
      <c r="N210" s="323" t="s">
        <v>231</v>
      </c>
      <c r="O210" s="323" t="s">
        <v>230</v>
      </c>
      <c r="P210" s="133">
        <v>32</v>
      </c>
      <c r="Q210" s="133">
        <v>187</v>
      </c>
      <c r="U210" s="323" t="s">
        <v>232</v>
      </c>
    </row>
    <row r="211" spans="1:21" x14ac:dyDescent="0.25">
      <c r="A211" s="323" t="s">
        <v>237</v>
      </c>
      <c r="B211" s="323" t="s">
        <v>270</v>
      </c>
      <c r="G211" s="323" t="s">
        <v>110</v>
      </c>
      <c r="H211" s="323" t="s">
        <v>109</v>
      </c>
      <c r="I211" s="323" t="s">
        <v>776</v>
      </c>
      <c r="J211" s="73">
        <v>41122</v>
      </c>
      <c r="K211" s="133">
        <v>0</v>
      </c>
      <c r="M211" s="323" t="s">
        <v>387</v>
      </c>
      <c r="N211" s="323" t="s">
        <v>373</v>
      </c>
      <c r="O211" s="323" t="s">
        <v>288</v>
      </c>
      <c r="P211" s="133">
        <v>0</v>
      </c>
      <c r="Q211" s="133">
        <v>0</v>
      </c>
      <c r="U211" s="323" t="s">
        <v>296</v>
      </c>
    </row>
    <row r="212" spans="1:21" x14ac:dyDescent="0.25">
      <c r="A212" s="323" t="s">
        <v>237</v>
      </c>
      <c r="B212" s="323" t="s">
        <v>268</v>
      </c>
      <c r="G212" s="323" t="s">
        <v>112</v>
      </c>
      <c r="H212" s="323" t="s">
        <v>111</v>
      </c>
      <c r="I212" s="323" t="s">
        <v>776</v>
      </c>
      <c r="J212" s="323" t="s">
        <v>1224</v>
      </c>
      <c r="K212" s="133">
        <v>0</v>
      </c>
      <c r="M212" s="323" t="s">
        <v>772</v>
      </c>
      <c r="N212" s="323" t="s">
        <v>359</v>
      </c>
      <c r="O212" s="323" t="s">
        <v>230</v>
      </c>
      <c r="P212" s="133">
        <v>9</v>
      </c>
      <c r="Q212" s="133">
        <v>44</v>
      </c>
      <c r="U212" s="323" t="s">
        <v>380</v>
      </c>
    </row>
    <row r="213" spans="1:21" x14ac:dyDescent="0.25">
      <c r="A213" s="323" t="s">
        <v>237</v>
      </c>
      <c r="B213" s="323" t="s">
        <v>272</v>
      </c>
      <c r="G213" s="323" t="s">
        <v>215</v>
      </c>
      <c r="H213" s="323" t="s">
        <v>214</v>
      </c>
      <c r="I213" s="323" t="s">
        <v>460</v>
      </c>
      <c r="J213" s="73">
        <v>41000</v>
      </c>
      <c r="K213" s="133">
        <v>356</v>
      </c>
      <c r="M213" s="323" t="s">
        <v>773</v>
      </c>
      <c r="N213" s="323" t="s">
        <v>535</v>
      </c>
      <c r="O213" s="323" t="s">
        <v>719</v>
      </c>
      <c r="P213" s="133">
        <v>67</v>
      </c>
      <c r="Q213" s="133">
        <v>392</v>
      </c>
      <c r="U213" s="323" t="s">
        <v>381</v>
      </c>
    </row>
    <row r="214" spans="1:21" x14ac:dyDescent="0.25">
      <c r="A214" s="323" t="s">
        <v>237</v>
      </c>
      <c r="B214" s="323" t="s">
        <v>276</v>
      </c>
      <c r="G214" s="323" t="s">
        <v>217</v>
      </c>
      <c r="H214" s="323" t="s">
        <v>216</v>
      </c>
      <c r="I214" s="323" t="s">
        <v>776</v>
      </c>
      <c r="J214" s="73">
        <v>40817</v>
      </c>
      <c r="K214" s="133"/>
      <c r="M214" s="323" t="s">
        <v>762</v>
      </c>
      <c r="N214" s="323" t="s">
        <v>761</v>
      </c>
      <c r="O214" s="323" t="s">
        <v>166</v>
      </c>
      <c r="P214" s="133">
        <v>29</v>
      </c>
      <c r="Q214" s="133">
        <v>171</v>
      </c>
      <c r="U214" s="323" t="s">
        <v>382</v>
      </c>
    </row>
    <row r="215" spans="1:21" x14ac:dyDescent="0.25">
      <c r="A215" s="323" t="s">
        <v>237</v>
      </c>
      <c r="B215" s="323" t="s">
        <v>278</v>
      </c>
      <c r="G215" s="323" t="s">
        <v>268</v>
      </c>
      <c r="H215" s="323" t="s">
        <v>267</v>
      </c>
      <c r="I215" s="323" t="s">
        <v>460</v>
      </c>
      <c r="J215" s="73">
        <v>40695</v>
      </c>
      <c r="K215" s="133">
        <v>67</v>
      </c>
      <c r="M215" s="323" t="s">
        <v>763</v>
      </c>
      <c r="N215" s="323" t="s">
        <v>534</v>
      </c>
      <c r="O215" s="323" t="s">
        <v>297</v>
      </c>
      <c r="P215" s="133">
        <v>118</v>
      </c>
      <c r="Q215" s="133">
        <v>520</v>
      </c>
      <c r="U215" s="323" t="s">
        <v>383</v>
      </c>
    </row>
    <row r="216" spans="1:21" x14ac:dyDescent="0.25">
      <c r="A216" s="323" t="s">
        <v>237</v>
      </c>
      <c r="B216" s="323" t="s">
        <v>280</v>
      </c>
      <c r="G216" s="323" t="s">
        <v>229</v>
      </c>
      <c r="H216" s="323" t="s">
        <v>228</v>
      </c>
      <c r="I216" s="323" t="s">
        <v>460</v>
      </c>
      <c r="J216" s="73">
        <v>41122</v>
      </c>
      <c r="K216" s="133">
        <v>48</v>
      </c>
      <c r="M216" s="323" t="s">
        <v>839</v>
      </c>
      <c r="N216" s="323" t="s">
        <v>838</v>
      </c>
      <c r="O216" s="323" t="s">
        <v>146</v>
      </c>
      <c r="P216" s="133">
        <v>0</v>
      </c>
      <c r="Q216" s="133">
        <v>0</v>
      </c>
      <c r="U216" s="323" t="s">
        <v>384</v>
      </c>
    </row>
    <row r="217" spans="1:21" x14ac:dyDescent="0.25">
      <c r="A217" s="323" t="s">
        <v>237</v>
      </c>
      <c r="B217" s="323" t="s">
        <v>238</v>
      </c>
      <c r="G217" s="323" t="s">
        <v>272</v>
      </c>
      <c r="H217" s="323" t="s">
        <v>271</v>
      </c>
      <c r="I217" s="323" t="s">
        <v>460</v>
      </c>
      <c r="J217" s="73">
        <v>41244</v>
      </c>
      <c r="K217" s="133">
        <v>64</v>
      </c>
      <c r="M217" s="323" t="s">
        <v>841</v>
      </c>
      <c r="N217" s="323" t="s">
        <v>840</v>
      </c>
      <c r="O217" s="323" t="s">
        <v>146</v>
      </c>
      <c r="P217" s="133">
        <v>0</v>
      </c>
      <c r="Q217" s="133">
        <v>0</v>
      </c>
      <c r="U217" s="323" t="s">
        <v>385</v>
      </c>
    </row>
    <row r="218" spans="1:21" x14ac:dyDescent="0.25">
      <c r="A218" s="323" t="s">
        <v>237</v>
      </c>
      <c r="B218" s="323" t="s">
        <v>248</v>
      </c>
      <c r="G218" s="323" t="s">
        <v>219</v>
      </c>
      <c r="H218" s="323" t="s">
        <v>218</v>
      </c>
      <c r="I218" s="323" t="s">
        <v>460</v>
      </c>
      <c r="J218" s="73">
        <v>41000</v>
      </c>
      <c r="K218" s="133">
        <v>651</v>
      </c>
      <c r="M218" s="323" t="s">
        <v>848</v>
      </c>
      <c r="N218" s="323" t="s">
        <v>849</v>
      </c>
      <c r="O218" s="323" t="s">
        <v>151</v>
      </c>
      <c r="P218" s="133">
        <v>172</v>
      </c>
      <c r="Q218" s="133">
        <v>783</v>
      </c>
      <c r="U218" s="323" t="s">
        <v>386</v>
      </c>
    </row>
    <row r="219" spans="1:21" x14ac:dyDescent="0.25">
      <c r="A219" s="323" t="s">
        <v>237</v>
      </c>
      <c r="B219" s="323" t="s">
        <v>250</v>
      </c>
      <c r="G219" s="323" t="s">
        <v>1032</v>
      </c>
      <c r="H219" s="323" t="s">
        <v>343</v>
      </c>
      <c r="I219" s="323" t="s">
        <v>460</v>
      </c>
      <c r="J219" s="73">
        <v>40725</v>
      </c>
      <c r="K219" s="133">
        <v>163</v>
      </c>
      <c r="M219" s="323" t="s">
        <v>876</v>
      </c>
      <c r="N219" s="323" t="s">
        <v>879</v>
      </c>
      <c r="O219" s="323" t="s">
        <v>5</v>
      </c>
      <c r="P219" s="133"/>
      <c r="Q219" s="133"/>
      <c r="U219" s="323" t="s">
        <v>387</v>
      </c>
    </row>
    <row r="220" spans="1:21" x14ac:dyDescent="0.25">
      <c r="A220" s="323" t="s">
        <v>237</v>
      </c>
      <c r="B220" s="323" t="s">
        <v>274</v>
      </c>
      <c r="G220" s="323" t="s">
        <v>1555</v>
      </c>
      <c r="H220" s="323" t="s">
        <v>1577</v>
      </c>
      <c r="I220" s="323" t="s">
        <v>460</v>
      </c>
      <c r="J220" s="73">
        <v>42370</v>
      </c>
      <c r="K220" s="133">
        <v>39</v>
      </c>
      <c r="M220" s="323" t="s">
        <v>878</v>
      </c>
      <c r="N220" s="323" t="s">
        <v>877</v>
      </c>
      <c r="O220" s="323" t="s">
        <v>27</v>
      </c>
      <c r="P220" s="133">
        <v>30</v>
      </c>
      <c r="Q220" s="133">
        <v>172</v>
      </c>
      <c r="U220" s="323" t="s">
        <v>772</v>
      </c>
    </row>
    <row r="221" spans="1:21" x14ac:dyDescent="0.25">
      <c r="A221" s="323" t="s">
        <v>237</v>
      </c>
      <c r="B221" s="323" t="s">
        <v>282</v>
      </c>
      <c r="G221" s="323" t="s">
        <v>1141</v>
      </c>
      <c r="H221" s="323" t="s">
        <v>1125</v>
      </c>
      <c r="I221" s="323" t="s">
        <v>460</v>
      </c>
      <c r="J221" s="73">
        <v>42370</v>
      </c>
      <c r="K221" s="133">
        <v>19</v>
      </c>
      <c r="M221" s="323" t="s">
        <v>891</v>
      </c>
      <c r="N221" s="323" t="s">
        <v>890</v>
      </c>
      <c r="O221" s="323" t="s">
        <v>151</v>
      </c>
      <c r="P221" s="133"/>
      <c r="Q221" s="133"/>
      <c r="U221" s="323" t="s">
        <v>773</v>
      </c>
    </row>
    <row r="222" spans="1:21" x14ac:dyDescent="0.25">
      <c r="A222" s="323" t="s">
        <v>237</v>
      </c>
      <c r="B222" s="323" t="s">
        <v>1033</v>
      </c>
      <c r="G222" s="323" t="s">
        <v>791</v>
      </c>
      <c r="H222" s="323" t="s">
        <v>790</v>
      </c>
      <c r="I222" s="323" t="s">
        <v>460</v>
      </c>
      <c r="J222" s="73">
        <v>41091</v>
      </c>
      <c r="K222" s="133">
        <v>57</v>
      </c>
      <c r="M222" s="323" t="s">
        <v>895</v>
      </c>
      <c r="N222" s="323" t="s">
        <v>894</v>
      </c>
      <c r="O222" s="323" t="s">
        <v>299</v>
      </c>
      <c r="P222" s="133">
        <v>10</v>
      </c>
      <c r="Q222" s="133">
        <v>56</v>
      </c>
      <c r="U222" s="323" t="s">
        <v>762</v>
      </c>
    </row>
    <row r="223" spans="1:21" x14ac:dyDescent="0.25">
      <c r="A223" s="323" t="s">
        <v>237</v>
      </c>
      <c r="B223" s="323" t="s">
        <v>1533</v>
      </c>
      <c r="G223" s="323" t="s">
        <v>114</v>
      </c>
      <c r="H223" s="323" t="s">
        <v>113</v>
      </c>
      <c r="I223" s="323" t="s">
        <v>776</v>
      </c>
      <c r="J223" s="323" t="s">
        <v>1224</v>
      </c>
      <c r="K223" s="133">
        <v>0</v>
      </c>
      <c r="M223" s="323" t="s">
        <v>906</v>
      </c>
      <c r="N223" s="323" t="s">
        <v>905</v>
      </c>
      <c r="O223" s="323" t="s">
        <v>230</v>
      </c>
      <c r="P223" s="133">
        <v>42</v>
      </c>
      <c r="Q223" s="133">
        <v>192</v>
      </c>
      <c r="U223" s="323" t="s">
        <v>763</v>
      </c>
    </row>
    <row r="224" spans="1:21" x14ac:dyDescent="0.25">
      <c r="A224" s="323" t="s">
        <v>237</v>
      </c>
      <c r="B224" s="323" t="s">
        <v>1537</v>
      </c>
      <c r="G224" s="323" t="s">
        <v>364</v>
      </c>
      <c r="H224" s="323" t="s">
        <v>374</v>
      </c>
      <c r="I224" s="323" t="s">
        <v>460</v>
      </c>
      <c r="J224" s="73">
        <v>41275</v>
      </c>
      <c r="K224" s="133">
        <v>147</v>
      </c>
      <c r="M224" s="323" t="s">
        <v>908</v>
      </c>
      <c r="N224" s="323" t="s">
        <v>907</v>
      </c>
      <c r="O224" s="323" t="s">
        <v>288</v>
      </c>
      <c r="P224" s="133">
        <v>38</v>
      </c>
      <c r="Q224" s="133">
        <v>200</v>
      </c>
      <c r="U224" s="323" t="s">
        <v>839</v>
      </c>
    </row>
    <row r="225" spans="1:21" x14ac:dyDescent="0.25">
      <c r="A225" s="323" t="s">
        <v>237</v>
      </c>
      <c r="B225" s="323" t="s">
        <v>1552</v>
      </c>
      <c r="G225" s="323" t="s">
        <v>221</v>
      </c>
      <c r="H225" s="323" t="s">
        <v>220</v>
      </c>
      <c r="I225" s="323" t="s">
        <v>776</v>
      </c>
      <c r="J225" s="323" t="s">
        <v>1224</v>
      </c>
      <c r="K225" s="133"/>
      <c r="M225" s="323" t="s">
        <v>912</v>
      </c>
      <c r="N225" s="323" t="s">
        <v>919</v>
      </c>
      <c r="O225" s="323" t="s">
        <v>288</v>
      </c>
      <c r="P225" s="133">
        <v>126</v>
      </c>
      <c r="Q225" s="133">
        <v>575</v>
      </c>
      <c r="U225" s="323" t="s">
        <v>841</v>
      </c>
    </row>
    <row r="226" spans="1:21" x14ac:dyDescent="0.25">
      <c r="A226" s="323" t="s">
        <v>288</v>
      </c>
      <c r="B226" s="323" t="s">
        <v>291</v>
      </c>
      <c r="G226" s="323" t="s">
        <v>353</v>
      </c>
      <c r="H226" s="323" t="s">
        <v>352</v>
      </c>
      <c r="I226" s="323" t="s">
        <v>460</v>
      </c>
      <c r="J226" s="73">
        <v>40848</v>
      </c>
      <c r="K226" s="133">
        <v>88</v>
      </c>
      <c r="M226" s="323" t="s">
        <v>914</v>
      </c>
      <c r="N226" s="323" t="s">
        <v>913</v>
      </c>
      <c r="O226" s="323" t="s">
        <v>151</v>
      </c>
      <c r="P226" s="133">
        <v>156</v>
      </c>
      <c r="Q226" s="133">
        <v>711</v>
      </c>
      <c r="U226" s="323" t="s">
        <v>906</v>
      </c>
    </row>
    <row r="227" spans="1:21" x14ac:dyDescent="0.25">
      <c r="A227" s="323" t="s">
        <v>288</v>
      </c>
      <c r="B227" s="323" t="s">
        <v>289</v>
      </c>
      <c r="G227" s="323" t="s">
        <v>317</v>
      </c>
      <c r="H227" s="323" t="s">
        <v>316</v>
      </c>
      <c r="I227" s="323" t="s">
        <v>460</v>
      </c>
      <c r="J227" s="73">
        <v>40725</v>
      </c>
      <c r="K227" s="133">
        <v>117</v>
      </c>
      <c r="M227" s="323" t="s">
        <v>916</v>
      </c>
      <c r="N227" s="323" t="s">
        <v>915</v>
      </c>
      <c r="O227" s="323" t="s">
        <v>230</v>
      </c>
      <c r="P227" s="133">
        <v>22</v>
      </c>
      <c r="Q227" s="133">
        <v>107</v>
      </c>
      <c r="U227" s="323" t="s">
        <v>908</v>
      </c>
    </row>
    <row r="228" spans="1:21" x14ac:dyDescent="0.25">
      <c r="A228" s="323" t="s">
        <v>288</v>
      </c>
      <c r="B228" s="323" t="s">
        <v>372</v>
      </c>
      <c r="G228" s="323" t="s">
        <v>340</v>
      </c>
      <c r="H228" s="323" t="s">
        <v>339</v>
      </c>
      <c r="I228" s="323" t="s">
        <v>460</v>
      </c>
      <c r="J228" s="73">
        <v>40695</v>
      </c>
      <c r="K228" s="133">
        <v>63</v>
      </c>
      <c r="M228" s="323" t="s">
        <v>918</v>
      </c>
      <c r="N228" s="323" t="s">
        <v>917</v>
      </c>
      <c r="O228" s="323" t="s">
        <v>480</v>
      </c>
      <c r="P228" s="133">
        <v>104</v>
      </c>
      <c r="Q228" s="133">
        <v>510</v>
      </c>
      <c r="U228" s="323" t="s">
        <v>912</v>
      </c>
    </row>
    <row r="229" spans="1:21" x14ac:dyDescent="0.25">
      <c r="A229" s="323" t="s">
        <v>288</v>
      </c>
      <c r="B229" s="323" t="s">
        <v>373</v>
      </c>
      <c r="G229" s="323" t="s">
        <v>337</v>
      </c>
      <c r="H229" s="323" t="s">
        <v>336</v>
      </c>
      <c r="I229" s="323" t="s">
        <v>460</v>
      </c>
      <c r="J229" s="73">
        <v>40695</v>
      </c>
      <c r="K229" s="133">
        <v>29</v>
      </c>
      <c r="M229" s="323" t="s">
        <v>941</v>
      </c>
      <c r="N229" s="323" t="s">
        <v>940</v>
      </c>
      <c r="O229" s="323" t="s">
        <v>151</v>
      </c>
      <c r="P229" s="133">
        <v>154</v>
      </c>
      <c r="Q229" s="133">
        <v>670</v>
      </c>
      <c r="U229" s="323" t="s">
        <v>916</v>
      </c>
    </row>
    <row r="230" spans="1:21" x14ac:dyDescent="0.25">
      <c r="A230" s="323" t="s">
        <v>288</v>
      </c>
      <c r="B230" s="323" t="s">
        <v>293</v>
      </c>
      <c r="G230" s="323" t="s">
        <v>349</v>
      </c>
      <c r="H230" s="323" t="s">
        <v>348</v>
      </c>
      <c r="I230" s="323" t="s">
        <v>460</v>
      </c>
      <c r="J230" s="73">
        <v>40940</v>
      </c>
      <c r="K230" s="133">
        <v>92</v>
      </c>
      <c r="M230" s="323" t="s">
        <v>944</v>
      </c>
      <c r="N230" s="323" t="s">
        <v>945</v>
      </c>
      <c r="O230" s="323" t="s">
        <v>146</v>
      </c>
      <c r="P230" s="133">
        <v>22</v>
      </c>
      <c r="Q230" s="133">
        <v>105</v>
      </c>
      <c r="U230" s="323" t="s">
        <v>941</v>
      </c>
    </row>
    <row r="231" spans="1:21" x14ac:dyDescent="0.25">
      <c r="A231" s="323" t="s">
        <v>288</v>
      </c>
      <c r="B231" s="323" t="s">
        <v>907</v>
      </c>
      <c r="G231" s="323" t="s">
        <v>118</v>
      </c>
      <c r="H231" s="323" t="s">
        <v>117</v>
      </c>
      <c r="I231" s="323" t="s">
        <v>460</v>
      </c>
      <c r="J231" s="73">
        <v>41275</v>
      </c>
      <c r="K231" s="133">
        <v>10</v>
      </c>
      <c r="M231" s="323" t="s">
        <v>959</v>
      </c>
      <c r="N231" s="323" t="s">
        <v>958</v>
      </c>
      <c r="O231" s="323" t="s">
        <v>480</v>
      </c>
      <c r="P231" s="133"/>
      <c r="Q231" s="133"/>
      <c r="U231" s="323" t="s">
        <v>944</v>
      </c>
    </row>
    <row r="232" spans="1:21" x14ac:dyDescent="0.25">
      <c r="A232" s="323" t="s">
        <v>288</v>
      </c>
      <c r="B232" s="323" t="s">
        <v>919</v>
      </c>
      <c r="G232" s="323" t="s">
        <v>22</v>
      </c>
      <c r="H232" s="323" t="s">
        <v>21</v>
      </c>
      <c r="I232" s="323" t="s">
        <v>460</v>
      </c>
      <c r="J232" s="73">
        <v>40725</v>
      </c>
      <c r="K232" s="133">
        <v>641</v>
      </c>
      <c r="M232" s="323" t="s">
        <v>988</v>
      </c>
      <c r="N232" s="323" t="s">
        <v>986</v>
      </c>
      <c r="O232" s="323" t="s">
        <v>180</v>
      </c>
      <c r="P232" s="133">
        <v>27</v>
      </c>
      <c r="Q232" s="133">
        <v>121</v>
      </c>
      <c r="U232" s="323" t="s">
        <v>959</v>
      </c>
    </row>
    <row r="233" spans="1:21" x14ac:dyDescent="0.25">
      <c r="A233" s="323" t="s">
        <v>288</v>
      </c>
      <c r="B233" s="323" t="s">
        <v>1133</v>
      </c>
      <c r="G233" s="323" t="s">
        <v>122</v>
      </c>
      <c r="H233" s="323" t="s">
        <v>121</v>
      </c>
      <c r="I233" s="323" t="s">
        <v>776</v>
      </c>
      <c r="J233" s="323" t="s">
        <v>1224</v>
      </c>
      <c r="K233" s="133">
        <v>0</v>
      </c>
      <c r="M233" s="323" t="s">
        <v>989</v>
      </c>
      <c r="N233" s="323" t="s">
        <v>987</v>
      </c>
      <c r="O233" s="323" t="s">
        <v>180</v>
      </c>
      <c r="P233" s="133">
        <v>14</v>
      </c>
      <c r="Q233" s="133">
        <v>63</v>
      </c>
      <c r="U233" s="323" t="s">
        <v>988</v>
      </c>
    </row>
    <row r="234" spans="1:21" x14ac:dyDescent="0.25">
      <c r="A234" s="323" t="s">
        <v>288</v>
      </c>
      <c r="B234" s="323" t="s">
        <v>1134</v>
      </c>
      <c r="G234" s="323" t="s">
        <v>1267</v>
      </c>
      <c r="H234" s="323" t="s">
        <v>1576</v>
      </c>
      <c r="I234" s="323" t="s">
        <v>460</v>
      </c>
      <c r="J234" s="73">
        <v>42751</v>
      </c>
      <c r="K234" s="133">
        <v>80</v>
      </c>
      <c r="M234" s="323" t="s">
        <v>1046</v>
      </c>
      <c r="N234" s="323" t="s">
        <v>1062</v>
      </c>
      <c r="O234" s="323" t="s">
        <v>719</v>
      </c>
      <c r="P234" s="133">
        <v>32</v>
      </c>
      <c r="Q234" s="133">
        <v>167</v>
      </c>
      <c r="U234" s="323" t="s">
        <v>989</v>
      </c>
    </row>
    <row r="235" spans="1:21" x14ac:dyDescent="0.25">
      <c r="A235" s="323" t="s">
        <v>297</v>
      </c>
      <c r="B235" s="323" t="s">
        <v>760</v>
      </c>
      <c r="G235" s="323" t="s">
        <v>124</v>
      </c>
      <c r="H235" s="323" t="s">
        <v>123</v>
      </c>
      <c r="I235" s="323" t="s">
        <v>776</v>
      </c>
      <c r="J235" s="73">
        <v>41275</v>
      </c>
      <c r="K235" s="133">
        <v>8</v>
      </c>
      <c r="M235" s="323" t="s">
        <v>1047</v>
      </c>
      <c r="N235" s="323" t="s">
        <v>1048</v>
      </c>
      <c r="O235" s="323" t="s">
        <v>299</v>
      </c>
      <c r="P235" s="133">
        <v>61</v>
      </c>
      <c r="Q235" s="133">
        <v>281</v>
      </c>
      <c r="U235" s="323" t="s">
        <v>1046</v>
      </c>
    </row>
    <row r="236" spans="1:21" x14ac:dyDescent="0.25">
      <c r="A236" s="323" t="s">
        <v>297</v>
      </c>
      <c r="B236" s="323" t="s">
        <v>534</v>
      </c>
      <c r="G236" s="323" t="s">
        <v>1070</v>
      </c>
      <c r="H236" s="323" t="s">
        <v>1071</v>
      </c>
      <c r="I236" s="323" t="s">
        <v>460</v>
      </c>
      <c r="J236" s="73">
        <v>42036</v>
      </c>
      <c r="K236" s="133">
        <v>67</v>
      </c>
      <c r="M236" s="323" t="s">
        <v>1057</v>
      </c>
      <c r="N236" s="323" t="s">
        <v>1065</v>
      </c>
      <c r="O236" s="323" t="s">
        <v>173</v>
      </c>
      <c r="P236" s="133"/>
      <c r="Q236" s="133"/>
      <c r="U236" s="323" t="s">
        <v>1047</v>
      </c>
    </row>
    <row r="237" spans="1:21" x14ac:dyDescent="0.25">
      <c r="A237" s="323" t="s">
        <v>297</v>
      </c>
      <c r="B237" s="323" t="s">
        <v>1141</v>
      </c>
      <c r="G237" s="323" t="s">
        <v>96</v>
      </c>
      <c r="H237" s="323" t="s">
        <v>95</v>
      </c>
      <c r="I237" s="323" t="s">
        <v>776</v>
      </c>
      <c r="J237" s="323" t="s">
        <v>1224</v>
      </c>
      <c r="K237" s="133">
        <v>0</v>
      </c>
      <c r="M237" s="323" t="s">
        <v>1058</v>
      </c>
      <c r="N237" s="323" t="s">
        <v>1064</v>
      </c>
      <c r="O237" s="323" t="s">
        <v>173</v>
      </c>
      <c r="P237" s="133">
        <v>27</v>
      </c>
      <c r="Q237" s="133">
        <v>135</v>
      </c>
      <c r="U237" s="323" t="s">
        <v>1057</v>
      </c>
    </row>
    <row r="238" spans="1:21" x14ac:dyDescent="0.25">
      <c r="A238" s="323" t="s">
        <v>297</v>
      </c>
      <c r="B238" s="323" t="s">
        <v>1190</v>
      </c>
      <c r="G238" s="323" t="s">
        <v>1065</v>
      </c>
      <c r="H238" s="323" t="s">
        <v>1057</v>
      </c>
      <c r="I238" s="323" t="s">
        <v>776</v>
      </c>
      <c r="J238" s="73">
        <v>42125</v>
      </c>
      <c r="K238" s="133"/>
      <c r="M238" s="323" t="s">
        <v>1059</v>
      </c>
      <c r="N238" s="323" t="s">
        <v>1056</v>
      </c>
      <c r="O238" s="323" t="s">
        <v>173</v>
      </c>
      <c r="P238" s="133">
        <v>6</v>
      </c>
      <c r="Q238" s="133">
        <v>31</v>
      </c>
      <c r="U238" s="323" t="s">
        <v>1058</v>
      </c>
    </row>
    <row r="239" spans="1:21" x14ac:dyDescent="0.25">
      <c r="A239" s="323" t="s">
        <v>297</v>
      </c>
      <c r="B239" s="323" t="s">
        <v>1192</v>
      </c>
      <c r="G239" s="323" t="s">
        <v>1064</v>
      </c>
      <c r="H239" s="323" t="s">
        <v>1058</v>
      </c>
      <c r="I239" s="323" t="s">
        <v>460</v>
      </c>
      <c r="J239" s="73">
        <v>42125</v>
      </c>
      <c r="K239" s="133">
        <v>27</v>
      </c>
      <c r="M239" s="323" t="s">
        <v>1069</v>
      </c>
      <c r="N239" s="323" t="s">
        <v>1068</v>
      </c>
      <c r="O239" s="323" t="s">
        <v>747</v>
      </c>
      <c r="P239" s="133">
        <v>126</v>
      </c>
      <c r="Q239" s="133">
        <v>779</v>
      </c>
      <c r="U239" s="323" t="s">
        <v>1059</v>
      </c>
    </row>
    <row r="240" spans="1:21" x14ac:dyDescent="0.25">
      <c r="A240" s="323" t="s">
        <v>297</v>
      </c>
      <c r="B240" s="323" t="s">
        <v>1193</v>
      </c>
      <c r="G240" s="323" t="s">
        <v>877</v>
      </c>
      <c r="H240" s="323" t="s">
        <v>878</v>
      </c>
      <c r="I240" s="323" t="s">
        <v>460</v>
      </c>
      <c r="J240" s="73">
        <v>41091</v>
      </c>
      <c r="K240" s="133">
        <v>30</v>
      </c>
      <c r="M240" s="323" t="s">
        <v>1071</v>
      </c>
      <c r="N240" s="323" t="s">
        <v>1070</v>
      </c>
      <c r="O240" s="323" t="s">
        <v>747</v>
      </c>
      <c r="P240" s="133">
        <v>67</v>
      </c>
      <c r="Q240" s="133">
        <v>332</v>
      </c>
      <c r="U240" s="323" t="s">
        <v>1069</v>
      </c>
    </row>
    <row r="241" spans="1:21" x14ac:dyDescent="0.25">
      <c r="A241" s="323" t="s">
        <v>297</v>
      </c>
      <c r="B241" s="323" t="s">
        <v>1194</v>
      </c>
      <c r="G241" s="323" t="s">
        <v>225</v>
      </c>
      <c r="H241" s="323" t="s">
        <v>224</v>
      </c>
      <c r="I241" s="323" t="s">
        <v>460</v>
      </c>
      <c r="J241" s="73">
        <v>41122</v>
      </c>
      <c r="K241" s="133">
        <v>43</v>
      </c>
      <c r="M241" s="323" t="s">
        <v>1083</v>
      </c>
      <c r="N241" s="323" t="s">
        <v>1082</v>
      </c>
      <c r="O241" s="323" t="s">
        <v>185</v>
      </c>
      <c r="P241" s="133"/>
      <c r="Q241" s="133"/>
      <c r="U241" s="323" t="s">
        <v>1071</v>
      </c>
    </row>
    <row r="242" spans="1:21" x14ac:dyDescent="0.25">
      <c r="A242" s="323" t="s">
        <v>297</v>
      </c>
      <c r="B242" s="323" t="s">
        <v>1195</v>
      </c>
      <c r="G242" s="323" t="s">
        <v>1273</v>
      </c>
      <c r="H242" s="323" t="s">
        <v>1271</v>
      </c>
      <c r="I242" s="323" t="s">
        <v>460</v>
      </c>
      <c r="J242" s="73">
        <v>42752</v>
      </c>
      <c r="K242" s="133">
        <v>413</v>
      </c>
      <c r="M242" s="323" t="s">
        <v>1085</v>
      </c>
      <c r="N242" s="323" t="s">
        <v>1084</v>
      </c>
      <c r="O242" s="323" t="s">
        <v>146</v>
      </c>
      <c r="P242" s="133">
        <v>105</v>
      </c>
      <c r="Q242" s="133">
        <v>568</v>
      </c>
      <c r="U242" s="323" t="s">
        <v>1083</v>
      </c>
    </row>
    <row r="243" spans="1:21" x14ac:dyDescent="0.25">
      <c r="A243" s="323" t="s">
        <v>297</v>
      </c>
      <c r="B243" s="323" t="s">
        <v>1285</v>
      </c>
      <c r="G243" s="323" t="s">
        <v>1162</v>
      </c>
      <c r="H243" s="323" t="s">
        <v>1165</v>
      </c>
      <c r="I243" s="323" t="s">
        <v>460</v>
      </c>
      <c r="J243" s="73">
        <v>42584</v>
      </c>
      <c r="K243" s="133">
        <v>29</v>
      </c>
      <c r="M243" s="323" t="s">
        <v>1138</v>
      </c>
      <c r="N243" s="323" t="s">
        <v>1137</v>
      </c>
      <c r="O243" s="323" t="s">
        <v>480</v>
      </c>
      <c r="P243" s="133"/>
      <c r="Q243" s="133"/>
      <c r="U243" s="323" t="s">
        <v>1085</v>
      </c>
    </row>
    <row r="244" spans="1:21" x14ac:dyDescent="0.25">
      <c r="A244" s="323" t="s">
        <v>299</v>
      </c>
      <c r="B244" s="323" t="s">
        <v>816</v>
      </c>
      <c r="G244" s="323" t="s">
        <v>1161</v>
      </c>
      <c r="H244" s="323" t="s">
        <v>1167</v>
      </c>
      <c r="I244" s="323" t="s">
        <v>460</v>
      </c>
      <c r="J244" s="73">
        <v>42584</v>
      </c>
      <c r="K244" s="133">
        <v>5</v>
      </c>
      <c r="M244" s="323" t="s">
        <v>1136</v>
      </c>
      <c r="N244" s="323" t="s">
        <v>295</v>
      </c>
      <c r="O244" s="323" t="s">
        <v>151</v>
      </c>
      <c r="P244" s="133"/>
      <c r="Q244" s="133"/>
      <c r="U244" s="323" t="s">
        <v>1138</v>
      </c>
    </row>
    <row r="245" spans="1:21" x14ac:dyDescent="0.25">
      <c r="A245" s="323" t="s">
        <v>299</v>
      </c>
      <c r="B245" s="323" t="s">
        <v>300</v>
      </c>
      <c r="G245" s="323" t="s">
        <v>276</v>
      </c>
      <c r="H245" s="323" t="s">
        <v>275</v>
      </c>
      <c r="I245" s="323" t="s">
        <v>460</v>
      </c>
      <c r="J245" s="73">
        <v>40756</v>
      </c>
      <c r="K245" s="133">
        <v>118</v>
      </c>
      <c r="M245" s="323" t="s">
        <v>1124</v>
      </c>
      <c r="N245" s="323" t="s">
        <v>1661</v>
      </c>
      <c r="O245" s="323" t="s">
        <v>146</v>
      </c>
      <c r="P245" s="133">
        <v>108</v>
      </c>
      <c r="Q245" s="133">
        <v>527</v>
      </c>
      <c r="U245" s="323" t="s">
        <v>1136</v>
      </c>
    </row>
    <row r="246" spans="1:21" x14ac:dyDescent="0.25">
      <c r="A246" s="323" t="s">
        <v>299</v>
      </c>
      <c r="B246" s="323" t="s">
        <v>894</v>
      </c>
      <c r="G246" s="323" t="s">
        <v>278</v>
      </c>
      <c r="H246" s="323" t="s">
        <v>277</v>
      </c>
      <c r="I246" s="323" t="s">
        <v>460</v>
      </c>
      <c r="J246" s="73">
        <v>40909</v>
      </c>
      <c r="K246" s="133">
        <v>23</v>
      </c>
      <c r="M246" s="323" t="s">
        <v>1125</v>
      </c>
      <c r="N246" s="323" t="s">
        <v>1141</v>
      </c>
      <c r="O246" s="323" t="s">
        <v>297</v>
      </c>
      <c r="P246" s="133">
        <v>19</v>
      </c>
      <c r="Q246" s="133">
        <v>82</v>
      </c>
      <c r="U246" s="323" t="s">
        <v>1124</v>
      </c>
    </row>
    <row r="247" spans="1:21" x14ac:dyDescent="0.25">
      <c r="A247" s="323" t="s">
        <v>299</v>
      </c>
      <c r="B247" s="323" t="s">
        <v>1048</v>
      </c>
      <c r="G247" s="323" t="s">
        <v>345</v>
      </c>
      <c r="H247" s="323" t="s">
        <v>344</v>
      </c>
      <c r="I247" s="323" t="s">
        <v>460</v>
      </c>
      <c r="J247" s="73">
        <v>40848</v>
      </c>
      <c r="K247" s="133">
        <v>181</v>
      </c>
      <c r="M247" s="323" t="s">
        <v>1126</v>
      </c>
      <c r="N247" s="323" t="s">
        <v>1144</v>
      </c>
      <c r="O247" s="323" t="s">
        <v>166</v>
      </c>
      <c r="P247" s="133">
        <v>36</v>
      </c>
      <c r="Q247" s="133">
        <v>188</v>
      </c>
      <c r="U247" s="323" t="s">
        <v>1125</v>
      </c>
    </row>
    <row r="248" spans="1:21" x14ac:dyDescent="0.25">
      <c r="A248" s="323" t="s">
        <v>301</v>
      </c>
      <c r="B248" s="323" t="s">
        <v>12</v>
      </c>
      <c r="G248" s="323" t="s">
        <v>305</v>
      </c>
      <c r="H248" s="323" t="s">
        <v>304</v>
      </c>
      <c r="I248" s="323" t="s">
        <v>460</v>
      </c>
      <c r="J248" s="73">
        <v>40725</v>
      </c>
      <c r="K248" s="133">
        <v>88</v>
      </c>
      <c r="M248" s="323" t="s">
        <v>1127</v>
      </c>
      <c r="N248" s="323" t="s">
        <v>1133</v>
      </c>
      <c r="O248" s="323" t="s">
        <v>288</v>
      </c>
      <c r="P248" s="133"/>
      <c r="Q248" s="133"/>
      <c r="U248" s="323" t="s">
        <v>1126</v>
      </c>
    </row>
    <row r="249" spans="1:21" x14ac:dyDescent="0.25">
      <c r="A249" s="323" t="s">
        <v>301</v>
      </c>
      <c r="B249" s="323" t="s">
        <v>303</v>
      </c>
      <c r="G249" s="323" t="s">
        <v>307</v>
      </c>
      <c r="H249" s="323" t="s">
        <v>306</v>
      </c>
      <c r="I249" s="323" t="s">
        <v>460</v>
      </c>
      <c r="J249" s="73">
        <v>40725</v>
      </c>
      <c r="K249" s="133">
        <v>46</v>
      </c>
      <c r="M249" s="323" t="s">
        <v>1128</v>
      </c>
      <c r="N249" s="323" t="s">
        <v>1134</v>
      </c>
      <c r="O249" s="323" t="s">
        <v>288</v>
      </c>
      <c r="P249" s="133">
        <v>61</v>
      </c>
      <c r="Q249" s="133">
        <v>276</v>
      </c>
      <c r="U249" s="323" t="s">
        <v>1127</v>
      </c>
    </row>
    <row r="250" spans="1:21" x14ac:dyDescent="0.25">
      <c r="A250" s="323" t="s">
        <v>301</v>
      </c>
      <c r="B250" s="323" t="s">
        <v>305</v>
      </c>
      <c r="G250" s="323" t="s">
        <v>1190</v>
      </c>
      <c r="H250" s="323" t="s">
        <v>1173</v>
      </c>
      <c r="I250" s="323" t="s">
        <v>776</v>
      </c>
      <c r="J250" s="323" t="s">
        <v>1224</v>
      </c>
      <c r="K250" s="133"/>
      <c r="M250" s="323" t="s">
        <v>1129</v>
      </c>
      <c r="N250" s="323" t="s">
        <v>1605</v>
      </c>
      <c r="O250" s="323" t="s">
        <v>146</v>
      </c>
      <c r="P250" s="133">
        <v>39</v>
      </c>
      <c r="Q250" s="133">
        <v>159</v>
      </c>
      <c r="U250" s="323" t="s">
        <v>1128</v>
      </c>
    </row>
    <row r="251" spans="1:21" x14ac:dyDescent="0.25">
      <c r="A251" s="323" t="s">
        <v>301</v>
      </c>
      <c r="B251" s="323" t="s">
        <v>307</v>
      </c>
      <c r="G251" s="323" t="s">
        <v>280</v>
      </c>
      <c r="H251" s="323" t="s">
        <v>279</v>
      </c>
      <c r="I251" s="323" t="s">
        <v>460</v>
      </c>
      <c r="J251" s="73">
        <v>40725</v>
      </c>
      <c r="K251" s="133">
        <v>91</v>
      </c>
      <c r="M251" s="323" t="s">
        <v>1130</v>
      </c>
      <c r="N251" s="323" t="s">
        <v>1147</v>
      </c>
      <c r="O251" s="323" t="s">
        <v>719</v>
      </c>
      <c r="P251" s="133"/>
      <c r="Q251" s="133"/>
      <c r="U251" s="323" t="s">
        <v>1129</v>
      </c>
    </row>
    <row r="252" spans="1:21" x14ac:dyDescent="0.25">
      <c r="A252" s="323" t="s">
        <v>747</v>
      </c>
      <c r="B252" s="323" t="s">
        <v>747</v>
      </c>
      <c r="G252" s="323" t="s">
        <v>814</v>
      </c>
      <c r="H252" s="323" t="s">
        <v>815</v>
      </c>
      <c r="I252" s="323" t="s">
        <v>776</v>
      </c>
      <c r="J252" s="323" t="s">
        <v>1224</v>
      </c>
      <c r="K252" s="133">
        <v>0</v>
      </c>
      <c r="M252" s="323" t="s">
        <v>1131</v>
      </c>
      <c r="N252" s="323" t="s">
        <v>1150</v>
      </c>
      <c r="O252" s="323" t="s">
        <v>146</v>
      </c>
      <c r="P252" s="133">
        <v>30</v>
      </c>
      <c r="Q252" s="133">
        <v>170</v>
      </c>
      <c r="U252" s="323" t="s">
        <v>1130</v>
      </c>
    </row>
    <row r="253" spans="1:21" x14ac:dyDescent="0.25">
      <c r="A253" s="323" t="s">
        <v>747</v>
      </c>
      <c r="B253" s="323" t="s">
        <v>1068</v>
      </c>
      <c r="G253" s="323" t="s">
        <v>181</v>
      </c>
      <c r="H253" s="323" t="s">
        <v>179</v>
      </c>
      <c r="I253" s="323" t="s">
        <v>460</v>
      </c>
      <c r="J253" s="73">
        <v>41061</v>
      </c>
      <c r="K253" s="133">
        <v>11</v>
      </c>
      <c r="M253" s="323" t="s">
        <v>1164</v>
      </c>
      <c r="N253" s="323" t="s">
        <v>1158</v>
      </c>
      <c r="O253" s="323" t="s">
        <v>480</v>
      </c>
      <c r="P253" s="133"/>
      <c r="Q253" s="133"/>
      <c r="U253" s="323" t="s">
        <v>1131</v>
      </c>
    </row>
    <row r="254" spans="1:21" x14ac:dyDescent="0.25">
      <c r="A254" s="323" t="s">
        <v>747</v>
      </c>
      <c r="B254" s="323" t="s">
        <v>1070</v>
      </c>
      <c r="G254" s="323" t="s">
        <v>823</v>
      </c>
      <c r="H254" s="323" t="s">
        <v>822</v>
      </c>
      <c r="I254" s="323" t="s">
        <v>776</v>
      </c>
      <c r="J254" s="323" t="s">
        <v>1224</v>
      </c>
      <c r="K254" s="133"/>
      <c r="M254" s="323" t="s">
        <v>1165</v>
      </c>
      <c r="N254" s="323" t="s">
        <v>1162</v>
      </c>
      <c r="O254" s="323" t="s">
        <v>480</v>
      </c>
      <c r="P254" s="133">
        <v>29</v>
      </c>
      <c r="Q254" s="133">
        <v>118</v>
      </c>
      <c r="U254" s="323" t="s">
        <v>1164</v>
      </c>
    </row>
    <row r="255" spans="1:21" x14ac:dyDescent="0.25">
      <c r="A255" s="323" t="s">
        <v>309</v>
      </c>
      <c r="B255" s="323" t="s">
        <v>356</v>
      </c>
      <c r="G255" s="323" t="s">
        <v>1196</v>
      </c>
      <c r="H255" s="323" t="s">
        <v>1184</v>
      </c>
      <c r="I255" s="323" t="s">
        <v>776</v>
      </c>
      <c r="J255" s="323" t="s">
        <v>1224</v>
      </c>
      <c r="K255" s="133"/>
      <c r="M255" s="323" t="s">
        <v>1166</v>
      </c>
      <c r="N255" s="323" t="s">
        <v>1159</v>
      </c>
      <c r="O255" s="323" t="s">
        <v>480</v>
      </c>
      <c r="P255" s="133"/>
      <c r="Q255" s="133"/>
      <c r="U255" s="323" t="s">
        <v>1165</v>
      </c>
    </row>
    <row r="256" spans="1:21" x14ac:dyDescent="0.25">
      <c r="A256" s="323" t="s">
        <v>309</v>
      </c>
      <c r="B256" s="323" t="s">
        <v>333</v>
      </c>
      <c r="G256" s="323" t="s">
        <v>747</v>
      </c>
      <c r="H256" s="323" t="s">
        <v>751</v>
      </c>
      <c r="I256" s="323" t="s">
        <v>460</v>
      </c>
      <c r="J256" s="323" t="s">
        <v>1224</v>
      </c>
      <c r="K256" s="133">
        <v>5</v>
      </c>
      <c r="M256" s="323" t="s">
        <v>1167</v>
      </c>
      <c r="N256" s="323" t="s">
        <v>1161</v>
      </c>
      <c r="O256" s="323" t="s">
        <v>480</v>
      </c>
      <c r="P256" s="133">
        <v>5</v>
      </c>
      <c r="Q256" s="133">
        <v>13</v>
      </c>
      <c r="U256" s="323" t="s">
        <v>1166</v>
      </c>
    </row>
    <row r="257" spans="1:21" x14ac:dyDescent="0.25">
      <c r="A257" s="323" t="s">
        <v>309</v>
      </c>
      <c r="B257" s="323" t="s">
        <v>312</v>
      </c>
      <c r="G257" s="323" t="s">
        <v>24</v>
      </c>
      <c r="H257" s="323" t="s">
        <v>23</v>
      </c>
      <c r="I257" s="323" t="s">
        <v>460</v>
      </c>
      <c r="J257" s="73">
        <v>41030</v>
      </c>
      <c r="K257" s="133">
        <v>20</v>
      </c>
      <c r="M257" s="323" t="s">
        <v>1168</v>
      </c>
      <c r="N257" s="323" t="s">
        <v>1160</v>
      </c>
      <c r="O257" s="323" t="s">
        <v>480</v>
      </c>
      <c r="P257" s="133">
        <v>19</v>
      </c>
      <c r="Q257" s="133">
        <v>82</v>
      </c>
      <c r="U257" s="323" t="s">
        <v>1167</v>
      </c>
    </row>
    <row r="258" spans="1:21" x14ac:dyDescent="0.25">
      <c r="A258" s="323" t="s">
        <v>309</v>
      </c>
      <c r="B258" s="323" t="s">
        <v>335</v>
      </c>
      <c r="G258" s="323" t="s">
        <v>1412</v>
      </c>
      <c r="H258" s="323" t="s">
        <v>1425</v>
      </c>
      <c r="I258" s="323" t="s">
        <v>460</v>
      </c>
      <c r="J258" s="73">
        <v>42741</v>
      </c>
      <c r="K258" s="133">
        <v>42</v>
      </c>
      <c r="M258" s="323" t="s">
        <v>1173</v>
      </c>
      <c r="N258" s="323" t="s">
        <v>1190</v>
      </c>
      <c r="O258" s="323" t="s">
        <v>297</v>
      </c>
      <c r="P258" s="133"/>
      <c r="Q258" s="133"/>
      <c r="U258" s="323" t="s">
        <v>1168</v>
      </c>
    </row>
    <row r="259" spans="1:21" x14ac:dyDescent="0.25">
      <c r="A259" s="323" t="s">
        <v>309</v>
      </c>
      <c r="B259" s="323" t="s">
        <v>752</v>
      </c>
      <c r="G259" s="323" t="s">
        <v>1414</v>
      </c>
      <c r="H259" s="323" t="s">
        <v>1427</v>
      </c>
      <c r="I259" s="323" t="s">
        <v>460</v>
      </c>
      <c r="J259" s="73">
        <v>42741</v>
      </c>
      <c r="K259" s="133">
        <v>36</v>
      </c>
      <c r="M259" s="323" t="s">
        <v>1174</v>
      </c>
      <c r="N259" s="323" t="s">
        <v>1192</v>
      </c>
      <c r="O259" s="323" t="s">
        <v>297</v>
      </c>
      <c r="P259" s="133">
        <v>13</v>
      </c>
      <c r="Q259" s="133">
        <v>45</v>
      </c>
      <c r="U259" s="323" t="s">
        <v>1173</v>
      </c>
    </row>
    <row r="260" spans="1:21" x14ac:dyDescent="0.25">
      <c r="A260" s="323" t="s">
        <v>309</v>
      </c>
      <c r="B260" s="323" t="s">
        <v>319</v>
      </c>
      <c r="G260" s="323" t="s">
        <v>1413</v>
      </c>
      <c r="H260" s="323" t="s">
        <v>1426</v>
      </c>
      <c r="I260" s="323" t="s">
        <v>460</v>
      </c>
      <c r="J260" s="73">
        <v>42741</v>
      </c>
      <c r="K260" s="133">
        <v>127</v>
      </c>
      <c r="M260" s="323" t="s">
        <v>1175</v>
      </c>
      <c r="N260" s="323" t="s">
        <v>1193</v>
      </c>
      <c r="O260" s="323" t="s">
        <v>297</v>
      </c>
      <c r="P260" s="133"/>
      <c r="Q260" s="133"/>
      <c r="U260" s="323" t="s">
        <v>1174</v>
      </c>
    </row>
    <row r="261" spans="1:21" x14ac:dyDescent="0.25">
      <c r="A261" s="323" t="s">
        <v>309</v>
      </c>
      <c r="B261" s="323" t="s">
        <v>321</v>
      </c>
      <c r="G261" s="323" t="s">
        <v>1421</v>
      </c>
      <c r="H261" s="323" t="s">
        <v>1424</v>
      </c>
      <c r="I261" s="323" t="s">
        <v>460</v>
      </c>
      <c r="J261" s="73">
        <v>42741</v>
      </c>
      <c r="K261" s="133">
        <v>30</v>
      </c>
      <c r="M261" s="323" t="s">
        <v>1176</v>
      </c>
      <c r="N261" s="323" t="s">
        <v>1194</v>
      </c>
      <c r="O261" s="323" t="s">
        <v>297</v>
      </c>
      <c r="P261" s="133"/>
      <c r="Q261" s="133"/>
      <c r="U261" s="323" t="s">
        <v>1175</v>
      </c>
    </row>
    <row r="262" spans="1:21" x14ac:dyDescent="0.25">
      <c r="A262" s="323" t="s">
        <v>309</v>
      </c>
      <c r="B262" s="323" t="s">
        <v>327</v>
      </c>
      <c r="G262" s="323" t="s">
        <v>132</v>
      </c>
      <c r="H262" s="323" t="s">
        <v>131</v>
      </c>
      <c r="I262" s="323" t="s">
        <v>776</v>
      </c>
      <c r="J262" s="323" t="s">
        <v>1224</v>
      </c>
      <c r="K262" s="133">
        <v>0</v>
      </c>
      <c r="M262" s="323" t="s">
        <v>1177</v>
      </c>
      <c r="N262" s="323" t="s">
        <v>1195</v>
      </c>
      <c r="O262" s="323" t="s">
        <v>297</v>
      </c>
      <c r="P262" s="133">
        <v>43</v>
      </c>
      <c r="Q262" s="133">
        <v>223</v>
      </c>
      <c r="U262" s="323" t="s">
        <v>1176</v>
      </c>
    </row>
    <row r="263" spans="1:21" x14ac:dyDescent="0.25">
      <c r="A263" s="323" t="s">
        <v>309</v>
      </c>
      <c r="B263" s="323" t="s">
        <v>329</v>
      </c>
      <c r="G263" s="323" t="s">
        <v>227</v>
      </c>
      <c r="H263" s="323" t="s">
        <v>226</v>
      </c>
      <c r="I263" s="323" t="s">
        <v>776</v>
      </c>
      <c r="J263" s="323" t="s">
        <v>1224</v>
      </c>
      <c r="K263" s="133"/>
      <c r="M263" s="323" t="s">
        <v>1178</v>
      </c>
      <c r="N263" s="323" t="s">
        <v>1202</v>
      </c>
      <c r="O263" s="323" t="s">
        <v>230</v>
      </c>
      <c r="P263" s="133"/>
      <c r="Q263" s="133"/>
      <c r="U263" s="323" t="s">
        <v>1177</v>
      </c>
    </row>
    <row r="264" spans="1:21" x14ac:dyDescent="0.25">
      <c r="A264" s="323" t="s">
        <v>309</v>
      </c>
      <c r="B264" s="323" t="s">
        <v>323</v>
      </c>
      <c r="G264" s="323" t="s">
        <v>238</v>
      </c>
      <c r="H264" s="323" t="s">
        <v>236</v>
      </c>
      <c r="I264" s="323" t="s">
        <v>460</v>
      </c>
      <c r="J264" s="73">
        <v>40695</v>
      </c>
      <c r="K264" s="133">
        <v>73</v>
      </c>
      <c r="M264" s="323" t="s">
        <v>1179</v>
      </c>
      <c r="N264" s="323" t="s">
        <v>1212</v>
      </c>
      <c r="O264" s="323" t="s">
        <v>230</v>
      </c>
      <c r="P264" s="133"/>
      <c r="Q264" s="133"/>
      <c r="U264" s="323" t="s">
        <v>1178</v>
      </c>
    </row>
    <row r="265" spans="1:21" x14ac:dyDescent="0.25">
      <c r="A265" s="323" t="s">
        <v>309</v>
      </c>
      <c r="B265" s="323" t="s">
        <v>325</v>
      </c>
      <c r="G265" s="323" t="s">
        <v>1033</v>
      </c>
      <c r="H265" s="323" t="s">
        <v>241</v>
      </c>
      <c r="I265" s="323" t="s">
        <v>460</v>
      </c>
      <c r="J265" s="73">
        <v>41000</v>
      </c>
      <c r="K265" s="133">
        <v>54</v>
      </c>
      <c r="M265" s="323" t="s">
        <v>1180</v>
      </c>
      <c r="N265" s="323" t="s">
        <v>1213</v>
      </c>
      <c r="O265" s="323" t="s">
        <v>230</v>
      </c>
      <c r="P265" s="133"/>
      <c r="Q265" s="133"/>
      <c r="U265" s="323" t="s">
        <v>1179</v>
      </c>
    </row>
    <row r="266" spans="1:21" x14ac:dyDescent="0.25">
      <c r="A266" s="323" t="s">
        <v>309</v>
      </c>
      <c r="B266" s="323" t="s">
        <v>331</v>
      </c>
      <c r="G266" s="323" t="s">
        <v>248</v>
      </c>
      <c r="H266" s="323" t="s">
        <v>247</v>
      </c>
      <c r="I266" s="323" t="s">
        <v>460</v>
      </c>
      <c r="J266" s="73">
        <v>40756</v>
      </c>
      <c r="K266" s="133">
        <v>7</v>
      </c>
      <c r="M266" s="323" t="s">
        <v>1181</v>
      </c>
      <c r="N266" s="323" t="s">
        <v>1203</v>
      </c>
      <c r="O266" s="323" t="s">
        <v>230</v>
      </c>
      <c r="P266" s="133"/>
      <c r="Q266" s="133"/>
      <c r="U266" s="323" t="s">
        <v>1180</v>
      </c>
    </row>
    <row r="267" spans="1:21" x14ac:dyDescent="0.25">
      <c r="A267" s="323" t="s">
        <v>309</v>
      </c>
      <c r="B267" s="323" t="s">
        <v>342</v>
      </c>
      <c r="G267" s="323" t="s">
        <v>250</v>
      </c>
      <c r="H267" s="323" t="s">
        <v>249</v>
      </c>
      <c r="I267" s="323" t="s">
        <v>460</v>
      </c>
      <c r="J267" s="73">
        <v>40725</v>
      </c>
      <c r="K267" s="133">
        <v>32</v>
      </c>
      <c r="M267" s="323" t="s">
        <v>1182</v>
      </c>
      <c r="N267" s="323" t="s">
        <v>1214</v>
      </c>
      <c r="O267" s="323" t="s">
        <v>230</v>
      </c>
      <c r="P267" s="133"/>
      <c r="Q267" s="133"/>
      <c r="U267" s="323" t="s">
        <v>1181</v>
      </c>
    </row>
    <row r="268" spans="1:21" x14ac:dyDescent="0.25">
      <c r="A268" s="323" t="s">
        <v>309</v>
      </c>
      <c r="B268" s="323" t="s">
        <v>353</v>
      </c>
      <c r="G268" s="323" t="s">
        <v>274</v>
      </c>
      <c r="H268" s="323" t="s">
        <v>273</v>
      </c>
      <c r="I268" s="323" t="s">
        <v>460</v>
      </c>
      <c r="J268" s="73">
        <v>40817</v>
      </c>
      <c r="K268" s="133">
        <v>46</v>
      </c>
      <c r="M268" s="323" t="s">
        <v>1183</v>
      </c>
      <c r="N268" s="323" t="s">
        <v>1218</v>
      </c>
      <c r="O268" s="323" t="s">
        <v>230</v>
      </c>
      <c r="P268" s="133"/>
      <c r="Q268" s="133"/>
      <c r="U268" s="323" t="s">
        <v>1182</v>
      </c>
    </row>
    <row r="269" spans="1:21" x14ac:dyDescent="0.25">
      <c r="A269" s="323" t="s">
        <v>309</v>
      </c>
      <c r="B269" s="323" t="s">
        <v>317</v>
      </c>
      <c r="G269" s="323" t="s">
        <v>1159</v>
      </c>
      <c r="H269" s="323" t="s">
        <v>1166</v>
      </c>
      <c r="I269" s="323" t="s">
        <v>776</v>
      </c>
      <c r="J269" s="73">
        <v>42584</v>
      </c>
      <c r="K269" s="133"/>
      <c r="M269" s="323" t="s">
        <v>1184</v>
      </c>
      <c r="N269" s="323" t="s">
        <v>1196</v>
      </c>
      <c r="O269" s="323" t="s">
        <v>230</v>
      </c>
      <c r="P269" s="133"/>
      <c r="Q269" s="133"/>
      <c r="U269" s="323" t="s">
        <v>1183</v>
      </c>
    </row>
    <row r="270" spans="1:21" x14ac:dyDescent="0.25">
      <c r="A270" s="323" t="s">
        <v>309</v>
      </c>
      <c r="B270" s="323" t="s">
        <v>340</v>
      </c>
      <c r="G270" s="323" t="s">
        <v>347</v>
      </c>
      <c r="H270" s="323" t="s">
        <v>346</v>
      </c>
      <c r="I270" s="323" t="s">
        <v>460</v>
      </c>
      <c r="J270" s="73">
        <v>40848</v>
      </c>
      <c r="K270" s="133">
        <v>46</v>
      </c>
      <c r="M270" s="323" t="s">
        <v>1185</v>
      </c>
      <c r="N270" s="323" t="s">
        <v>1197</v>
      </c>
      <c r="O270" s="323" t="s">
        <v>230</v>
      </c>
      <c r="P270" s="133"/>
      <c r="Q270" s="133"/>
      <c r="U270" s="323" t="s">
        <v>1184</v>
      </c>
    </row>
    <row r="271" spans="1:21" x14ac:dyDescent="0.25">
      <c r="A271" s="323" t="s">
        <v>309</v>
      </c>
      <c r="B271" s="323" t="s">
        <v>337</v>
      </c>
      <c r="G271" s="323" t="s">
        <v>879</v>
      </c>
      <c r="H271" s="323" t="s">
        <v>876</v>
      </c>
      <c r="I271" s="323" t="s">
        <v>776</v>
      </c>
      <c r="J271" s="323" t="s">
        <v>1224</v>
      </c>
      <c r="K271" s="133"/>
      <c r="M271" s="323" t="s">
        <v>1186</v>
      </c>
      <c r="N271" s="323" t="s">
        <v>1198</v>
      </c>
      <c r="O271" s="323" t="s">
        <v>230</v>
      </c>
      <c r="P271" s="133"/>
      <c r="Q271" s="133"/>
      <c r="U271" s="323" t="s">
        <v>1185</v>
      </c>
    </row>
    <row r="272" spans="1:21" x14ac:dyDescent="0.25">
      <c r="A272" s="323" t="s">
        <v>309</v>
      </c>
      <c r="B272" s="323" t="s">
        <v>349</v>
      </c>
      <c r="G272" s="323" t="s">
        <v>134</v>
      </c>
      <c r="H272" s="323" t="s">
        <v>133</v>
      </c>
      <c r="I272" s="323" t="s">
        <v>776</v>
      </c>
      <c r="J272" s="323" t="s">
        <v>1224</v>
      </c>
      <c r="K272" s="133"/>
      <c r="M272" s="323" t="s">
        <v>1187</v>
      </c>
      <c r="N272" s="323" t="s">
        <v>1199</v>
      </c>
      <c r="O272" s="323" t="s">
        <v>230</v>
      </c>
      <c r="P272" s="133"/>
      <c r="Q272" s="133"/>
      <c r="U272" s="323" t="s">
        <v>1186</v>
      </c>
    </row>
    <row r="273" spans="1:21" x14ac:dyDescent="0.25">
      <c r="A273" s="323" t="s">
        <v>309</v>
      </c>
      <c r="B273" s="323" t="s">
        <v>345</v>
      </c>
      <c r="G273" s="323" t="s">
        <v>796</v>
      </c>
      <c r="H273" s="323" t="s">
        <v>784</v>
      </c>
      <c r="I273" s="323" t="s">
        <v>776</v>
      </c>
      <c r="J273" s="323" t="s">
        <v>1224</v>
      </c>
      <c r="K273" s="133">
        <v>0</v>
      </c>
      <c r="M273" s="323" t="s">
        <v>1188</v>
      </c>
      <c r="N273" s="323" t="s">
        <v>1200</v>
      </c>
      <c r="O273" s="323" t="s">
        <v>230</v>
      </c>
      <c r="P273" s="133"/>
      <c r="Q273" s="133"/>
      <c r="U273" s="323" t="s">
        <v>1187</v>
      </c>
    </row>
    <row r="274" spans="1:21" x14ac:dyDescent="0.25">
      <c r="A274" s="323" t="s">
        <v>309</v>
      </c>
      <c r="B274" s="323" t="s">
        <v>347</v>
      </c>
      <c r="G274" s="323" t="s">
        <v>300</v>
      </c>
      <c r="H274" s="323" t="s">
        <v>298</v>
      </c>
      <c r="I274" s="323" t="s">
        <v>460</v>
      </c>
      <c r="J274" s="323" t="s">
        <v>1224</v>
      </c>
      <c r="K274" s="133">
        <v>14</v>
      </c>
      <c r="M274" s="323" t="s">
        <v>1189</v>
      </c>
      <c r="N274" s="323" t="s">
        <v>1201</v>
      </c>
      <c r="O274" s="323" t="s">
        <v>1204</v>
      </c>
      <c r="P274" s="133">
        <v>37</v>
      </c>
      <c r="Q274" s="133">
        <v>120</v>
      </c>
      <c r="U274" s="323" t="s">
        <v>1188</v>
      </c>
    </row>
    <row r="275" spans="1:21" x14ac:dyDescent="0.25">
      <c r="A275" s="323" t="s">
        <v>309</v>
      </c>
      <c r="B275" s="323" t="s">
        <v>315</v>
      </c>
      <c r="G275" s="323" t="s">
        <v>1147</v>
      </c>
      <c r="H275" s="323" t="s">
        <v>1130</v>
      </c>
      <c r="I275" s="323" t="s">
        <v>776</v>
      </c>
      <c r="J275" s="73">
        <v>42430</v>
      </c>
      <c r="K275" s="133"/>
      <c r="M275" s="323" t="s">
        <v>1235</v>
      </c>
      <c r="N275" s="323" t="s">
        <v>1236</v>
      </c>
      <c r="O275" s="323" t="s">
        <v>146</v>
      </c>
      <c r="P275" s="133">
        <v>39</v>
      </c>
      <c r="Q275" s="133">
        <v>145</v>
      </c>
      <c r="U275" s="323" t="s">
        <v>1189</v>
      </c>
    </row>
    <row r="276" spans="1:21" x14ac:dyDescent="0.25">
      <c r="A276" s="323" t="s">
        <v>309</v>
      </c>
      <c r="B276" s="323" t="s">
        <v>310</v>
      </c>
      <c r="G276" s="323" t="s">
        <v>315</v>
      </c>
      <c r="H276" s="323" t="s">
        <v>314</v>
      </c>
      <c r="I276" s="323" t="s">
        <v>460</v>
      </c>
      <c r="J276" s="73">
        <v>40848</v>
      </c>
      <c r="K276" s="133">
        <v>69</v>
      </c>
      <c r="M276" s="323" t="s">
        <v>1246</v>
      </c>
      <c r="N276" s="323" t="s">
        <v>1245</v>
      </c>
      <c r="O276" s="323" t="s">
        <v>146</v>
      </c>
      <c r="P276" s="133">
        <v>24</v>
      </c>
      <c r="Q276" s="133">
        <v>84</v>
      </c>
      <c r="U276" s="323" t="s">
        <v>1235</v>
      </c>
    </row>
    <row r="277" spans="1:21" x14ac:dyDescent="0.25">
      <c r="A277" s="323" t="s">
        <v>309</v>
      </c>
      <c r="B277" s="323" t="s">
        <v>351</v>
      </c>
      <c r="G277" s="323" t="s">
        <v>310</v>
      </c>
      <c r="H277" s="323" t="s">
        <v>308</v>
      </c>
      <c r="I277" s="323" t="s">
        <v>776</v>
      </c>
      <c r="J277" s="73">
        <v>40848</v>
      </c>
      <c r="K277" s="133"/>
      <c r="M277" s="323" t="s">
        <v>1250</v>
      </c>
      <c r="N277" s="323" t="s">
        <v>716</v>
      </c>
      <c r="O277" s="323" t="s">
        <v>230</v>
      </c>
      <c r="P277" s="133">
        <v>152</v>
      </c>
      <c r="Q277" s="133">
        <v>779</v>
      </c>
      <c r="U277" s="323" t="s">
        <v>1246</v>
      </c>
    </row>
    <row r="278" spans="1:21" x14ac:dyDescent="0.25">
      <c r="A278" s="323" t="s">
        <v>309</v>
      </c>
      <c r="B278" s="323" t="s">
        <v>1035</v>
      </c>
      <c r="G278" s="323" t="s">
        <v>1137</v>
      </c>
      <c r="H278" s="323" t="s">
        <v>1138</v>
      </c>
      <c r="I278" s="323" t="s">
        <v>776</v>
      </c>
      <c r="J278" s="73">
        <v>42370</v>
      </c>
      <c r="K278" s="133"/>
      <c r="M278" s="323" t="s">
        <v>1259</v>
      </c>
      <c r="N278" s="323" t="s">
        <v>1262</v>
      </c>
      <c r="O278" s="323" t="s">
        <v>309</v>
      </c>
      <c r="P278" s="133">
        <v>62</v>
      </c>
      <c r="Q278" s="133">
        <v>410</v>
      </c>
      <c r="U278" s="323" t="s">
        <v>1250</v>
      </c>
    </row>
    <row r="279" spans="1:21" x14ac:dyDescent="0.25">
      <c r="A279" s="323" t="s">
        <v>309</v>
      </c>
      <c r="B279" s="323" t="s">
        <v>1036</v>
      </c>
      <c r="G279" s="323" t="s">
        <v>64</v>
      </c>
      <c r="H279" s="323" t="s">
        <v>63</v>
      </c>
      <c r="I279" s="323" t="s">
        <v>776</v>
      </c>
      <c r="J279" s="73">
        <v>41275</v>
      </c>
      <c r="K279" s="133"/>
      <c r="M279" s="323" t="s">
        <v>1271</v>
      </c>
      <c r="N279" s="323" t="s">
        <v>1273</v>
      </c>
      <c r="O279" s="323" t="s">
        <v>309</v>
      </c>
      <c r="P279" s="133">
        <v>413</v>
      </c>
      <c r="Q279" s="133">
        <v>1913</v>
      </c>
      <c r="U279" s="323" t="s">
        <v>1259</v>
      </c>
    </row>
    <row r="280" spans="1:21" x14ac:dyDescent="0.25">
      <c r="A280" s="323" t="s">
        <v>309</v>
      </c>
      <c r="B280" s="323" t="s">
        <v>1037</v>
      </c>
      <c r="G280" s="323" t="s">
        <v>126</v>
      </c>
      <c r="H280" s="323" t="s">
        <v>125</v>
      </c>
      <c r="I280" s="323" t="s">
        <v>460</v>
      </c>
      <c r="J280" s="73">
        <v>41275</v>
      </c>
      <c r="K280" s="133">
        <v>32</v>
      </c>
      <c r="M280" s="323" t="s">
        <v>1277</v>
      </c>
      <c r="N280" s="323" t="s">
        <v>1286</v>
      </c>
      <c r="O280" s="323" t="s">
        <v>480</v>
      </c>
      <c r="P280" s="133">
        <v>123</v>
      </c>
      <c r="Q280" s="133">
        <v>656</v>
      </c>
      <c r="U280" s="323" t="s">
        <v>1271</v>
      </c>
    </row>
    <row r="281" spans="1:21" x14ac:dyDescent="0.25">
      <c r="A281" s="323" t="s">
        <v>309</v>
      </c>
      <c r="B281" s="323" t="s">
        <v>1032</v>
      </c>
      <c r="G281" s="323" t="s">
        <v>1200</v>
      </c>
      <c r="H281" s="323" t="s">
        <v>1188</v>
      </c>
      <c r="I281" s="323" t="s">
        <v>776</v>
      </c>
      <c r="J281" s="323" t="s">
        <v>1224</v>
      </c>
      <c r="K281" s="133"/>
      <c r="M281" s="323" t="s">
        <v>1284</v>
      </c>
      <c r="N281" s="323" t="s">
        <v>1285</v>
      </c>
      <c r="O281" s="323" t="s">
        <v>297</v>
      </c>
      <c r="P281" s="133">
        <v>59</v>
      </c>
      <c r="Q281" s="133">
        <v>275</v>
      </c>
      <c r="U281" s="323" t="s">
        <v>1277</v>
      </c>
    </row>
    <row r="282" spans="1:21" x14ac:dyDescent="0.25">
      <c r="A282" s="323" t="s">
        <v>309</v>
      </c>
      <c r="B282" s="323" t="s">
        <v>1034</v>
      </c>
      <c r="G282" s="323" t="s">
        <v>351</v>
      </c>
      <c r="H282" s="323" t="s">
        <v>350</v>
      </c>
      <c r="I282" s="323" t="s">
        <v>460</v>
      </c>
      <c r="J282" s="73">
        <v>40695</v>
      </c>
      <c r="K282" s="133">
        <v>1425</v>
      </c>
      <c r="M282" s="323" t="s">
        <v>1424</v>
      </c>
      <c r="N282" s="323" t="s">
        <v>1421</v>
      </c>
      <c r="O282" s="323" t="s">
        <v>1140</v>
      </c>
      <c r="P282" s="133">
        <v>30</v>
      </c>
      <c r="Q282" s="133">
        <v>130</v>
      </c>
      <c r="U282" s="323" t="s">
        <v>1284</v>
      </c>
    </row>
    <row r="283" spans="1:21" x14ac:dyDescent="0.25">
      <c r="A283" s="323" t="s">
        <v>309</v>
      </c>
      <c r="B283" s="323" t="s">
        <v>1262</v>
      </c>
      <c r="G283" s="323" t="s">
        <v>37</v>
      </c>
      <c r="H283" s="323" t="s">
        <v>36</v>
      </c>
      <c r="I283" s="323" t="s">
        <v>776</v>
      </c>
      <c r="J283" s="323" t="s">
        <v>1224</v>
      </c>
      <c r="K283" s="133"/>
      <c r="M283" s="323" t="s">
        <v>1425</v>
      </c>
      <c r="N283" s="323" t="s">
        <v>1412</v>
      </c>
      <c r="O283" s="323" t="s">
        <v>1140</v>
      </c>
      <c r="P283" s="133">
        <v>42</v>
      </c>
      <c r="Q283" s="133">
        <v>190</v>
      </c>
      <c r="U283" s="323" t="s">
        <v>1424</v>
      </c>
    </row>
    <row r="284" spans="1:21" x14ac:dyDescent="0.25">
      <c r="A284" s="323" t="s">
        <v>309</v>
      </c>
      <c r="B284" s="323" t="s">
        <v>1273</v>
      </c>
      <c r="G284" s="323" t="s">
        <v>74</v>
      </c>
      <c r="H284" s="323" t="s">
        <v>73</v>
      </c>
      <c r="I284" s="323" t="s">
        <v>776</v>
      </c>
      <c r="J284" s="323" t="s">
        <v>1224</v>
      </c>
      <c r="K284" s="133"/>
      <c r="M284" s="323" t="s">
        <v>1426</v>
      </c>
      <c r="N284" s="323" t="s">
        <v>1413</v>
      </c>
      <c r="O284" s="323" t="s">
        <v>1140</v>
      </c>
      <c r="P284" s="133">
        <v>127</v>
      </c>
      <c r="Q284" s="133">
        <v>450</v>
      </c>
      <c r="U284" s="323" t="s">
        <v>1425</v>
      </c>
    </row>
    <row r="285" spans="1:21" x14ac:dyDescent="0.25">
      <c r="A285" s="323" t="s">
        <v>309</v>
      </c>
      <c r="B285" s="323" t="s">
        <v>1267</v>
      </c>
      <c r="G285" s="323" t="s">
        <v>282</v>
      </c>
      <c r="H285" s="323" t="s">
        <v>281</v>
      </c>
      <c r="I285" s="323" t="s">
        <v>776</v>
      </c>
      <c r="J285" s="73">
        <v>41000</v>
      </c>
      <c r="K285" s="133">
        <v>7</v>
      </c>
      <c r="M285" s="323" t="s">
        <v>1427</v>
      </c>
      <c r="N285" s="323" t="s">
        <v>1414</v>
      </c>
      <c r="O285" s="323" t="s">
        <v>1140</v>
      </c>
      <c r="P285" s="133">
        <v>36</v>
      </c>
      <c r="Q285" s="133">
        <v>145</v>
      </c>
      <c r="U285" s="323" t="s">
        <v>1426</v>
      </c>
    </row>
    <row r="286" spans="1:21" x14ac:dyDescent="0.25">
      <c r="A286" s="323" t="s">
        <v>1204</v>
      </c>
      <c r="B286" s="323" t="s">
        <v>1201</v>
      </c>
      <c r="G286" s="323" t="s">
        <v>26</v>
      </c>
      <c r="H286" s="323" t="s">
        <v>25</v>
      </c>
      <c r="I286" s="323" t="s">
        <v>460</v>
      </c>
      <c r="J286" s="73">
        <v>41122</v>
      </c>
      <c r="K286" s="133">
        <v>14</v>
      </c>
      <c r="M286" s="323" t="s">
        <v>1573</v>
      </c>
      <c r="N286" s="323" t="s">
        <v>1542</v>
      </c>
      <c r="O286" s="323" t="s">
        <v>173</v>
      </c>
      <c r="P286" s="133">
        <v>245</v>
      </c>
      <c r="Q286" s="133">
        <v>1084</v>
      </c>
      <c r="U286" s="323" t="s">
        <v>1427</v>
      </c>
    </row>
    <row r="287" spans="1:21" x14ac:dyDescent="0.25">
      <c r="A287" s="323" t="s">
        <v>1140</v>
      </c>
      <c r="B287" s="323" t="s">
        <v>1412</v>
      </c>
      <c r="G287" s="323" t="s">
        <v>140</v>
      </c>
      <c r="H287" s="323" t="s">
        <v>139</v>
      </c>
      <c r="I287" s="323" t="s">
        <v>460</v>
      </c>
      <c r="J287" s="73">
        <v>41122</v>
      </c>
      <c r="K287" s="133">
        <v>16</v>
      </c>
      <c r="M287" s="323" t="s">
        <v>1574</v>
      </c>
      <c r="N287" s="323" t="s">
        <v>1537</v>
      </c>
      <c r="O287" s="323" t="s">
        <v>237</v>
      </c>
      <c r="P287" s="133">
        <v>19</v>
      </c>
      <c r="Q287" s="133">
        <v>46</v>
      </c>
      <c r="U287" s="323" t="s">
        <v>1573</v>
      </c>
    </row>
    <row r="288" spans="1:21" x14ac:dyDescent="0.25">
      <c r="A288" s="323" t="s">
        <v>1140</v>
      </c>
      <c r="B288" s="323" t="s">
        <v>1413</v>
      </c>
      <c r="G288" s="323" t="s">
        <v>1034</v>
      </c>
      <c r="H288" s="323" t="s">
        <v>354</v>
      </c>
      <c r="I288" s="323" t="s">
        <v>776</v>
      </c>
      <c r="J288" s="73">
        <v>40848</v>
      </c>
      <c r="K288" s="133"/>
      <c r="M288" s="323" t="s">
        <v>1575</v>
      </c>
      <c r="N288" s="323" t="s">
        <v>1552</v>
      </c>
      <c r="O288" s="323" t="s">
        <v>237</v>
      </c>
      <c r="P288" s="133">
        <v>25</v>
      </c>
      <c r="Q288" s="133">
        <v>69</v>
      </c>
      <c r="U288" s="323" t="s">
        <v>1574</v>
      </c>
    </row>
    <row r="289" spans="1:21" x14ac:dyDescent="0.25">
      <c r="A289" s="323" t="s">
        <v>1140</v>
      </c>
      <c r="B289" s="323" t="s">
        <v>1414</v>
      </c>
      <c r="G289" s="323" t="s">
        <v>467</v>
      </c>
      <c r="H289" s="323" t="s">
        <v>468</v>
      </c>
      <c r="I289" s="323" t="s">
        <v>776</v>
      </c>
      <c r="J289" s="323" t="s">
        <v>1224</v>
      </c>
      <c r="K289" s="133">
        <v>0</v>
      </c>
      <c r="M289" s="323" t="s">
        <v>1576</v>
      </c>
      <c r="N289" s="323" t="s">
        <v>1267</v>
      </c>
      <c r="O289" s="323" t="s">
        <v>309</v>
      </c>
      <c r="P289" s="133">
        <v>80</v>
      </c>
      <c r="Q289" s="133">
        <v>449</v>
      </c>
      <c r="U289" s="323" t="s">
        <v>1575</v>
      </c>
    </row>
    <row r="290" spans="1:21" x14ac:dyDescent="0.25">
      <c r="A290" s="323" t="s">
        <v>1140</v>
      </c>
      <c r="B290" s="323" t="s">
        <v>1421</v>
      </c>
      <c r="G290" s="323" t="s">
        <v>371</v>
      </c>
      <c r="H290" s="323" t="s">
        <v>385</v>
      </c>
      <c r="I290" s="323" t="s">
        <v>460</v>
      </c>
      <c r="J290" s="73">
        <v>41244</v>
      </c>
      <c r="K290" s="133">
        <v>196</v>
      </c>
      <c r="M290" s="323" t="s">
        <v>1577</v>
      </c>
      <c r="N290" s="323" t="s">
        <v>1555</v>
      </c>
      <c r="O290" s="323" t="s">
        <v>146</v>
      </c>
      <c r="P290" s="133">
        <v>39</v>
      </c>
      <c r="Q290" s="133">
        <v>202</v>
      </c>
      <c r="U290" s="323" t="s">
        <v>1576</v>
      </c>
    </row>
    <row r="291" spans="1:21" x14ac:dyDescent="0.25">
      <c r="U291" s="323" t="s">
        <v>1577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50.8554687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5" t="s">
        <v>458</v>
      </c>
      <c r="B1" s="322" t="s">
        <v>960</v>
      </c>
      <c r="H1"/>
      <c r="I1"/>
    </row>
    <row r="2" spans="1:10" x14ac:dyDescent="0.25">
      <c r="H2" s="198" t="s">
        <v>458</v>
      </c>
      <c r="I2" s="200" t="s">
        <v>460</v>
      </c>
    </row>
    <row r="3" spans="1:10" x14ac:dyDescent="0.25">
      <c r="A3" s="167" t="s">
        <v>0</v>
      </c>
      <c r="B3" s="168" t="s">
        <v>511</v>
      </c>
      <c r="C3" s="113" t="s">
        <v>463</v>
      </c>
      <c r="D3" s="111" t="s">
        <v>867</v>
      </c>
    </row>
    <row r="4" spans="1:10" x14ac:dyDescent="0.25">
      <c r="A4" s="173" t="s">
        <v>5</v>
      </c>
      <c r="B4" s="173" t="s">
        <v>21</v>
      </c>
      <c r="C4" s="322" t="s">
        <v>22</v>
      </c>
      <c r="D4" s="176">
        <v>0.66614420062695934</v>
      </c>
      <c r="H4" s="167" t="s">
        <v>410</v>
      </c>
      <c r="I4" s="146" t="s">
        <v>795</v>
      </c>
      <c r="J4"/>
    </row>
    <row r="5" spans="1:10" x14ac:dyDescent="0.25">
      <c r="A5" s="109"/>
      <c r="B5" s="109" t="s">
        <v>17</v>
      </c>
      <c r="C5" s="322" t="s">
        <v>18</v>
      </c>
      <c r="D5" s="177">
        <v>0.7846153846153846</v>
      </c>
      <c r="H5" s="169" t="s">
        <v>309</v>
      </c>
      <c r="I5" s="405">
        <v>4858</v>
      </c>
      <c r="J5"/>
    </row>
    <row r="6" spans="1:10" x14ac:dyDescent="0.25">
      <c r="A6" s="109"/>
      <c r="B6" s="109" t="s">
        <v>4</v>
      </c>
      <c r="C6" s="322" t="s">
        <v>6</v>
      </c>
      <c r="D6" s="177">
        <v>0.66147859922178998</v>
      </c>
      <c r="H6" s="286" t="s">
        <v>333</v>
      </c>
      <c r="I6" s="405">
        <v>125</v>
      </c>
      <c r="J6"/>
    </row>
    <row r="7" spans="1:10" x14ac:dyDescent="0.25">
      <c r="A7" s="109"/>
      <c r="B7" s="109" t="s">
        <v>13</v>
      </c>
      <c r="C7" s="322" t="s">
        <v>14</v>
      </c>
      <c r="D7" s="177">
        <v>1</v>
      </c>
      <c r="H7" s="286" t="s">
        <v>312</v>
      </c>
      <c r="I7" s="405">
        <v>103</v>
      </c>
      <c r="J7"/>
    </row>
    <row r="8" spans="1:10" x14ac:dyDescent="0.25">
      <c r="A8" s="109"/>
      <c r="B8" s="109" t="s">
        <v>25</v>
      </c>
      <c r="C8" s="322" t="s">
        <v>26</v>
      </c>
      <c r="D8" s="177">
        <v>2.8000000000000003</v>
      </c>
      <c r="H8" s="286" t="s">
        <v>335</v>
      </c>
      <c r="I8" s="405">
        <v>154</v>
      </c>
      <c r="J8"/>
    </row>
    <row r="9" spans="1:10" x14ac:dyDescent="0.25">
      <c r="A9" s="109"/>
      <c r="B9" s="109" t="s">
        <v>19</v>
      </c>
      <c r="C9" s="322" t="s">
        <v>20</v>
      </c>
      <c r="D9" s="177">
        <v>0.47619047619047616</v>
      </c>
      <c r="H9" s="286" t="s">
        <v>752</v>
      </c>
      <c r="I9" s="405"/>
      <c r="J9"/>
    </row>
    <row r="10" spans="1:10" x14ac:dyDescent="0.25">
      <c r="A10" s="109"/>
      <c r="B10" s="109" t="s">
        <v>23</v>
      </c>
      <c r="C10" s="322" t="s">
        <v>24</v>
      </c>
      <c r="D10" s="177">
        <v>1.75</v>
      </c>
      <c r="H10" s="286" t="s">
        <v>319</v>
      </c>
      <c r="I10" s="405">
        <v>30</v>
      </c>
      <c r="J10"/>
    </row>
    <row r="11" spans="1:10" x14ac:dyDescent="0.25">
      <c r="A11" s="109"/>
      <c r="B11" s="109" t="s">
        <v>374</v>
      </c>
      <c r="C11" s="322" t="s">
        <v>364</v>
      </c>
      <c r="D11" s="177">
        <v>0.82352941176470584</v>
      </c>
      <c r="H11" s="286" t="s">
        <v>321</v>
      </c>
      <c r="I11" s="405">
        <v>418</v>
      </c>
      <c r="J11"/>
    </row>
    <row r="12" spans="1:10" x14ac:dyDescent="0.25">
      <c r="A12" s="109"/>
      <c r="B12" s="109" t="s">
        <v>7</v>
      </c>
      <c r="C12" s="322" t="s">
        <v>8</v>
      </c>
      <c r="D12" s="177">
        <v>1.3846153846153846</v>
      </c>
      <c r="H12" s="286" t="s">
        <v>327</v>
      </c>
      <c r="I12" s="405">
        <v>339</v>
      </c>
      <c r="J12"/>
    </row>
    <row r="13" spans="1:10" x14ac:dyDescent="0.25">
      <c r="A13" s="110"/>
      <c r="B13" s="110" t="s">
        <v>375</v>
      </c>
      <c r="C13" s="322" t="s">
        <v>465</v>
      </c>
      <c r="D13" s="178">
        <v>1.8333333333333335</v>
      </c>
      <c r="H13" s="286" t="s">
        <v>329</v>
      </c>
      <c r="I13" s="405">
        <v>284</v>
      </c>
      <c r="J13"/>
    </row>
    <row r="14" spans="1:10" x14ac:dyDescent="0.25">
      <c r="A14" s="109" t="s">
        <v>27</v>
      </c>
      <c r="B14" s="109" t="s">
        <v>30</v>
      </c>
      <c r="C14" s="110" t="s">
        <v>28</v>
      </c>
      <c r="D14" s="177">
        <v>0.9907407407407407</v>
      </c>
      <c r="H14" s="286" t="s">
        <v>323</v>
      </c>
      <c r="I14" s="405">
        <v>510</v>
      </c>
      <c r="J14"/>
    </row>
    <row r="15" spans="1:10" x14ac:dyDescent="0.25">
      <c r="A15" s="109"/>
      <c r="B15" s="109" t="s">
        <v>376</v>
      </c>
      <c r="C15" s="110" t="s">
        <v>363</v>
      </c>
      <c r="D15" s="177">
        <v>0.50694444444444442</v>
      </c>
      <c r="H15" s="286" t="s">
        <v>325</v>
      </c>
      <c r="I15" s="405">
        <v>47</v>
      </c>
      <c r="J15"/>
    </row>
    <row r="16" spans="1:10" x14ac:dyDescent="0.25">
      <c r="A16" s="109"/>
      <c r="B16" s="110" t="s">
        <v>790</v>
      </c>
      <c r="C16" s="110" t="s">
        <v>791</v>
      </c>
      <c r="D16" s="178">
        <v>0</v>
      </c>
      <c r="H16" s="286" t="s">
        <v>342</v>
      </c>
      <c r="I16" s="405">
        <v>20</v>
      </c>
      <c r="J16"/>
    </row>
    <row r="17" spans="1:10" x14ac:dyDescent="0.25">
      <c r="A17" s="109"/>
      <c r="B17" s="132" t="s">
        <v>29</v>
      </c>
      <c r="C17" s="132" t="s">
        <v>362</v>
      </c>
      <c r="D17" s="112">
        <v>0</v>
      </c>
      <c r="H17" s="333" t="s">
        <v>353</v>
      </c>
      <c r="I17" s="405">
        <v>88</v>
      </c>
      <c r="J17"/>
    </row>
    <row r="18" spans="1:10" x14ac:dyDescent="0.25">
      <c r="A18" s="110"/>
      <c r="B18" s="132" t="s">
        <v>878</v>
      </c>
      <c r="C18" s="132" t="s">
        <v>877</v>
      </c>
      <c r="D18" s="112">
        <v>0</v>
      </c>
      <c r="H18" s="286" t="s">
        <v>317</v>
      </c>
      <c r="I18" s="405">
        <v>117</v>
      </c>
      <c r="J18"/>
    </row>
    <row r="19" spans="1:10" x14ac:dyDescent="0.25">
      <c r="A19" s="109" t="s">
        <v>480</v>
      </c>
      <c r="B19" s="109" t="s">
        <v>868</v>
      </c>
      <c r="C19" s="109" t="s">
        <v>825</v>
      </c>
      <c r="D19" s="177">
        <v>0</v>
      </c>
      <c r="H19" s="286" t="s">
        <v>340</v>
      </c>
      <c r="I19" s="405">
        <v>63</v>
      </c>
      <c r="J19"/>
    </row>
    <row r="20" spans="1:10" x14ac:dyDescent="0.25">
      <c r="A20" s="109"/>
      <c r="B20" s="109"/>
      <c r="C20" s="110" t="s">
        <v>788</v>
      </c>
      <c r="D20" s="177">
        <v>0</v>
      </c>
      <c r="H20" s="286" t="s">
        <v>337</v>
      </c>
      <c r="I20" s="405">
        <v>29</v>
      </c>
      <c r="J20"/>
    </row>
    <row r="21" spans="1:10" x14ac:dyDescent="0.25">
      <c r="A21" s="109"/>
      <c r="B21" s="109" t="s">
        <v>99</v>
      </c>
      <c r="C21" s="110" t="s">
        <v>100</v>
      </c>
      <c r="D21" s="177">
        <v>2</v>
      </c>
      <c r="H21" s="286" t="s">
        <v>349</v>
      </c>
      <c r="I21" s="405">
        <v>92</v>
      </c>
      <c r="J21"/>
    </row>
    <row r="22" spans="1:10" x14ac:dyDescent="0.25">
      <c r="A22" s="109"/>
      <c r="B22" s="109" t="s">
        <v>107</v>
      </c>
      <c r="C22" s="110" t="s">
        <v>108</v>
      </c>
      <c r="D22" s="177">
        <v>1.1000000000000001</v>
      </c>
      <c r="H22" s="286" t="s">
        <v>345</v>
      </c>
      <c r="I22" s="405">
        <v>181</v>
      </c>
      <c r="J22"/>
    </row>
    <row r="23" spans="1:10" x14ac:dyDescent="0.25">
      <c r="A23" s="109"/>
      <c r="B23" s="109" t="s">
        <v>139</v>
      </c>
      <c r="C23" s="110" t="s">
        <v>140</v>
      </c>
      <c r="D23" s="177">
        <v>0.90909090909090906</v>
      </c>
      <c r="H23" s="286" t="s">
        <v>347</v>
      </c>
      <c r="I23" s="405">
        <v>46</v>
      </c>
      <c r="J23"/>
    </row>
    <row r="24" spans="1:10" x14ac:dyDescent="0.25">
      <c r="A24" s="109"/>
      <c r="B24" s="109" t="s">
        <v>71</v>
      </c>
      <c r="C24" s="110" t="s">
        <v>72</v>
      </c>
      <c r="D24" s="177">
        <v>1</v>
      </c>
      <c r="H24" s="286" t="s">
        <v>315</v>
      </c>
      <c r="I24" s="405">
        <v>69</v>
      </c>
      <c r="J24"/>
    </row>
    <row r="25" spans="1:10" x14ac:dyDescent="0.25">
      <c r="A25" s="109"/>
      <c r="B25" s="109" t="s">
        <v>51</v>
      </c>
      <c r="C25" s="110" t="s">
        <v>52</v>
      </c>
      <c r="D25" s="177">
        <v>0.52631578947368418</v>
      </c>
      <c r="H25" s="333" t="s">
        <v>351</v>
      </c>
      <c r="I25" s="405">
        <v>1425</v>
      </c>
      <c r="J25"/>
    </row>
    <row r="26" spans="1:10" x14ac:dyDescent="0.25">
      <c r="A26" s="109"/>
      <c r="B26" s="109" t="s">
        <v>75</v>
      </c>
      <c r="C26" s="110" t="s">
        <v>76</v>
      </c>
      <c r="D26" s="177">
        <v>1.0714285714285714</v>
      </c>
      <c r="H26" s="286" t="s">
        <v>1032</v>
      </c>
      <c r="I26" s="405">
        <v>163</v>
      </c>
      <c r="J26"/>
    </row>
    <row r="27" spans="1:10" x14ac:dyDescent="0.25">
      <c r="A27" s="109"/>
      <c r="B27" s="109" t="s">
        <v>40</v>
      </c>
      <c r="C27" s="110" t="s">
        <v>41</v>
      </c>
      <c r="D27" s="177">
        <v>0.90909090909090906</v>
      </c>
      <c r="H27" s="286" t="s">
        <v>1262</v>
      </c>
      <c r="I27" s="405">
        <v>62</v>
      </c>
      <c r="J27"/>
    </row>
    <row r="28" spans="1:10" x14ac:dyDescent="0.25">
      <c r="A28" s="109"/>
      <c r="B28" s="109" t="s">
        <v>89</v>
      </c>
      <c r="C28" s="110" t="s">
        <v>90</v>
      </c>
      <c r="D28" s="177">
        <v>1.25</v>
      </c>
      <c r="H28" s="286" t="s">
        <v>1273</v>
      </c>
      <c r="I28" s="405">
        <v>413</v>
      </c>
      <c r="J28"/>
    </row>
    <row r="29" spans="1:10" x14ac:dyDescent="0.25">
      <c r="A29" s="109"/>
      <c r="B29" s="109" t="s">
        <v>117</v>
      </c>
      <c r="C29" s="110" t="s">
        <v>118</v>
      </c>
      <c r="D29" s="177">
        <v>1</v>
      </c>
      <c r="H29" s="286" t="s">
        <v>1267</v>
      </c>
      <c r="I29" s="405">
        <v>80</v>
      </c>
      <c r="J29"/>
    </row>
    <row r="30" spans="1:10" x14ac:dyDescent="0.25">
      <c r="A30" s="109"/>
      <c r="B30" s="109" t="s">
        <v>123</v>
      </c>
      <c r="C30" s="110" t="s">
        <v>124</v>
      </c>
      <c r="D30" s="177">
        <v>0.625</v>
      </c>
      <c r="H30" s="169" t="s">
        <v>185</v>
      </c>
      <c r="I30" s="405">
        <v>4741</v>
      </c>
      <c r="J30"/>
    </row>
    <row r="31" spans="1:10" x14ac:dyDescent="0.25">
      <c r="A31" s="109"/>
      <c r="B31" s="109" t="s">
        <v>125</v>
      </c>
      <c r="C31" s="110" t="s">
        <v>126</v>
      </c>
      <c r="D31" s="177">
        <v>0.45454545454545453</v>
      </c>
      <c r="H31" s="286" t="s">
        <v>192</v>
      </c>
      <c r="I31" s="405">
        <v>93</v>
      </c>
      <c r="J31"/>
    </row>
    <row r="32" spans="1:10" x14ac:dyDescent="0.25">
      <c r="A32" s="109"/>
      <c r="B32" s="109" t="s">
        <v>45</v>
      </c>
      <c r="C32" s="110" t="s">
        <v>44</v>
      </c>
      <c r="D32" s="177">
        <v>2</v>
      </c>
      <c r="H32" s="286" t="s">
        <v>12</v>
      </c>
      <c r="I32" s="405">
        <v>223</v>
      </c>
      <c r="J32"/>
    </row>
    <row r="33" spans="1:10" x14ac:dyDescent="0.25">
      <c r="A33" s="109"/>
      <c r="B33" s="109" t="s">
        <v>46</v>
      </c>
      <c r="C33" s="110" t="s">
        <v>551</v>
      </c>
      <c r="D33" s="177">
        <v>1.25</v>
      </c>
      <c r="H33" s="286" t="s">
        <v>194</v>
      </c>
      <c r="I33" s="405">
        <v>719</v>
      </c>
      <c r="J33"/>
    </row>
    <row r="34" spans="1:10" x14ac:dyDescent="0.25">
      <c r="A34" s="109"/>
      <c r="B34" s="109" t="s">
        <v>42</v>
      </c>
      <c r="C34" s="110" t="s">
        <v>43</v>
      </c>
      <c r="D34" s="177">
        <v>0.7142857142857143</v>
      </c>
      <c r="H34" s="333" t="s">
        <v>196</v>
      </c>
      <c r="I34" s="405">
        <v>1497</v>
      </c>
      <c r="J34"/>
    </row>
    <row r="35" spans="1:10" x14ac:dyDescent="0.25">
      <c r="A35" s="109"/>
      <c r="B35" s="110" t="s">
        <v>91</v>
      </c>
      <c r="C35" s="110" t="s">
        <v>92</v>
      </c>
      <c r="D35" s="178">
        <v>1</v>
      </c>
      <c r="H35" s="286" t="s">
        <v>474</v>
      </c>
      <c r="I35" s="405">
        <v>3</v>
      </c>
      <c r="J35"/>
    </row>
    <row r="36" spans="1:10" x14ac:dyDescent="0.25">
      <c r="A36" s="109"/>
      <c r="B36" s="132" t="s">
        <v>119</v>
      </c>
      <c r="C36" s="132" t="s">
        <v>120</v>
      </c>
      <c r="D36" s="112">
        <v>0.16666666666666666</v>
      </c>
      <c r="H36" s="286" t="s">
        <v>186</v>
      </c>
      <c r="I36" s="405">
        <v>40</v>
      </c>
      <c r="J36"/>
    </row>
    <row r="37" spans="1:10" x14ac:dyDescent="0.25">
      <c r="A37" s="109"/>
      <c r="B37" s="132" t="s">
        <v>1167</v>
      </c>
      <c r="C37" s="132" t="s">
        <v>1161</v>
      </c>
      <c r="D37" s="112">
        <v>0</v>
      </c>
      <c r="H37" s="286" t="s">
        <v>223</v>
      </c>
      <c r="I37" s="405">
        <v>129</v>
      </c>
      <c r="J37"/>
    </row>
    <row r="38" spans="1:10" x14ac:dyDescent="0.25">
      <c r="A38" s="110"/>
      <c r="B38" s="132" t="s">
        <v>1165</v>
      </c>
      <c r="C38" s="132" t="s">
        <v>1162</v>
      </c>
      <c r="D38" s="112">
        <v>0.53333333333333333</v>
      </c>
      <c r="H38" s="286" t="s">
        <v>190</v>
      </c>
      <c r="I38" s="405">
        <v>203</v>
      </c>
      <c r="J38"/>
    </row>
    <row r="39" spans="1:10" x14ac:dyDescent="0.25">
      <c r="A39" s="109" t="s">
        <v>146</v>
      </c>
      <c r="B39" s="109" t="s">
        <v>148</v>
      </c>
      <c r="C39" s="110" t="s">
        <v>149</v>
      </c>
      <c r="D39" s="177">
        <v>0.41269841269841268</v>
      </c>
      <c r="H39" s="333" t="s">
        <v>202</v>
      </c>
      <c r="I39" s="405">
        <v>274</v>
      </c>
      <c r="J39"/>
    </row>
    <row r="40" spans="1:10" x14ac:dyDescent="0.25">
      <c r="A40" s="109"/>
      <c r="B40" s="109" t="s">
        <v>381</v>
      </c>
      <c r="C40" s="110" t="s">
        <v>367</v>
      </c>
      <c r="D40" s="177">
        <v>1</v>
      </c>
      <c r="H40" s="333" t="s">
        <v>209</v>
      </c>
      <c r="I40" s="405">
        <v>415</v>
      </c>
      <c r="J40"/>
    </row>
    <row r="41" spans="1:10" x14ac:dyDescent="0.25">
      <c r="A41" s="109"/>
      <c r="B41" s="109" t="s">
        <v>382</v>
      </c>
      <c r="C41" s="110" t="s">
        <v>368</v>
      </c>
      <c r="D41" s="177">
        <v>1</v>
      </c>
      <c r="H41" s="286" t="s">
        <v>213</v>
      </c>
      <c r="I41" s="405">
        <v>47</v>
      </c>
      <c r="J41"/>
    </row>
    <row r="42" spans="1:10" x14ac:dyDescent="0.25">
      <c r="A42" s="109"/>
      <c r="B42" s="109" t="s">
        <v>383</v>
      </c>
      <c r="C42" s="110" t="s">
        <v>366</v>
      </c>
      <c r="D42" s="177">
        <v>0.92647058823529416</v>
      </c>
      <c r="H42" s="286" t="s">
        <v>215</v>
      </c>
      <c r="I42" s="405">
        <v>356</v>
      </c>
      <c r="J42"/>
    </row>
    <row r="43" spans="1:10" x14ac:dyDescent="0.25">
      <c r="A43" s="109"/>
      <c r="B43" s="109" t="s">
        <v>385</v>
      </c>
      <c r="C43" s="110" t="s">
        <v>371</v>
      </c>
      <c r="D43" s="177">
        <v>0.543010752688172</v>
      </c>
      <c r="H43" s="286" t="s">
        <v>229</v>
      </c>
      <c r="I43" s="405">
        <v>48</v>
      </c>
      <c r="J43"/>
    </row>
    <row r="44" spans="1:10" x14ac:dyDescent="0.25">
      <c r="A44" s="109"/>
      <c r="B44" s="110" t="s">
        <v>147</v>
      </c>
      <c r="C44" s="110" t="s">
        <v>369</v>
      </c>
      <c r="D44" s="178">
        <v>0.10869565217391304</v>
      </c>
      <c r="H44" s="333" t="s">
        <v>219</v>
      </c>
      <c r="I44" s="405">
        <v>651</v>
      </c>
      <c r="J44"/>
    </row>
    <row r="45" spans="1:10" x14ac:dyDescent="0.25">
      <c r="A45" s="110"/>
      <c r="B45" s="132" t="s">
        <v>944</v>
      </c>
      <c r="C45" s="132" t="s">
        <v>945</v>
      </c>
      <c r="D45" s="112">
        <v>0</v>
      </c>
      <c r="H45" s="286" t="s">
        <v>225</v>
      </c>
      <c r="I45" s="405">
        <v>43</v>
      </c>
      <c r="J45"/>
    </row>
    <row r="46" spans="1:10" x14ac:dyDescent="0.25">
      <c r="A46" s="109" t="s">
        <v>151</v>
      </c>
      <c r="B46" s="109" t="s">
        <v>150</v>
      </c>
      <c r="C46" s="110" t="s">
        <v>152</v>
      </c>
      <c r="D46" s="177">
        <v>0.54123711340206193</v>
      </c>
      <c r="H46" s="169" t="s">
        <v>151</v>
      </c>
      <c r="I46" s="405">
        <v>2840</v>
      </c>
      <c r="J46"/>
    </row>
    <row r="47" spans="1:10" x14ac:dyDescent="0.25">
      <c r="A47" s="109"/>
      <c r="B47" s="109" t="s">
        <v>197</v>
      </c>
      <c r="C47" s="110" t="s">
        <v>198</v>
      </c>
      <c r="D47" s="177">
        <v>0.97623400365630708</v>
      </c>
      <c r="H47" s="286" t="s">
        <v>188</v>
      </c>
      <c r="I47" s="405">
        <v>365</v>
      </c>
      <c r="J47"/>
    </row>
    <row r="48" spans="1:10" x14ac:dyDescent="0.25">
      <c r="A48" s="109"/>
      <c r="B48" s="109" t="s">
        <v>153</v>
      </c>
      <c r="C48" s="110" t="s">
        <v>154</v>
      </c>
      <c r="D48" s="177">
        <v>0.44543429844097998</v>
      </c>
      <c r="H48" s="286" t="s">
        <v>12</v>
      </c>
      <c r="I48" s="405">
        <v>80</v>
      </c>
      <c r="J48"/>
    </row>
    <row r="49" spans="1:10" x14ac:dyDescent="0.25">
      <c r="A49" s="109"/>
      <c r="B49" s="109" t="s">
        <v>159</v>
      </c>
      <c r="C49" s="110" t="s">
        <v>160</v>
      </c>
      <c r="D49" s="177">
        <v>0.75510204081632648</v>
      </c>
      <c r="H49" s="333" t="s">
        <v>198</v>
      </c>
      <c r="I49" s="405">
        <v>547</v>
      </c>
      <c r="J49"/>
    </row>
    <row r="50" spans="1:10" x14ac:dyDescent="0.25">
      <c r="A50" s="109"/>
      <c r="B50" s="109" t="s">
        <v>813</v>
      </c>
      <c r="C50" s="110" t="s">
        <v>812</v>
      </c>
      <c r="D50" s="177">
        <v>0.76674937965260548</v>
      </c>
      <c r="H50" s="286" t="s">
        <v>812</v>
      </c>
      <c r="I50" s="405">
        <v>432</v>
      </c>
      <c r="J50"/>
    </row>
    <row r="51" spans="1:10" x14ac:dyDescent="0.25">
      <c r="A51" s="109"/>
      <c r="B51" s="109" t="s">
        <v>187</v>
      </c>
      <c r="C51" s="110" t="s">
        <v>188</v>
      </c>
      <c r="D51" s="177">
        <v>0.49222797927461137</v>
      </c>
      <c r="H51" s="286" t="s">
        <v>849</v>
      </c>
      <c r="I51" s="405">
        <v>172</v>
      </c>
      <c r="J51"/>
    </row>
    <row r="52" spans="1:10" x14ac:dyDescent="0.25">
      <c r="A52" s="109"/>
      <c r="B52" s="110" t="s">
        <v>848</v>
      </c>
      <c r="C52" s="110" t="s">
        <v>849</v>
      </c>
      <c r="D52" s="178">
        <v>0.28735632183908044</v>
      </c>
      <c r="H52" s="286" t="s">
        <v>160</v>
      </c>
      <c r="I52" s="405">
        <v>127</v>
      </c>
      <c r="J52"/>
    </row>
    <row r="53" spans="1:10" x14ac:dyDescent="0.25">
      <c r="A53" s="110"/>
      <c r="B53" s="132" t="s">
        <v>941</v>
      </c>
      <c r="C53" s="132" t="s">
        <v>940</v>
      </c>
      <c r="D53" s="112">
        <v>0</v>
      </c>
      <c r="H53" s="333" t="s">
        <v>940</v>
      </c>
      <c r="I53" s="405">
        <v>154</v>
      </c>
      <c r="J53"/>
    </row>
    <row r="54" spans="1:10" x14ac:dyDescent="0.25">
      <c r="A54" s="109" t="s">
        <v>166</v>
      </c>
      <c r="B54" s="109" t="s">
        <v>165</v>
      </c>
      <c r="C54" s="110" t="s">
        <v>167</v>
      </c>
      <c r="D54" s="177">
        <v>1.1428571428571428</v>
      </c>
      <c r="H54" s="333" t="s">
        <v>154</v>
      </c>
      <c r="I54" s="405">
        <v>447</v>
      </c>
      <c r="J54"/>
    </row>
    <row r="55" spans="1:10" x14ac:dyDescent="0.25">
      <c r="A55" s="110"/>
      <c r="B55" s="110" t="s">
        <v>762</v>
      </c>
      <c r="C55" s="110" t="s">
        <v>761</v>
      </c>
      <c r="D55" s="178">
        <v>1</v>
      </c>
      <c r="H55" s="333" t="s">
        <v>913</v>
      </c>
      <c r="I55" s="405">
        <v>156</v>
      </c>
      <c r="J55"/>
    </row>
    <row r="56" spans="1:10" x14ac:dyDescent="0.25">
      <c r="A56" s="109" t="s">
        <v>173</v>
      </c>
      <c r="B56" s="109" t="s">
        <v>175</v>
      </c>
      <c r="C56" s="110" t="s">
        <v>176</v>
      </c>
      <c r="D56" s="177">
        <v>0.66666666666666663</v>
      </c>
      <c r="H56" s="286" t="s">
        <v>156</v>
      </c>
      <c r="I56" s="405">
        <v>175</v>
      </c>
      <c r="J56"/>
    </row>
    <row r="57" spans="1:10" x14ac:dyDescent="0.25">
      <c r="A57" s="109"/>
      <c r="B57" s="109" t="s">
        <v>172</v>
      </c>
      <c r="C57" s="110" t="s">
        <v>174</v>
      </c>
      <c r="D57" s="177">
        <v>1</v>
      </c>
      <c r="H57" s="286" t="s">
        <v>152</v>
      </c>
      <c r="I57" s="405">
        <v>185</v>
      </c>
      <c r="J57"/>
    </row>
    <row r="58" spans="1:10" x14ac:dyDescent="0.25">
      <c r="A58" s="109"/>
      <c r="B58" s="110" t="s">
        <v>177</v>
      </c>
      <c r="C58" s="110" t="s">
        <v>178</v>
      </c>
      <c r="D58" s="178">
        <v>1</v>
      </c>
      <c r="H58" s="169" t="s">
        <v>237</v>
      </c>
      <c r="I58" s="405">
        <v>1494</v>
      </c>
      <c r="J58"/>
    </row>
    <row r="59" spans="1:10" x14ac:dyDescent="0.25">
      <c r="A59" s="110"/>
      <c r="B59" s="132" t="s">
        <v>1058</v>
      </c>
      <c r="C59" s="132" t="s">
        <v>1064</v>
      </c>
      <c r="D59" s="112">
        <v>1</v>
      </c>
      <c r="H59" s="286" t="s">
        <v>252</v>
      </c>
      <c r="I59" s="405">
        <v>199</v>
      </c>
      <c r="J59"/>
    </row>
    <row r="60" spans="1:10" x14ac:dyDescent="0.25">
      <c r="A60" s="109" t="s">
        <v>180</v>
      </c>
      <c r="B60" s="109" t="s">
        <v>179</v>
      </c>
      <c r="C60" s="110" t="s">
        <v>181</v>
      </c>
      <c r="D60" s="177">
        <v>1</v>
      </c>
      <c r="H60" s="286" t="s">
        <v>254</v>
      </c>
      <c r="I60" s="405">
        <v>115</v>
      </c>
      <c r="J60"/>
    </row>
    <row r="61" spans="1:10" x14ac:dyDescent="0.25">
      <c r="A61" s="110"/>
      <c r="B61" s="110" t="s">
        <v>285</v>
      </c>
      <c r="C61" s="110" t="s">
        <v>286</v>
      </c>
      <c r="D61" s="178">
        <v>1.5263157894736841</v>
      </c>
      <c r="H61" s="286" t="s">
        <v>256</v>
      </c>
      <c r="I61" s="405">
        <v>44</v>
      </c>
      <c r="J61"/>
    </row>
    <row r="62" spans="1:10" x14ac:dyDescent="0.25">
      <c r="A62" s="109" t="s">
        <v>185</v>
      </c>
      <c r="B62" s="109" t="s">
        <v>208</v>
      </c>
      <c r="C62" s="110" t="s">
        <v>209</v>
      </c>
      <c r="D62" s="177">
        <v>0.71317829457364335</v>
      </c>
      <c r="H62" s="286" t="s">
        <v>240</v>
      </c>
      <c r="I62" s="405">
        <v>102</v>
      </c>
      <c r="J62"/>
    </row>
    <row r="63" spans="1:10" x14ac:dyDescent="0.25">
      <c r="A63" s="109"/>
      <c r="B63" s="109" t="s">
        <v>201</v>
      </c>
      <c r="C63" s="110" t="s">
        <v>202</v>
      </c>
      <c r="D63" s="177">
        <v>0.57735849056603772</v>
      </c>
      <c r="H63" s="286" t="s">
        <v>284</v>
      </c>
      <c r="I63" s="405">
        <v>138</v>
      </c>
      <c r="J63"/>
    </row>
    <row r="64" spans="1:10" x14ac:dyDescent="0.25">
      <c r="A64" s="109"/>
      <c r="B64" s="109" t="s">
        <v>222</v>
      </c>
      <c r="C64" s="110" t="s">
        <v>223</v>
      </c>
      <c r="D64" s="177">
        <v>0.65048543689320382</v>
      </c>
      <c r="H64" s="286" t="s">
        <v>258</v>
      </c>
      <c r="I64" s="405">
        <v>61</v>
      </c>
      <c r="J64"/>
    </row>
    <row r="65" spans="1:10" x14ac:dyDescent="0.25">
      <c r="A65" s="109"/>
      <c r="B65" s="109" t="s">
        <v>189</v>
      </c>
      <c r="C65" s="110" t="s">
        <v>190</v>
      </c>
      <c r="D65" s="177">
        <v>0.42268041237113402</v>
      </c>
      <c r="H65" s="286" t="s">
        <v>260</v>
      </c>
      <c r="I65" s="405">
        <v>103</v>
      </c>
      <c r="J65"/>
    </row>
    <row r="66" spans="1:10" x14ac:dyDescent="0.25">
      <c r="A66" s="109"/>
      <c r="B66" s="109" t="s">
        <v>184</v>
      </c>
      <c r="C66" s="110" t="s">
        <v>186</v>
      </c>
      <c r="D66" s="177">
        <v>1</v>
      </c>
      <c r="H66" s="286" t="s">
        <v>262</v>
      </c>
      <c r="I66" s="405">
        <v>24</v>
      </c>
      <c r="J66"/>
    </row>
    <row r="67" spans="1:10" x14ac:dyDescent="0.25">
      <c r="A67" s="109"/>
      <c r="B67" s="109" t="s">
        <v>228</v>
      </c>
      <c r="C67" s="110" t="s">
        <v>229</v>
      </c>
      <c r="D67" s="177">
        <v>0.91836734693877553</v>
      </c>
      <c r="H67" s="286" t="s">
        <v>264</v>
      </c>
      <c r="I67" s="405">
        <v>14</v>
      </c>
      <c r="J67"/>
    </row>
    <row r="68" spans="1:10" x14ac:dyDescent="0.25">
      <c r="A68" s="109"/>
      <c r="B68" s="109" t="s">
        <v>224</v>
      </c>
      <c r="C68" s="110" t="s">
        <v>225</v>
      </c>
      <c r="D68" s="177">
        <v>0.97560975609756095</v>
      </c>
      <c r="H68" s="286" t="s">
        <v>270</v>
      </c>
      <c r="I68" s="405">
        <v>58</v>
      </c>
      <c r="J68"/>
    </row>
    <row r="69" spans="1:10" x14ac:dyDescent="0.25">
      <c r="A69" s="109"/>
      <c r="B69" s="109" t="s">
        <v>195</v>
      </c>
      <c r="C69" s="110" t="s">
        <v>196</v>
      </c>
      <c r="D69" s="177">
        <v>0.77296248382923671</v>
      </c>
      <c r="H69" s="286" t="s">
        <v>268</v>
      </c>
      <c r="I69" s="405">
        <v>67</v>
      </c>
      <c r="J69"/>
    </row>
    <row r="70" spans="1:10" x14ac:dyDescent="0.25">
      <c r="A70" s="109"/>
      <c r="B70" s="109" t="s">
        <v>193</v>
      </c>
      <c r="C70" s="110" t="s">
        <v>194</v>
      </c>
      <c r="D70" s="177">
        <v>0.8607242339832869</v>
      </c>
      <c r="H70" s="286" t="s">
        <v>272</v>
      </c>
      <c r="I70" s="405">
        <v>64</v>
      </c>
      <c r="J70"/>
    </row>
    <row r="71" spans="1:10" x14ac:dyDescent="0.25">
      <c r="A71" s="109"/>
      <c r="B71" s="109" t="s">
        <v>191</v>
      </c>
      <c r="C71" s="110" t="s">
        <v>192</v>
      </c>
      <c r="D71" s="177">
        <v>1.796116504854369</v>
      </c>
      <c r="H71" s="286" t="s">
        <v>276</v>
      </c>
      <c r="I71" s="405">
        <v>118</v>
      </c>
      <c r="J71"/>
    </row>
    <row r="72" spans="1:10" x14ac:dyDescent="0.25">
      <c r="A72" s="109"/>
      <c r="B72" s="109" t="s">
        <v>218</v>
      </c>
      <c r="C72" s="110" t="s">
        <v>219</v>
      </c>
      <c r="D72" s="177">
        <v>1.2010050251256281</v>
      </c>
      <c r="H72" s="286" t="s">
        <v>278</v>
      </c>
      <c r="I72" s="405">
        <v>23</v>
      </c>
      <c r="J72"/>
    </row>
    <row r="73" spans="1:10" x14ac:dyDescent="0.25">
      <c r="A73" s="110"/>
      <c r="B73" s="110" t="s">
        <v>214</v>
      </c>
      <c r="C73" s="110" t="s">
        <v>215</v>
      </c>
      <c r="D73" s="178">
        <v>1.7318435754189945</v>
      </c>
      <c r="H73" s="286" t="s">
        <v>280</v>
      </c>
      <c r="I73" s="405">
        <v>91</v>
      </c>
      <c r="J73"/>
    </row>
    <row r="74" spans="1:10" x14ac:dyDescent="0.25">
      <c r="A74" s="109" t="s">
        <v>230</v>
      </c>
      <c r="B74" s="109" t="s">
        <v>906</v>
      </c>
      <c r="C74" s="110" t="s">
        <v>905</v>
      </c>
      <c r="D74" s="177">
        <v>1</v>
      </c>
      <c r="H74" s="286" t="s">
        <v>238</v>
      </c>
      <c r="I74" s="405">
        <v>73</v>
      </c>
      <c r="J74"/>
    </row>
    <row r="75" spans="1:10" x14ac:dyDescent="0.25">
      <c r="A75" s="109"/>
      <c r="B75" s="110" t="s">
        <v>916</v>
      </c>
      <c r="C75" s="110" t="s">
        <v>915</v>
      </c>
      <c r="D75" s="178">
        <v>1.2000000000000002</v>
      </c>
      <c r="H75" s="286" t="s">
        <v>248</v>
      </c>
      <c r="I75" s="405">
        <v>7</v>
      </c>
      <c r="J75"/>
    </row>
    <row r="76" spans="1:10" x14ac:dyDescent="0.25">
      <c r="A76" s="110"/>
      <c r="B76" s="132" t="s">
        <v>772</v>
      </c>
      <c r="C76" s="132" t="s">
        <v>359</v>
      </c>
      <c r="D76" s="112">
        <v>1</v>
      </c>
      <c r="H76" s="286" t="s">
        <v>250</v>
      </c>
      <c r="I76" s="405">
        <v>32</v>
      </c>
      <c r="J76"/>
    </row>
    <row r="77" spans="1:10" x14ac:dyDescent="0.25">
      <c r="A77" s="109" t="s">
        <v>237</v>
      </c>
      <c r="B77" s="109" t="s">
        <v>868</v>
      </c>
      <c r="C77" s="109" t="s">
        <v>824</v>
      </c>
      <c r="D77" s="177">
        <v>0</v>
      </c>
      <c r="H77" s="286" t="s">
        <v>274</v>
      </c>
      <c r="I77" s="405">
        <v>46</v>
      </c>
      <c r="J77"/>
    </row>
    <row r="78" spans="1:10" x14ac:dyDescent="0.25">
      <c r="A78" s="109"/>
      <c r="B78" s="109"/>
      <c r="C78" s="110" t="s">
        <v>788</v>
      </c>
      <c r="D78" s="177">
        <v>0</v>
      </c>
      <c r="H78" s="286" t="s">
        <v>1033</v>
      </c>
      <c r="I78" s="405">
        <v>54</v>
      </c>
      <c r="J78"/>
    </row>
    <row r="79" spans="1:10" x14ac:dyDescent="0.25">
      <c r="A79" s="109"/>
      <c r="B79" s="109" t="s">
        <v>236</v>
      </c>
      <c r="C79" s="110" t="s">
        <v>238</v>
      </c>
      <c r="D79" s="177">
        <v>0.90909090909090906</v>
      </c>
      <c r="H79" s="286" t="s">
        <v>1533</v>
      </c>
      <c r="I79" s="405">
        <v>42</v>
      </c>
      <c r="J79"/>
    </row>
    <row r="80" spans="1:10" x14ac:dyDescent="0.25">
      <c r="A80" s="109"/>
      <c r="B80" s="109" t="s">
        <v>267</v>
      </c>
      <c r="C80" s="110" t="s">
        <v>268</v>
      </c>
      <c r="D80" s="177">
        <v>1.1846153846153846</v>
      </c>
      <c r="H80" s="286" t="s">
        <v>1537</v>
      </c>
      <c r="I80" s="405">
        <v>19</v>
      </c>
      <c r="J80"/>
    </row>
    <row r="81" spans="1:10" x14ac:dyDescent="0.25">
      <c r="A81" s="109"/>
      <c r="B81" s="109" t="s">
        <v>249</v>
      </c>
      <c r="C81" s="110" t="s">
        <v>250</v>
      </c>
      <c r="D81" s="177">
        <v>0.64516129032258063</v>
      </c>
      <c r="H81" s="169" t="s">
        <v>5</v>
      </c>
      <c r="I81" s="405">
        <v>1486</v>
      </c>
      <c r="J81"/>
    </row>
    <row r="82" spans="1:10" x14ac:dyDescent="0.25">
      <c r="A82" s="109"/>
      <c r="B82" s="109" t="s">
        <v>247</v>
      </c>
      <c r="C82" s="110" t="s">
        <v>248</v>
      </c>
      <c r="D82" s="177">
        <v>2</v>
      </c>
      <c r="H82" s="333" t="s">
        <v>6</v>
      </c>
      <c r="I82" s="405">
        <v>257</v>
      </c>
      <c r="J82"/>
    </row>
    <row r="83" spans="1:10" x14ac:dyDescent="0.25">
      <c r="A83" s="109"/>
      <c r="B83" s="109" t="s">
        <v>273</v>
      </c>
      <c r="C83" s="110" t="s">
        <v>274</v>
      </c>
      <c r="D83" s="177">
        <v>0.69565217391304346</v>
      </c>
      <c r="H83" s="286" t="s">
        <v>465</v>
      </c>
      <c r="I83" s="405">
        <v>12</v>
      </c>
      <c r="J83"/>
    </row>
    <row r="84" spans="1:10" x14ac:dyDescent="0.25">
      <c r="A84" s="109"/>
      <c r="B84" s="109" t="s">
        <v>275</v>
      </c>
      <c r="C84" s="110" t="s">
        <v>276</v>
      </c>
      <c r="D84" s="177">
        <v>0.5423728813559322</v>
      </c>
      <c r="H84" s="286" t="s">
        <v>12</v>
      </c>
      <c r="I84" s="405">
        <v>190</v>
      </c>
      <c r="J84"/>
    </row>
    <row r="85" spans="1:10" x14ac:dyDescent="0.25">
      <c r="A85" s="109"/>
      <c r="B85" s="109" t="s">
        <v>259</v>
      </c>
      <c r="C85" s="110" t="s">
        <v>260</v>
      </c>
      <c r="D85" s="177">
        <v>0.76923076923076916</v>
      </c>
      <c r="H85" s="286" t="s">
        <v>14</v>
      </c>
      <c r="I85" s="405">
        <v>41</v>
      </c>
      <c r="J85"/>
    </row>
    <row r="86" spans="1:10" x14ac:dyDescent="0.25">
      <c r="A86" s="109"/>
      <c r="B86" s="109" t="s">
        <v>279</v>
      </c>
      <c r="C86" s="110" t="s">
        <v>280</v>
      </c>
      <c r="D86" s="177">
        <v>0.54347826086956519</v>
      </c>
      <c r="H86" s="286" t="s">
        <v>18</v>
      </c>
      <c r="I86" s="405">
        <v>129</v>
      </c>
      <c r="J86"/>
    </row>
    <row r="87" spans="1:10" x14ac:dyDescent="0.25">
      <c r="A87" s="109"/>
      <c r="B87" s="109" t="s">
        <v>245</v>
      </c>
      <c r="C87" s="110" t="s">
        <v>246</v>
      </c>
      <c r="D87" s="177">
        <v>9.6774193548387094E-2</v>
      </c>
      <c r="H87" s="286" t="s">
        <v>8</v>
      </c>
      <c r="I87" s="405">
        <v>14</v>
      </c>
      <c r="J87"/>
    </row>
    <row r="88" spans="1:10" x14ac:dyDescent="0.25">
      <c r="A88" s="109"/>
      <c r="B88" s="109" t="s">
        <v>242</v>
      </c>
      <c r="C88" s="110" t="s">
        <v>243</v>
      </c>
      <c r="D88" s="177">
        <v>0.5</v>
      </c>
      <c r="H88" s="286" t="s">
        <v>20</v>
      </c>
      <c r="I88" s="405">
        <v>21</v>
      </c>
      <c r="J88"/>
    </row>
    <row r="89" spans="1:10" x14ac:dyDescent="0.25">
      <c r="A89" s="109"/>
      <c r="B89" s="109" t="s">
        <v>255</v>
      </c>
      <c r="C89" s="110" t="s">
        <v>256</v>
      </c>
      <c r="D89" s="177">
        <v>0.11904761904761904</v>
      </c>
      <c r="H89" s="286" t="s">
        <v>364</v>
      </c>
      <c r="I89" s="405">
        <v>147</v>
      </c>
      <c r="J89"/>
    </row>
    <row r="90" spans="1:10" x14ac:dyDescent="0.25">
      <c r="A90" s="109"/>
      <c r="B90" s="109" t="s">
        <v>283</v>
      </c>
      <c r="C90" s="110" t="s">
        <v>284</v>
      </c>
      <c r="D90" s="177">
        <v>0.89928057553956831</v>
      </c>
      <c r="H90" s="333" t="s">
        <v>22</v>
      </c>
      <c r="I90" s="405">
        <v>641</v>
      </c>
      <c r="J90"/>
    </row>
    <row r="91" spans="1:10" x14ac:dyDescent="0.25">
      <c r="A91" s="109"/>
      <c r="B91" s="109" t="s">
        <v>239</v>
      </c>
      <c r="C91" s="110" t="s">
        <v>240</v>
      </c>
      <c r="D91" s="177">
        <v>0.22857142857142856</v>
      </c>
      <c r="H91" s="286" t="s">
        <v>24</v>
      </c>
      <c r="I91" s="405">
        <v>20</v>
      </c>
      <c r="J91"/>
    </row>
    <row r="92" spans="1:10" x14ac:dyDescent="0.25">
      <c r="A92" s="109"/>
      <c r="B92" s="109" t="s">
        <v>257</v>
      </c>
      <c r="C92" s="110" t="s">
        <v>258</v>
      </c>
      <c r="D92" s="177">
        <v>0.32258064516129031</v>
      </c>
      <c r="H92" s="286" t="s">
        <v>26</v>
      </c>
      <c r="I92" s="405">
        <v>14</v>
      </c>
      <c r="J92"/>
    </row>
    <row r="93" spans="1:10" x14ac:dyDescent="0.25">
      <c r="A93" s="109"/>
      <c r="B93" s="109" t="s">
        <v>251</v>
      </c>
      <c r="C93" s="110" t="s">
        <v>252</v>
      </c>
      <c r="D93" s="177">
        <v>0.79999999999999993</v>
      </c>
      <c r="H93" s="169" t="s">
        <v>146</v>
      </c>
      <c r="I93" s="405">
        <v>863</v>
      </c>
      <c r="J93"/>
    </row>
    <row r="94" spans="1:10" x14ac:dyDescent="0.25">
      <c r="A94" s="109"/>
      <c r="B94" s="109" t="s">
        <v>253</v>
      </c>
      <c r="C94" s="110" t="s">
        <v>254</v>
      </c>
      <c r="D94" s="177">
        <v>0.65573770491803274</v>
      </c>
      <c r="H94" s="286" t="s">
        <v>367</v>
      </c>
      <c r="I94" s="405">
        <v>56</v>
      </c>
      <c r="J94"/>
    </row>
    <row r="95" spans="1:10" x14ac:dyDescent="0.25">
      <c r="A95" s="109"/>
      <c r="B95" s="109" t="s">
        <v>261</v>
      </c>
      <c r="C95" s="110" t="s">
        <v>262</v>
      </c>
      <c r="D95" s="177">
        <v>1.2173913043478262</v>
      </c>
      <c r="H95" s="286" t="s">
        <v>368</v>
      </c>
      <c r="I95" s="405">
        <v>29</v>
      </c>
      <c r="J95"/>
    </row>
    <row r="96" spans="1:10" x14ac:dyDescent="0.25">
      <c r="A96" s="109"/>
      <c r="B96" s="109" t="s">
        <v>263</v>
      </c>
      <c r="C96" s="110" t="s">
        <v>264</v>
      </c>
      <c r="D96" s="177">
        <v>1.2666666666666666</v>
      </c>
      <c r="H96" s="286" t="s">
        <v>369</v>
      </c>
      <c r="I96" s="405">
        <v>42</v>
      </c>
      <c r="J96"/>
    </row>
    <row r="97" spans="1:10" x14ac:dyDescent="0.25">
      <c r="A97" s="109"/>
      <c r="B97" s="109" t="s">
        <v>281</v>
      </c>
      <c r="C97" s="110" t="s">
        <v>282</v>
      </c>
      <c r="D97" s="177">
        <v>1</v>
      </c>
      <c r="H97" s="286" t="s">
        <v>945</v>
      </c>
      <c r="I97" s="405">
        <v>22</v>
      </c>
      <c r="J97"/>
    </row>
    <row r="98" spans="1:10" x14ac:dyDescent="0.25">
      <c r="A98" s="109"/>
      <c r="B98" s="109" t="s">
        <v>269</v>
      </c>
      <c r="C98" s="110" t="s">
        <v>270</v>
      </c>
      <c r="D98" s="177">
        <v>1.0634920634920635</v>
      </c>
      <c r="H98" s="286" t="s">
        <v>149</v>
      </c>
      <c r="I98" s="405">
        <v>58</v>
      </c>
      <c r="J98"/>
    </row>
    <row r="99" spans="1:10" x14ac:dyDescent="0.25">
      <c r="A99" s="109"/>
      <c r="B99" s="109" t="s">
        <v>271</v>
      </c>
      <c r="C99" s="110" t="s">
        <v>272</v>
      </c>
      <c r="D99" s="177">
        <v>0.97959183673469385</v>
      </c>
      <c r="H99" s="286" t="s">
        <v>371</v>
      </c>
      <c r="I99" s="405">
        <v>196</v>
      </c>
      <c r="J99"/>
    </row>
    <row r="100" spans="1:10" x14ac:dyDescent="0.25">
      <c r="A100" s="110"/>
      <c r="B100" s="110" t="s">
        <v>241</v>
      </c>
      <c r="C100" s="110" t="s">
        <v>1033</v>
      </c>
      <c r="D100" s="178">
        <v>2.3518518518518521</v>
      </c>
      <c r="H100" s="286" t="s">
        <v>1084</v>
      </c>
      <c r="I100" s="405">
        <v>105</v>
      </c>
      <c r="J100"/>
    </row>
    <row r="101" spans="1:10" x14ac:dyDescent="0.25">
      <c r="A101" s="109" t="s">
        <v>288</v>
      </c>
      <c r="B101" s="109" t="s">
        <v>287</v>
      </c>
      <c r="C101" s="110" t="s">
        <v>289</v>
      </c>
      <c r="D101" s="177">
        <v>0.44776119402985076</v>
      </c>
      <c r="H101" s="286" t="s">
        <v>1150</v>
      </c>
      <c r="I101" s="405">
        <v>30</v>
      </c>
      <c r="J101"/>
    </row>
    <row r="102" spans="1:10" x14ac:dyDescent="0.25">
      <c r="A102" s="109"/>
      <c r="B102" s="109" t="s">
        <v>290</v>
      </c>
      <c r="C102" s="110" t="s">
        <v>291</v>
      </c>
      <c r="D102" s="177">
        <v>1.2702702702702702</v>
      </c>
      <c r="H102" s="286" t="s">
        <v>1236</v>
      </c>
      <c r="I102" s="405">
        <v>39</v>
      </c>
      <c r="J102"/>
    </row>
    <row r="103" spans="1:10" x14ac:dyDescent="0.25">
      <c r="A103" s="109"/>
      <c r="B103" s="109" t="s">
        <v>908</v>
      </c>
      <c r="C103" s="110" t="s">
        <v>907</v>
      </c>
      <c r="D103" s="177">
        <v>1.0277777777777777</v>
      </c>
      <c r="H103" s="286" t="s">
        <v>1245</v>
      </c>
      <c r="I103" s="405">
        <v>24</v>
      </c>
      <c r="J103"/>
    </row>
    <row r="104" spans="1:10" x14ac:dyDescent="0.25">
      <c r="A104" s="109"/>
      <c r="B104" s="110" t="s">
        <v>912</v>
      </c>
      <c r="C104" s="110" t="s">
        <v>919</v>
      </c>
      <c r="D104" s="178">
        <v>0.6</v>
      </c>
      <c r="H104" s="286" t="s">
        <v>1555</v>
      </c>
      <c r="I104" s="405">
        <v>39</v>
      </c>
      <c r="J104"/>
    </row>
    <row r="105" spans="1:10" x14ac:dyDescent="0.25">
      <c r="A105" s="110"/>
      <c r="B105" s="132" t="s">
        <v>294</v>
      </c>
      <c r="C105" s="132" t="s">
        <v>372</v>
      </c>
      <c r="D105" s="112">
        <v>0</v>
      </c>
      <c r="H105" s="286" t="s">
        <v>1605</v>
      </c>
      <c r="I105" s="405">
        <v>39</v>
      </c>
      <c r="J105"/>
    </row>
    <row r="106" spans="1:10" x14ac:dyDescent="0.25">
      <c r="A106" s="110" t="s">
        <v>297</v>
      </c>
      <c r="B106" s="110" t="s">
        <v>296</v>
      </c>
      <c r="C106" s="110" t="s">
        <v>760</v>
      </c>
      <c r="D106" s="178">
        <v>0.22727272727272727</v>
      </c>
      <c r="H106" s="286" t="s">
        <v>1660</v>
      </c>
      <c r="I106" s="405">
        <v>76</v>
      </c>
      <c r="J106"/>
    </row>
    <row r="107" spans="1:10" x14ac:dyDescent="0.25">
      <c r="A107" s="109" t="s">
        <v>301</v>
      </c>
      <c r="B107" s="109" t="s">
        <v>304</v>
      </c>
      <c r="C107" s="110" t="s">
        <v>305</v>
      </c>
      <c r="D107" s="177">
        <v>0.48837209302325579</v>
      </c>
      <c r="H107" s="286" t="s">
        <v>1661</v>
      </c>
      <c r="I107" s="405">
        <v>108</v>
      </c>
      <c r="J107"/>
    </row>
    <row r="108" spans="1:10" x14ac:dyDescent="0.25">
      <c r="A108" s="110"/>
      <c r="B108" s="110" t="s">
        <v>306</v>
      </c>
      <c r="C108" s="110" t="s">
        <v>307</v>
      </c>
      <c r="D108" s="178">
        <v>1.0697674418604652</v>
      </c>
      <c r="H108" s="169" t="s">
        <v>480</v>
      </c>
      <c r="I108" s="405">
        <v>701</v>
      </c>
      <c r="J108"/>
    </row>
    <row r="109" spans="1:10" x14ac:dyDescent="0.25">
      <c r="A109" s="109" t="s">
        <v>309</v>
      </c>
      <c r="B109" s="109" t="s">
        <v>339</v>
      </c>
      <c r="C109" s="110" t="s">
        <v>340</v>
      </c>
      <c r="D109" s="177">
        <v>0.58461538461538465</v>
      </c>
      <c r="H109" s="286" t="s">
        <v>120</v>
      </c>
      <c r="I109" s="405">
        <v>62</v>
      </c>
      <c r="J109"/>
    </row>
    <row r="110" spans="1:10" x14ac:dyDescent="0.25">
      <c r="A110" s="109"/>
      <c r="B110" s="109" t="s">
        <v>348</v>
      </c>
      <c r="C110" s="110" t="s">
        <v>349</v>
      </c>
      <c r="D110" s="177">
        <v>1</v>
      </c>
      <c r="H110" s="286" t="s">
        <v>41</v>
      </c>
      <c r="I110" s="405">
        <v>65</v>
      </c>
      <c r="J110"/>
    </row>
    <row r="111" spans="1:10" x14ac:dyDescent="0.25">
      <c r="A111" s="109"/>
      <c r="B111" s="109" t="s">
        <v>318</v>
      </c>
      <c r="C111" s="110" t="s">
        <v>319</v>
      </c>
      <c r="D111" s="177">
        <v>0.96666666666666667</v>
      </c>
      <c r="H111" s="286" t="s">
        <v>43</v>
      </c>
      <c r="I111" s="405">
        <v>14</v>
      </c>
      <c r="J111"/>
    </row>
    <row r="112" spans="1:10" x14ac:dyDescent="0.25">
      <c r="A112" s="109"/>
      <c r="B112" s="109" t="s">
        <v>311</v>
      </c>
      <c r="C112" s="110" t="s">
        <v>312</v>
      </c>
      <c r="D112" s="177">
        <v>1.0294117647058822</v>
      </c>
      <c r="H112" s="286" t="s">
        <v>52</v>
      </c>
      <c r="I112" s="405">
        <v>36</v>
      </c>
      <c r="J112"/>
    </row>
    <row r="113" spans="1:10" x14ac:dyDescent="0.25">
      <c r="A113" s="109"/>
      <c r="B113" s="109" t="s">
        <v>328</v>
      </c>
      <c r="C113" s="110" t="s">
        <v>329</v>
      </c>
      <c r="D113" s="177">
        <v>0.9042553191489362</v>
      </c>
      <c r="H113" s="286" t="s">
        <v>72</v>
      </c>
      <c r="I113" s="405">
        <v>5</v>
      </c>
      <c r="J113"/>
    </row>
    <row r="114" spans="1:10" x14ac:dyDescent="0.25">
      <c r="A114" s="109"/>
      <c r="B114" s="109" t="s">
        <v>336</v>
      </c>
      <c r="C114" s="110" t="s">
        <v>337</v>
      </c>
      <c r="D114" s="177">
        <v>1.258064516129032</v>
      </c>
      <c r="H114" s="286" t="s">
        <v>76</v>
      </c>
      <c r="I114" s="405">
        <v>70</v>
      </c>
      <c r="J114"/>
    </row>
    <row r="115" spans="1:10" x14ac:dyDescent="0.25">
      <c r="A115" s="109"/>
      <c r="B115" s="109" t="s">
        <v>326</v>
      </c>
      <c r="C115" s="110" t="s">
        <v>327</v>
      </c>
      <c r="D115" s="177">
        <v>0.37024221453287198</v>
      </c>
      <c r="H115" s="286" t="s">
        <v>88</v>
      </c>
      <c r="I115" s="405">
        <v>13</v>
      </c>
      <c r="J115"/>
    </row>
    <row r="116" spans="1:10" x14ac:dyDescent="0.25">
      <c r="A116" s="109"/>
      <c r="B116" s="109" t="s">
        <v>316</v>
      </c>
      <c r="C116" s="110" t="s">
        <v>317</v>
      </c>
      <c r="D116" s="177">
        <v>1.0090090090090089</v>
      </c>
      <c r="H116" s="286" t="s">
        <v>44</v>
      </c>
      <c r="I116" s="405">
        <v>4</v>
      </c>
      <c r="J116"/>
    </row>
    <row r="117" spans="1:10" x14ac:dyDescent="0.25">
      <c r="A117" s="109"/>
      <c r="B117" s="109" t="s">
        <v>346</v>
      </c>
      <c r="C117" s="110" t="s">
        <v>347</v>
      </c>
      <c r="D117" s="177">
        <v>1.7173913043478262</v>
      </c>
      <c r="H117" s="286" t="s">
        <v>917</v>
      </c>
      <c r="I117" s="405">
        <v>104</v>
      </c>
      <c r="J117"/>
    </row>
    <row r="118" spans="1:10" x14ac:dyDescent="0.25">
      <c r="A118" s="109"/>
      <c r="B118" s="109" t="s">
        <v>314</v>
      </c>
      <c r="C118" s="110" t="s">
        <v>315</v>
      </c>
      <c r="D118" s="177">
        <v>0.84615384615384626</v>
      </c>
      <c r="H118" s="286" t="s">
        <v>90</v>
      </c>
      <c r="I118" s="405">
        <v>19</v>
      </c>
      <c r="J118"/>
    </row>
    <row r="119" spans="1:10" x14ac:dyDescent="0.25">
      <c r="A119" s="109"/>
      <c r="B119" s="109" t="s">
        <v>324</v>
      </c>
      <c r="C119" s="110" t="s">
        <v>325</v>
      </c>
      <c r="D119" s="177">
        <v>0.88888888888888884</v>
      </c>
      <c r="H119" s="286" t="s">
        <v>92</v>
      </c>
      <c r="I119" s="405">
        <v>12</v>
      </c>
      <c r="J119"/>
    </row>
    <row r="120" spans="1:10" x14ac:dyDescent="0.25">
      <c r="A120" s="109"/>
      <c r="B120" s="109" t="s">
        <v>322</v>
      </c>
      <c r="C120" s="110" t="s">
        <v>323</v>
      </c>
      <c r="D120" s="177">
        <v>1.0983935742971889</v>
      </c>
      <c r="H120" s="286" t="s">
        <v>100</v>
      </c>
      <c r="I120" s="405">
        <v>4</v>
      </c>
      <c r="J120"/>
    </row>
    <row r="121" spans="1:10" x14ac:dyDescent="0.25">
      <c r="A121" s="109"/>
      <c r="B121" s="109" t="s">
        <v>344</v>
      </c>
      <c r="C121" s="110" t="s">
        <v>345</v>
      </c>
      <c r="D121" s="177">
        <v>1.4184782608695652</v>
      </c>
      <c r="H121" s="286" t="s">
        <v>551</v>
      </c>
      <c r="I121" s="405">
        <v>11</v>
      </c>
      <c r="J121"/>
    </row>
    <row r="122" spans="1:10" x14ac:dyDescent="0.25">
      <c r="A122" s="109"/>
      <c r="B122" s="109" t="s">
        <v>332</v>
      </c>
      <c r="C122" s="110" t="s">
        <v>333</v>
      </c>
      <c r="D122" s="177">
        <v>1.2302631578947367</v>
      </c>
      <c r="H122" s="286" t="s">
        <v>108</v>
      </c>
      <c r="I122" s="405">
        <v>48</v>
      </c>
      <c r="J122"/>
    </row>
    <row r="123" spans="1:10" x14ac:dyDescent="0.25">
      <c r="A123" s="109"/>
      <c r="B123" s="109" t="s">
        <v>334</v>
      </c>
      <c r="C123" s="110" t="s">
        <v>335</v>
      </c>
      <c r="D123" s="177">
        <v>0.67114093959731547</v>
      </c>
      <c r="H123" s="286" t="s">
        <v>118</v>
      </c>
      <c r="I123" s="405">
        <v>10</v>
      </c>
      <c r="J123"/>
    </row>
    <row r="124" spans="1:10" x14ac:dyDescent="0.25">
      <c r="A124" s="109"/>
      <c r="B124" s="109" t="s">
        <v>350</v>
      </c>
      <c r="C124" s="110" t="s">
        <v>351</v>
      </c>
      <c r="D124" s="177">
        <v>0.11461318051575932</v>
      </c>
      <c r="H124" s="333" t="s">
        <v>126</v>
      </c>
      <c r="I124" s="405">
        <v>32</v>
      </c>
      <c r="J124"/>
    </row>
    <row r="125" spans="1:10" x14ac:dyDescent="0.25">
      <c r="A125" s="109"/>
      <c r="B125" s="109" t="s">
        <v>320</v>
      </c>
      <c r="C125" s="110" t="s">
        <v>321</v>
      </c>
      <c r="D125" s="177">
        <v>1</v>
      </c>
      <c r="H125" s="286" t="s">
        <v>140</v>
      </c>
      <c r="I125" s="405">
        <v>16</v>
      </c>
      <c r="J125"/>
    </row>
    <row r="126" spans="1:10" x14ac:dyDescent="0.25">
      <c r="A126" s="109"/>
      <c r="B126" s="109" t="s">
        <v>352</v>
      </c>
      <c r="C126" s="110" t="s">
        <v>353</v>
      </c>
      <c r="D126" s="177">
        <v>0.65</v>
      </c>
      <c r="H126" s="286" t="s">
        <v>1162</v>
      </c>
      <c r="I126" s="405">
        <v>29</v>
      </c>
      <c r="J126"/>
    </row>
    <row r="127" spans="1:10" x14ac:dyDescent="0.25">
      <c r="A127" s="109"/>
      <c r="B127" s="109" t="s">
        <v>341</v>
      </c>
      <c r="C127" s="110" t="s">
        <v>342</v>
      </c>
      <c r="D127" s="177">
        <v>0.95</v>
      </c>
      <c r="H127" s="286" t="s">
        <v>1161</v>
      </c>
      <c r="I127" s="405">
        <v>5</v>
      </c>
      <c r="J127"/>
    </row>
    <row r="128" spans="1:10" x14ac:dyDescent="0.25">
      <c r="A128" s="110"/>
      <c r="B128" s="110" t="s">
        <v>343</v>
      </c>
      <c r="C128" s="110" t="s">
        <v>1032</v>
      </c>
      <c r="D128" s="178">
        <v>0.18817204301075269</v>
      </c>
      <c r="H128" s="286" t="s">
        <v>1160</v>
      </c>
      <c r="I128" s="405">
        <v>19</v>
      </c>
      <c r="J128"/>
    </row>
    <row r="129" spans="1:10" x14ac:dyDescent="0.25">
      <c r="A129" s="109" t="s">
        <v>299</v>
      </c>
      <c r="B129" s="110" t="s">
        <v>868</v>
      </c>
      <c r="C129" s="110" t="s">
        <v>788</v>
      </c>
      <c r="D129" s="178">
        <v>0</v>
      </c>
      <c r="H129" s="286" t="s">
        <v>1286</v>
      </c>
      <c r="I129" s="405">
        <v>123</v>
      </c>
      <c r="J129"/>
    </row>
    <row r="130" spans="1:10" x14ac:dyDescent="0.25">
      <c r="A130" s="110"/>
      <c r="B130" s="132" t="s">
        <v>1047</v>
      </c>
      <c r="C130" s="132" t="s">
        <v>1048</v>
      </c>
      <c r="D130" s="112">
        <v>0.98360655737704916</v>
      </c>
      <c r="H130" s="169" t="s">
        <v>301</v>
      </c>
      <c r="I130" s="405">
        <v>509</v>
      </c>
      <c r="J130"/>
    </row>
    <row r="131" spans="1:10" x14ac:dyDescent="0.25">
      <c r="A131" s="109" t="s">
        <v>719</v>
      </c>
      <c r="B131" s="132" t="s">
        <v>1046</v>
      </c>
      <c r="C131" s="132" t="s">
        <v>1062</v>
      </c>
      <c r="D131" s="112">
        <v>1.0294117647058825</v>
      </c>
      <c r="H131" s="286" t="s">
        <v>303</v>
      </c>
      <c r="I131" s="405">
        <v>375</v>
      </c>
      <c r="J131"/>
    </row>
    <row r="132" spans="1:10" x14ac:dyDescent="0.25">
      <c r="A132" s="110" t="s">
        <v>411</v>
      </c>
      <c r="B132" s="110"/>
      <c r="C132" s="110"/>
      <c r="D132" s="178">
        <v>105.42932448197416</v>
      </c>
      <c r="H132" s="286" t="s">
        <v>305</v>
      </c>
      <c r="I132" s="405">
        <v>88</v>
      </c>
      <c r="J132"/>
    </row>
    <row r="133" spans="1:10" x14ac:dyDescent="0.25">
      <c r="B133"/>
      <c r="H133" s="286" t="s">
        <v>307</v>
      </c>
      <c r="I133" s="405">
        <v>46</v>
      </c>
      <c r="J133"/>
    </row>
    <row r="134" spans="1:10" x14ac:dyDescent="0.25">
      <c r="B134"/>
      <c r="H134" s="169" t="s">
        <v>27</v>
      </c>
      <c r="I134" s="405">
        <v>497</v>
      </c>
      <c r="J134"/>
    </row>
    <row r="135" spans="1:10" x14ac:dyDescent="0.25">
      <c r="B135"/>
      <c r="H135" s="286" t="s">
        <v>28</v>
      </c>
      <c r="I135" s="405">
        <v>107</v>
      </c>
      <c r="J135"/>
    </row>
    <row r="136" spans="1:10" x14ac:dyDescent="0.25">
      <c r="B136"/>
      <c r="H136" s="333" t="s">
        <v>362</v>
      </c>
      <c r="I136" s="405">
        <v>160</v>
      </c>
      <c r="J136"/>
    </row>
    <row r="137" spans="1:10" x14ac:dyDescent="0.25">
      <c r="B137"/>
      <c r="H137" s="286" t="s">
        <v>363</v>
      </c>
      <c r="I137" s="405">
        <v>143</v>
      </c>
      <c r="J137"/>
    </row>
    <row r="138" spans="1:10" x14ac:dyDescent="0.25">
      <c r="B138"/>
      <c r="H138" s="286" t="s">
        <v>791</v>
      </c>
      <c r="I138" s="405">
        <v>57</v>
      </c>
      <c r="J138"/>
    </row>
    <row r="139" spans="1:10" x14ac:dyDescent="0.25">
      <c r="B139"/>
      <c r="H139" s="286" t="s">
        <v>877</v>
      </c>
      <c r="I139" s="405">
        <v>30</v>
      </c>
      <c r="J139"/>
    </row>
    <row r="140" spans="1:10" x14ac:dyDescent="0.25">
      <c r="B140"/>
      <c r="H140" s="169" t="s">
        <v>288</v>
      </c>
      <c r="I140" s="405">
        <v>409</v>
      </c>
      <c r="J140"/>
    </row>
    <row r="141" spans="1:10" x14ac:dyDescent="0.25">
      <c r="B141"/>
      <c r="H141" s="286" t="s">
        <v>291</v>
      </c>
      <c r="I141" s="405">
        <v>75</v>
      </c>
      <c r="J141"/>
    </row>
    <row r="142" spans="1:10" x14ac:dyDescent="0.25">
      <c r="B142"/>
      <c r="H142" s="286" t="s">
        <v>289</v>
      </c>
      <c r="I142" s="405">
        <v>66</v>
      </c>
      <c r="J142"/>
    </row>
    <row r="143" spans="1:10" x14ac:dyDescent="0.25">
      <c r="B143"/>
      <c r="H143" s="286" t="s">
        <v>907</v>
      </c>
      <c r="I143" s="405">
        <v>38</v>
      </c>
      <c r="J143"/>
    </row>
    <row r="144" spans="1:10" x14ac:dyDescent="0.25">
      <c r="B144"/>
      <c r="H144" s="286" t="s">
        <v>372</v>
      </c>
      <c r="I144" s="405">
        <v>43</v>
      </c>
      <c r="J144"/>
    </row>
    <row r="145" spans="2:10" x14ac:dyDescent="0.25">
      <c r="B145"/>
      <c r="H145" s="333" t="s">
        <v>919</v>
      </c>
      <c r="I145" s="405">
        <v>126</v>
      </c>
      <c r="J145"/>
    </row>
    <row r="146" spans="2:10" x14ac:dyDescent="0.25">
      <c r="B146"/>
      <c r="H146" s="286" t="s">
        <v>1134</v>
      </c>
      <c r="I146" s="405">
        <v>61</v>
      </c>
      <c r="J146"/>
    </row>
    <row r="147" spans="2:10" x14ac:dyDescent="0.25">
      <c r="B147"/>
      <c r="H147" s="169" t="s">
        <v>230</v>
      </c>
      <c r="I147" s="405">
        <v>248</v>
      </c>
      <c r="J147"/>
    </row>
    <row r="148" spans="2:10" x14ac:dyDescent="0.25">
      <c r="B148"/>
      <c r="H148" s="286" t="s">
        <v>231</v>
      </c>
      <c r="I148" s="405">
        <v>32</v>
      </c>
      <c r="J148"/>
    </row>
    <row r="149" spans="2:10" x14ac:dyDescent="0.25">
      <c r="B149"/>
      <c r="H149" s="286" t="s">
        <v>905</v>
      </c>
      <c r="I149" s="405">
        <v>42</v>
      </c>
      <c r="J149"/>
    </row>
    <row r="150" spans="2:10" x14ac:dyDescent="0.25">
      <c r="B150"/>
      <c r="H150" s="286" t="s">
        <v>915</v>
      </c>
      <c r="I150" s="405">
        <v>22</v>
      </c>
      <c r="J150"/>
    </row>
    <row r="151" spans="2:10" x14ac:dyDescent="0.25">
      <c r="B151"/>
      <c r="H151" s="286" t="s">
        <v>716</v>
      </c>
      <c r="I151" s="405">
        <v>152</v>
      </c>
      <c r="J151"/>
    </row>
    <row r="152" spans="2:10" x14ac:dyDescent="0.25">
      <c r="B152"/>
      <c r="H152" s="169" t="s">
        <v>1140</v>
      </c>
      <c r="I152" s="405">
        <v>235</v>
      </c>
      <c r="J152"/>
    </row>
    <row r="153" spans="2:10" x14ac:dyDescent="0.25">
      <c r="B153"/>
      <c r="H153" s="286" t="s">
        <v>1412</v>
      </c>
      <c r="I153" s="405">
        <v>42</v>
      </c>
      <c r="J153"/>
    </row>
    <row r="154" spans="2:10" x14ac:dyDescent="0.25">
      <c r="B154"/>
      <c r="H154" s="286" t="s">
        <v>1413</v>
      </c>
      <c r="I154" s="405">
        <v>127</v>
      </c>
      <c r="J154"/>
    </row>
    <row r="155" spans="2:10" x14ac:dyDescent="0.25">
      <c r="B155"/>
      <c r="H155" s="286" t="s">
        <v>1414</v>
      </c>
      <c r="I155" s="405">
        <v>36</v>
      </c>
      <c r="J155"/>
    </row>
    <row r="156" spans="2:10" x14ac:dyDescent="0.25">
      <c r="B156"/>
      <c r="H156" s="286" t="s">
        <v>1421</v>
      </c>
      <c r="I156" s="405">
        <v>30</v>
      </c>
      <c r="J156"/>
    </row>
    <row r="157" spans="2:10" x14ac:dyDescent="0.25">
      <c r="B157"/>
      <c r="H157" s="169" t="s">
        <v>747</v>
      </c>
      <c r="I157" s="405">
        <v>198</v>
      </c>
      <c r="J157"/>
    </row>
    <row r="158" spans="2:10" x14ac:dyDescent="0.25">
      <c r="B158"/>
      <c r="H158" s="286" t="s">
        <v>747</v>
      </c>
      <c r="I158" s="405">
        <v>5</v>
      </c>
      <c r="J158"/>
    </row>
    <row r="159" spans="2:10" x14ac:dyDescent="0.25">
      <c r="B159"/>
      <c r="H159" s="286" t="s">
        <v>1068</v>
      </c>
      <c r="I159" s="405">
        <v>126</v>
      </c>
      <c r="J159"/>
    </row>
    <row r="160" spans="2:10" x14ac:dyDescent="0.25">
      <c r="B160"/>
      <c r="H160" s="286" t="s">
        <v>1070</v>
      </c>
      <c r="I160" s="405">
        <v>67</v>
      </c>
      <c r="J160"/>
    </row>
    <row r="161" spans="2:10" x14ac:dyDescent="0.25">
      <c r="B161"/>
      <c r="H161" s="169" t="s">
        <v>297</v>
      </c>
      <c r="I161" s="405">
        <v>162</v>
      </c>
      <c r="J161"/>
    </row>
    <row r="162" spans="2:10" x14ac:dyDescent="0.25">
      <c r="B162"/>
      <c r="H162" s="286" t="s">
        <v>760</v>
      </c>
      <c r="I162" s="405">
        <v>41</v>
      </c>
      <c r="J162"/>
    </row>
    <row r="163" spans="2:10" x14ac:dyDescent="0.25">
      <c r="B163"/>
      <c r="H163" s="286" t="s">
        <v>1141</v>
      </c>
      <c r="I163" s="405">
        <v>19</v>
      </c>
      <c r="J163"/>
    </row>
    <row r="164" spans="2:10" x14ac:dyDescent="0.25">
      <c r="B164"/>
      <c r="H164" s="286" t="s">
        <v>1195</v>
      </c>
      <c r="I164" s="405">
        <v>43</v>
      </c>
      <c r="J164"/>
    </row>
    <row r="165" spans="2:10" x14ac:dyDescent="0.25">
      <c r="B165"/>
      <c r="H165" s="286" t="s">
        <v>1285</v>
      </c>
      <c r="I165" s="405">
        <v>59</v>
      </c>
      <c r="J165"/>
    </row>
    <row r="166" spans="2:10" x14ac:dyDescent="0.25">
      <c r="B166"/>
      <c r="H166" s="169" t="s">
        <v>719</v>
      </c>
      <c r="I166" s="405">
        <v>99</v>
      </c>
      <c r="J166"/>
    </row>
    <row r="167" spans="2:10" x14ac:dyDescent="0.25">
      <c r="B167"/>
      <c r="H167" s="286" t="s">
        <v>535</v>
      </c>
      <c r="I167" s="405">
        <v>67</v>
      </c>
      <c r="J167"/>
    </row>
    <row r="168" spans="2:10" x14ac:dyDescent="0.25">
      <c r="B168"/>
      <c r="H168" s="286" t="s">
        <v>1062</v>
      </c>
      <c r="I168" s="405">
        <v>32</v>
      </c>
      <c r="J168"/>
    </row>
    <row r="169" spans="2:10" x14ac:dyDescent="0.25">
      <c r="B169"/>
      <c r="H169" s="169" t="s">
        <v>166</v>
      </c>
      <c r="I169" s="405">
        <v>98</v>
      </c>
      <c r="J169"/>
    </row>
    <row r="170" spans="2:10" x14ac:dyDescent="0.25">
      <c r="B170"/>
      <c r="H170" s="286" t="s">
        <v>167</v>
      </c>
      <c r="I170" s="405">
        <v>33</v>
      </c>
      <c r="J170"/>
    </row>
    <row r="171" spans="2:10" x14ac:dyDescent="0.25">
      <c r="B171"/>
      <c r="H171" s="286" t="s">
        <v>761</v>
      </c>
      <c r="I171" s="405">
        <v>29</v>
      </c>
      <c r="J171"/>
    </row>
    <row r="172" spans="2:10" x14ac:dyDescent="0.25">
      <c r="B172"/>
      <c r="H172" s="286" t="s">
        <v>1144</v>
      </c>
      <c r="I172" s="405">
        <v>36</v>
      </c>
      <c r="J172"/>
    </row>
    <row r="173" spans="2:10" x14ac:dyDescent="0.25">
      <c r="B173"/>
      <c r="H173" s="169" t="s">
        <v>299</v>
      </c>
      <c r="I173" s="405">
        <v>85</v>
      </c>
      <c r="J173"/>
    </row>
    <row r="174" spans="2:10" x14ac:dyDescent="0.25">
      <c r="B174"/>
      <c r="H174" s="286" t="s">
        <v>894</v>
      </c>
      <c r="I174" s="405">
        <v>10</v>
      </c>
      <c r="J174"/>
    </row>
    <row r="175" spans="2:10" x14ac:dyDescent="0.25">
      <c r="B175"/>
      <c r="H175" s="286" t="s">
        <v>300</v>
      </c>
      <c r="I175" s="405">
        <v>14</v>
      </c>
      <c r="J175"/>
    </row>
    <row r="176" spans="2:10" x14ac:dyDescent="0.25">
      <c r="B176"/>
      <c r="H176" s="286" t="s">
        <v>1048</v>
      </c>
      <c r="I176" s="405">
        <v>61</v>
      </c>
      <c r="J176"/>
    </row>
    <row r="177" spans="2:10" x14ac:dyDescent="0.25">
      <c r="B177"/>
      <c r="H177" s="169" t="s">
        <v>180</v>
      </c>
      <c r="I177" s="405">
        <v>76</v>
      </c>
      <c r="J177"/>
    </row>
    <row r="178" spans="2:10" x14ac:dyDescent="0.25">
      <c r="B178"/>
      <c r="H178" s="286" t="s">
        <v>286</v>
      </c>
      <c r="I178" s="405">
        <v>24</v>
      </c>
      <c r="J178"/>
    </row>
    <row r="179" spans="2:10" x14ac:dyDescent="0.25">
      <c r="B179"/>
      <c r="H179" s="286" t="s">
        <v>181</v>
      </c>
      <c r="I179" s="405">
        <v>11</v>
      </c>
      <c r="J179"/>
    </row>
    <row r="180" spans="2:10" x14ac:dyDescent="0.25">
      <c r="B180"/>
      <c r="H180" s="286" t="s">
        <v>986</v>
      </c>
      <c r="I180" s="405">
        <v>27</v>
      </c>
      <c r="J180"/>
    </row>
    <row r="181" spans="2:10" x14ac:dyDescent="0.25">
      <c r="B181"/>
      <c r="H181" s="286" t="s">
        <v>987</v>
      </c>
      <c r="I181" s="405">
        <v>14</v>
      </c>
      <c r="J181"/>
    </row>
    <row r="182" spans="2:10" x14ac:dyDescent="0.25">
      <c r="B182"/>
      <c r="H182" s="169" t="s">
        <v>173</v>
      </c>
      <c r="I182" s="405">
        <v>66</v>
      </c>
      <c r="J182"/>
    </row>
    <row r="183" spans="2:10" x14ac:dyDescent="0.25">
      <c r="B183"/>
      <c r="H183" s="286" t="s">
        <v>174</v>
      </c>
      <c r="I183" s="405">
        <v>13</v>
      </c>
      <c r="J183"/>
    </row>
    <row r="184" spans="2:10" x14ac:dyDescent="0.25">
      <c r="B184"/>
      <c r="H184" s="286" t="s">
        <v>178</v>
      </c>
      <c r="I184" s="405">
        <v>10</v>
      </c>
      <c r="J184"/>
    </row>
    <row r="185" spans="2:10" x14ac:dyDescent="0.25">
      <c r="B185"/>
      <c r="H185" s="286" t="s">
        <v>1064</v>
      </c>
      <c r="I185" s="405">
        <v>27</v>
      </c>
      <c r="J185"/>
    </row>
    <row r="186" spans="2:10" x14ac:dyDescent="0.25">
      <c r="B186"/>
      <c r="H186" s="286" t="s">
        <v>1510</v>
      </c>
      <c r="I186" s="405">
        <v>16</v>
      </c>
      <c r="J186"/>
    </row>
    <row r="187" spans="2:10" x14ac:dyDescent="0.25">
      <c r="B187"/>
      <c r="H187" s="169" t="s">
        <v>1204</v>
      </c>
      <c r="I187" s="405">
        <v>37</v>
      </c>
      <c r="J187"/>
    </row>
    <row r="188" spans="2:10" x14ac:dyDescent="0.25">
      <c r="B188"/>
      <c r="H188" s="286" t="s">
        <v>1201</v>
      </c>
      <c r="I188" s="405">
        <v>37</v>
      </c>
      <c r="J188"/>
    </row>
    <row r="189" spans="2:10" x14ac:dyDescent="0.25">
      <c r="B189"/>
      <c r="H189" s="201" t="s">
        <v>411</v>
      </c>
      <c r="I189" s="406">
        <v>19702</v>
      </c>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topLeftCell="A16" zoomScale="130" zoomScaleNormal="130" zoomScaleSheetLayoutView="100" zoomScalePageLayoutView="80" workbookViewId="0">
      <selection activeCell="R32" sqref="R32"/>
    </sheetView>
  </sheetViews>
  <sheetFormatPr defaultColWidth="9.140625" defaultRowHeight="15" x14ac:dyDescent="0.25"/>
  <cols>
    <col min="1" max="1" width="2.42578125" style="191" customWidth="1"/>
    <col min="2" max="2" width="11.85546875" style="191" customWidth="1"/>
    <col min="3" max="3" width="9" style="191" customWidth="1"/>
    <col min="4" max="4" width="9.85546875" style="191" customWidth="1"/>
    <col min="5" max="5" width="8" style="191" customWidth="1"/>
    <col min="6" max="6" width="7.28515625" style="191" customWidth="1"/>
    <col min="7" max="7" width="10.140625" style="191" bestFit="1" customWidth="1"/>
    <col min="8" max="8" width="12.42578125" style="191" bestFit="1" customWidth="1"/>
    <col min="9" max="9" width="5" style="191" customWidth="1"/>
    <col min="10" max="11" width="16" style="191" customWidth="1"/>
    <col min="12" max="12" width="9.140625" style="191"/>
    <col min="13" max="13" width="8.7109375" style="191" customWidth="1"/>
    <col min="14" max="14" width="5.85546875" style="191" customWidth="1"/>
    <col min="15" max="15" width="15.7109375" style="191" customWidth="1"/>
    <col min="16" max="16" width="2.28515625" style="288" customWidth="1"/>
    <col min="17" max="17" width="7.7109375" style="288" customWidth="1"/>
    <col min="18" max="20" width="9.140625" style="288" customWidth="1"/>
    <col min="21" max="21" width="21.140625" style="288" customWidth="1"/>
    <col min="22" max="22" width="9.140625" style="288" customWidth="1"/>
    <col min="23" max="24" width="9.140625" style="191" customWidth="1"/>
    <col min="25" max="78" width="9.140625" style="191"/>
    <col min="79" max="79" width="9.140625" style="191" customWidth="1"/>
    <col min="80" max="80" width="15" style="191" customWidth="1"/>
    <col min="81" max="83" width="8" style="191" customWidth="1"/>
    <col min="84" max="16384" width="9.140625" style="191"/>
  </cols>
  <sheetData>
    <row r="1" spans="1:85" ht="12.75" customHeight="1" x14ac:dyDescent="0.25">
      <c r="A1" s="535"/>
      <c r="B1" s="457"/>
      <c r="C1" s="457"/>
      <c r="D1" s="457"/>
      <c r="E1" s="457"/>
      <c r="F1" s="457"/>
      <c r="G1" s="457"/>
      <c r="H1" s="457"/>
      <c r="I1" s="457"/>
      <c r="J1" s="457"/>
      <c r="K1" s="457"/>
      <c r="L1" s="457"/>
      <c r="M1" s="457"/>
      <c r="N1" s="457"/>
      <c r="O1" s="457"/>
      <c r="P1" s="541"/>
    </row>
    <row r="2" spans="1:85" ht="28.5" customHeight="1" x14ac:dyDescent="0.25">
      <c r="A2" s="542"/>
      <c r="B2" s="795" t="s">
        <v>533</v>
      </c>
      <c r="C2" s="796"/>
      <c r="D2" s="796"/>
      <c r="E2" s="796"/>
      <c r="F2" s="796"/>
      <c r="G2" s="796"/>
      <c r="H2" s="796"/>
      <c r="I2" s="796"/>
      <c r="J2" s="796"/>
      <c r="K2" s="796"/>
      <c r="L2" s="383"/>
      <c r="M2" s="383"/>
      <c r="N2" s="383"/>
      <c r="O2" s="190"/>
      <c r="P2" s="543"/>
      <c r="Q2" s="478" t="s">
        <v>1448</v>
      </c>
      <c r="R2" s="419"/>
      <c r="S2" s="419"/>
      <c r="T2" s="419"/>
      <c r="U2" s="419"/>
      <c r="AL2" s="334"/>
      <c r="AM2" s="334"/>
      <c r="CC2" s="191" t="s">
        <v>982</v>
      </c>
      <c r="CD2" s="379" t="e">
        <f>GETPIVOTDATA("# HH",$B$9)</f>
        <v>#REF!</v>
      </c>
    </row>
    <row r="3" spans="1:85" s="324" customFormat="1" ht="28.5" customHeight="1" x14ac:dyDescent="0.25">
      <c r="A3" s="542"/>
      <c r="B3" s="787">
        <f>Definition!B23</f>
        <v>43160</v>
      </c>
      <c r="C3" s="788"/>
      <c r="D3" s="788"/>
      <c r="E3" s="788"/>
      <c r="F3" s="788"/>
      <c r="G3" s="788"/>
      <c r="H3" s="788"/>
      <c r="I3" s="788"/>
      <c r="J3" s="788"/>
      <c r="K3" s="384"/>
      <c r="L3" s="384"/>
      <c r="M3" s="384"/>
      <c r="N3" s="384"/>
      <c r="O3" s="192"/>
      <c r="P3" s="544"/>
      <c r="Q3" s="412">
        <f>COUNTIFS(CampList[[#All],[Status]],"Open",CampList[[#All],[Type of Accomodation]],"Camp")+COUNTIFS(CampList[[#All],[Status]],"Open",CampList[[#All],[Type of Accomodation]],"Camp like setting")</f>
        <v>150</v>
      </c>
      <c r="R3" s="419"/>
      <c r="S3" s="419"/>
      <c r="T3" s="419"/>
      <c r="U3" s="419"/>
      <c r="V3" s="288"/>
      <c r="W3" s="191"/>
      <c r="X3" s="191"/>
      <c r="Y3" s="191"/>
      <c r="AA3" s="191"/>
      <c r="AB3" s="191"/>
      <c r="AL3" s="193"/>
      <c r="AM3" s="193"/>
      <c r="CC3" s="191" t="s">
        <v>1028</v>
      </c>
      <c r="CD3" s="379" t="e">
        <f>GETPIVOTDATA("# Camps",$B$9)</f>
        <v>#REF!</v>
      </c>
      <c r="CE3" s="191"/>
      <c r="CF3" s="191"/>
    </row>
    <row r="4" spans="1:85" s="324" customFormat="1" ht="8.25" customHeight="1" x14ac:dyDescent="0.25">
      <c r="A4" s="542"/>
      <c r="B4" s="499"/>
      <c r="C4" s="499"/>
      <c r="D4" s="499"/>
      <c r="E4" s="499"/>
      <c r="F4" s="499"/>
      <c r="G4" s="499"/>
      <c r="H4" s="499"/>
      <c r="I4" s="499"/>
      <c r="J4" s="499"/>
      <c r="K4" s="85"/>
      <c r="L4" s="85"/>
      <c r="M4" s="85"/>
      <c r="N4" s="85"/>
      <c r="O4" s="417"/>
      <c r="P4" s="544"/>
      <c r="Q4" s="412"/>
      <c r="R4" s="419"/>
      <c r="S4" s="419"/>
      <c r="T4" s="419"/>
      <c r="U4" s="419"/>
      <c r="V4" s="288"/>
      <c r="W4" s="191"/>
      <c r="X4" s="191"/>
      <c r="Y4" s="191"/>
      <c r="AA4" s="191"/>
      <c r="AB4" s="191"/>
      <c r="AL4" s="193"/>
      <c r="AM4" s="193"/>
      <c r="CC4" s="191"/>
      <c r="CD4" s="379"/>
      <c r="CE4" s="191"/>
      <c r="CF4" s="191"/>
    </row>
    <row r="5" spans="1:85" s="515" customFormat="1" ht="18" customHeight="1" x14ac:dyDescent="0.25">
      <c r="A5" s="545"/>
      <c r="B5" s="520" t="s">
        <v>1448</v>
      </c>
      <c r="C5" s="521"/>
      <c r="D5" s="521"/>
      <c r="E5" s="521"/>
      <c r="F5" s="521"/>
      <c r="G5" s="522"/>
      <c r="H5" s="563">
        <v>36</v>
      </c>
      <c r="I5" s="527"/>
      <c r="J5" s="511"/>
      <c r="K5" s="512"/>
      <c r="L5" s="512"/>
      <c r="M5" s="512"/>
      <c r="N5" s="512"/>
      <c r="O5" s="510"/>
      <c r="P5" s="546"/>
      <c r="Q5" s="513"/>
      <c r="R5" s="513"/>
      <c r="S5" s="513"/>
      <c r="T5" s="513"/>
      <c r="U5" s="513"/>
      <c r="V5" s="513"/>
      <c r="W5" s="514"/>
      <c r="X5" s="514"/>
      <c r="Y5" s="514"/>
      <c r="AA5" s="514"/>
      <c r="AB5" s="514"/>
      <c r="AL5" s="516"/>
      <c r="AM5" s="516"/>
      <c r="CC5" s="514"/>
      <c r="CD5" s="517"/>
      <c r="CE5" s="514"/>
      <c r="CF5" s="514"/>
    </row>
    <row r="6" spans="1:85" s="514" customFormat="1" ht="18" customHeight="1" x14ac:dyDescent="0.25">
      <c r="A6" s="545"/>
      <c r="B6" s="520" t="s">
        <v>1386</v>
      </c>
      <c r="C6" s="521"/>
      <c r="D6" s="521"/>
      <c r="E6" s="521"/>
      <c r="F6" s="521"/>
      <c r="G6" s="522"/>
      <c r="H6" s="528">
        <f>F30</f>
        <v>1779</v>
      </c>
      <c r="I6" s="527"/>
      <c r="J6" s="510"/>
      <c r="K6" s="510"/>
      <c r="L6" s="510"/>
      <c r="M6" s="510"/>
      <c r="N6" s="510"/>
      <c r="O6" s="510"/>
      <c r="P6" s="547"/>
      <c r="Q6" s="513"/>
      <c r="R6" s="705"/>
      <c r="S6" s="513"/>
      <c r="T6" s="513"/>
      <c r="U6" s="513"/>
      <c r="V6" s="513"/>
      <c r="CC6" s="514" t="s">
        <v>984</v>
      </c>
      <c r="CD6" s="518" t="e">
        <f>GETPIVOTDATA("# HH",$B$9)-GETPIVOTDATA("# Shelter Gap",$B$9)</f>
        <v>#REF!</v>
      </c>
      <c r="CE6" s="519" t="e">
        <f>CD6/CD2</f>
        <v>#REF!</v>
      </c>
    </row>
    <row r="7" spans="1:85" s="514" customFormat="1" ht="18" customHeight="1" x14ac:dyDescent="0.25">
      <c r="A7" s="545"/>
      <c r="B7" s="520" t="s">
        <v>1578</v>
      </c>
      <c r="C7" s="521"/>
      <c r="D7" s="521"/>
      <c r="E7" s="521"/>
      <c r="F7" s="521"/>
      <c r="G7" s="522"/>
      <c r="H7" s="529">
        <f>G30</f>
        <v>3131</v>
      </c>
      <c r="I7" s="527"/>
      <c r="J7" s="510"/>
      <c r="K7" s="510"/>
      <c r="L7" s="510"/>
      <c r="M7" s="510"/>
      <c r="N7" s="510"/>
      <c r="O7" s="510"/>
      <c r="P7" s="547"/>
      <c r="Q7" s="513"/>
      <c r="R7" s="513"/>
      <c r="S7" s="513"/>
      <c r="T7" s="513"/>
      <c r="U7" s="513"/>
      <c r="V7" s="513"/>
      <c r="CB7" s="515"/>
      <c r="CC7" s="514" t="s">
        <v>983</v>
      </c>
      <c r="CD7" s="517" t="e">
        <f>GETPIVOTDATA("# Shelter Gap",$B$9)</f>
        <v>#REF!</v>
      </c>
      <c r="CE7" s="519"/>
    </row>
    <row r="8" spans="1:85" ht="6" customHeight="1" x14ac:dyDescent="0.25">
      <c r="A8" s="548"/>
      <c r="B8" s="204"/>
      <c r="C8" s="204"/>
      <c r="D8" s="204"/>
      <c r="E8" s="204"/>
      <c r="F8" s="204"/>
      <c r="G8" s="204"/>
      <c r="H8" s="204"/>
      <c r="I8" s="527"/>
      <c r="J8" s="204"/>
      <c r="K8" s="204"/>
      <c r="L8" s="204"/>
      <c r="M8" s="204"/>
      <c r="N8" s="204"/>
      <c r="O8" s="204"/>
      <c r="P8" s="543"/>
      <c r="CC8" s="191" t="s">
        <v>985</v>
      </c>
      <c r="CD8" s="379" t="e">
        <f>GETPIVOTDATA("# Const. Shelter",$B$9)</f>
        <v>#REF!</v>
      </c>
      <c r="CE8" s="380" t="e">
        <f>CD8/CD2</f>
        <v>#REF!</v>
      </c>
    </row>
    <row r="9" spans="1:85" ht="42" customHeight="1" x14ac:dyDescent="0.25">
      <c r="A9" s="548"/>
      <c r="B9" s="376" t="s">
        <v>0</v>
      </c>
      <c r="C9" s="377" t="s">
        <v>1385</v>
      </c>
      <c r="D9" s="377" t="s">
        <v>1384</v>
      </c>
      <c r="E9" s="377" t="s">
        <v>1389</v>
      </c>
      <c r="F9" s="377" t="s">
        <v>1386</v>
      </c>
      <c r="G9" s="377" t="s">
        <v>1390</v>
      </c>
      <c r="H9" s="377" t="s">
        <v>1635</v>
      </c>
      <c r="I9" s="527"/>
      <c r="J9" s="204"/>
      <c r="K9" s="204"/>
      <c r="L9" s="204"/>
      <c r="M9" s="204"/>
      <c r="N9" s="204"/>
      <c r="O9" s="204"/>
      <c r="P9" s="543"/>
    </row>
    <row r="10" spans="1:85" ht="12.6" customHeight="1" x14ac:dyDescent="0.25">
      <c r="A10" s="548"/>
      <c r="B10" s="523" t="s">
        <v>5</v>
      </c>
      <c r="C10" s="524">
        <f>GETPIVOTDATA("HH",'IDP location Analysis'!$B$9,"Township","Bhamo")</f>
        <v>1486</v>
      </c>
      <c r="D10" s="525">
        <f>GETPIVOTDATA("Individuals",'IDP location Analysis'!$B$9,"Township","Bhamo")</f>
        <v>8351</v>
      </c>
      <c r="E10" s="525">
        <f>'Shelter Gap Analysis'!H15+'Shelter Gap Analysis'!J15+'Shelter Gap Analysis'!K15</f>
        <v>372</v>
      </c>
      <c r="F10" s="526">
        <f>'Shelter Gap Analysis'!M15+'Shelter Gap Analysis'!O15+'Shelter Gap Analysis'!P15</f>
        <v>187</v>
      </c>
      <c r="G10" s="524">
        <f>E10-F10</f>
        <v>185</v>
      </c>
      <c r="H10" s="527">
        <f>IF(AND(E10=0,F10=0),"",IF((IFERROR(F10/E10,0))=0,"no coverage",F10/E10))</f>
        <v>0.50268817204301075</v>
      </c>
      <c r="I10" s="527"/>
      <c r="J10" s="335"/>
      <c r="K10" s="335"/>
      <c r="L10" s="204"/>
      <c r="M10" s="204"/>
      <c r="N10" s="204"/>
      <c r="O10" s="204"/>
      <c r="P10" s="543"/>
    </row>
    <row r="11" spans="1:85" ht="12.6" customHeight="1" x14ac:dyDescent="0.25">
      <c r="A11" s="458"/>
      <c r="B11" s="523" t="s">
        <v>27</v>
      </c>
      <c r="C11" s="524">
        <f>GETPIVOTDATA("HH",'IDP location Analysis'!$B$9,"Township","Chipwi")</f>
        <v>497</v>
      </c>
      <c r="D11" s="525">
        <f>GETPIVOTDATA("Individuals",'IDP location Analysis'!$B$9,"Township","Chipwi")</f>
        <v>2471</v>
      </c>
      <c r="E11" s="525">
        <f>'Shelter Gap Analysis'!H21+'Shelter Gap Analysis'!J21+'Shelter Gap Analysis'!K21</f>
        <v>161</v>
      </c>
      <c r="F11" s="526">
        <f>'Shelter Gap Analysis'!M21+'Shelter Gap Analysis'!O21+'Shelter Gap Analysis'!P21</f>
        <v>81</v>
      </c>
      <c r="G11" s="524">
        <f t="shared" ref="G11:G27" si="0">E11-F11</f>
        <v>80</v>
      </c>
      <c r="H11" s="527">
        <f t="shared" ref="H11:H26" si="1">IF(AND(E11=0,F11=0),"",IF((IFERROR(F11/E11,0))=0,"no coverage",F11/E11))</f>
        <v>0.50310559006211175</v>
      </c>
      <c r="I11" s="527"/>
      <c r="J11" s="336"/>
      <c r="K11" s="336"/>
      <c r="L11" s="204"/>
      <c r="M11" s="204"/>
      <c r="N11" s="204"/>
      <c r="O11" s="204"/>
      <c r="P11" s="543"/>
    </row>
    <row r="12" spans="1:85" ht="12.6" customHeight="1" x14ac:dyDescent="0.25">
      <c r="A12" s="458"/>
      <c r="B12" s="523" t="s">
        <v>480</v>
      </c>
      <c r="C12" s="524">
        <f>GETPIVOTDATA("HH",'IDP location Analysis'!$B$9,"Township","Hpakant")</f>
        <v>701</v>
      </c>
      <c r="D12" s="525">
        <f>GETPIVOTDATA("Individuals",'IDP location Analysis'!$B$9,"Township","Hpakant")</f>
        <v>3554</v>
      </c>
      <c r="E12" s="525">
        <f>'Shelter Gap Analysis'!H43+'Shelter Gap Analysis'!J43+'Shelter Gap Analysis'!K43</f>
        <v>294</v>
      </c>
      <c r="F12" s="526">
        <f>'Shelter Gap Analysis'!M43+'Shelter Gap Analysis'!O43+'Shelter Gap Analysis'!P43</f>
        <v>46</v>
      </c>
      <c r="G12" s="524">
        <f t="shared" si="0"/>
        <v>248</v>
      </c>
      <c r="H12" s="527">
        <f t="shared" si="1"/>
        <v>0.15646258503401361</v>
      </c>
      <c r="I12" s="527"/>
      <c r="J12" s="336"/>
      <c r="K12" s="336"/>
      <c r="L12" s="204"/>
      <c r="M12" s="204"/>
      <c r="N12" s="204"/>
      <c r="O12" s="204"/>
      <c r="P12" s="543"/>
    </row>
    <row r="13" spans="1:85" ht="12.6" customHeight="1" x14ac:dyDescent="0.25">
      <c r="A13" s="458"/>
      <c r="B13" s="746" t="s">
        <v>719</v>
      </c>
      <c r="C13" s="524">
        <f>GETPIVOTDATA("HH",'IDP location Analysis'!$B$9,"Township","Hseni")</f>
        <v>99</v>
      </c>
      <c r="D13" s="525">
        <f>GETPIVOTDATA("Individuals",'IDP location Analysis'!$B$9,"Township","Hseni")</f>
        <v>559</v>
      </c>
      <c r="E13" s="525">
        <f>'Shelter Gap Analysis'!H45+'Shelter Gap Analysis'!J45+'Shelter Gap Analysis'!K45</f>
        <v>7</v>
      </c>
      <c r="F13" s="526">
        <f>'Shelter Gap Analysis'!M45+'Shelter Gap Analysis'!O45+'Shelter Gap Analysis'!P45</f>
        <v>0</v>
      </c>
      <c r="G13" s="524">
        <f t="shared" si="0"/>
        <v>7</v>
      </c>
      <c r="H13" s="527" t="str">
        <f>IF(AND(E13=0,F13=0),"",IF((IFERROR(F13/E13,0))=0,"no coverage",F13/E13))</f>
        <v>no coverage</v>
      </c>
      <c r="I13" s="527"/>
      <c r="J13" s="204"/>
      <c r="K13" s="336"/>
      <c r="L13" s="204"/>
      <c r="M13" s="204"/>
      <c r="N13" s="204"/>
      <c r="O13" s="204"/>
      <c r="P13" s="543"/>
    </row>
    <row r="14" spans="1:85" ht="12.6" customHeight="1" x14ac:dyDescent="0.25">
      <c r="A14" s="458"/>
      <c r="B14" s="523" t="s">
        <v>1204</v>
      </c>
      <c r="C14" s="524">
        <f>GETPIVOTDATA("HH",'IDP location Analysis'!$B$9,"Township","Hsipaw")</f>
        <v>37</v>
      </c>
      <c r="D14" s="525">
        <f>GETPIVOTDATA("Individuals",'IDP location Analysis'!$B$9,"Township","Hsipaw")</f>
        <v>120</v>
      </c>
      <c r="E14" s="525">
        <f>'Shelter Gap Analysis'!H47+'Shelter Gap Analysis'!J47+'Shelter Gap Analysis'!K47</f>
        <v>0</v>
      </c>
      <c r="F14" s="526">
        <f>'Shelter Gap Analysis'!M47+'Shelter Gap Analysis'!O47+'Shelter Gap Analysis'!P47</f>
        <v>0</v>
      </c>
      <c r="G14" s="524">
        <f t="shared" si="0"/>
        <v>0</v>
      </c>
      <c r="H14" s="527" t="str">
        <f>IF(AND(E14=0,F14=0),"",IF((IFERROR(F14/E14,0))=0,"no coverage",F14/E14))</f>
        <v/>
      </c>
      <c r="I14" s="527"/>
      <c r="J14" s="204"/>
      <c r="K14" s="336"/>
      <c r="L14" s="204"/>
      <c r="M14" s="204"/>
      <c r="N14" s="204"/>
      <c r="O14" s="204"/>
      <c r="P14" s="543"/>
    </row>
    <row r="15" spans="1:85" ht="12.6" customHeight="1" x14ac:dyDescent="0.25">
      <c r="A15" s="458"/>
      <c r="B15" s="523" t="s">
        <v>146</v>
      </c>
      <c r="C15" s="524">
        <f>GETPIVOTDATA("HH",'IDP location Analysis'!$B$9,"Township","Kutkai")</f>
        <v>863</v>
      </c>
      <c r="D15" s="525">
        <f>GETPIVOTDATA("Individuals",'IDP location Analysis'!$B$9,"Township","Kutkai")</f>
        <v>4215</v>
      </c>
      <c r="E15" s="525">
        <f>'Shelter Gap Analysis'!H62+'Shelter Gap Analysis'!J62+'Shelter Gap Analysis'!K62</f>
        <v>180</v>
      </c>
      <c r="F15" s="526">
        <f>'Shelter Gap Analysis'!M62+'Shelter Gap Analysis'!O62+'Shelter Gap Analysis'!P62</f>
        <v>10</v>
      </c>
      <c r="G15" s="524">
        <f t="shared" si="0"/>
        <v>170</v>
      </c>
      <c r="H15" s="527">
        <f t="shared" si="1"/>
        <v>5.5555555555555552E-2</v>
      </c>
      <c r="I15" s="527"/>
      <c r="J15" s="204"/>
      <c r="K15" s="336"/>
      <c r="L15" s="204"/>
      <c r="M15" s="204"/>
      <c r="N15" s="204"/>
      <c r="O15" s="204"/>
      <c r="P15" s="543"/>
    </row>
    <row r="16" spans="1:85" ht="15" customHeight="1" x14ac:dyDescent="0.25">
      <c r="A16" s="548"/>
      <c r="B16" s="523" t="s">
        <v>151</v>
      </c>
      <c r="C16" s="524">
        <f>GETPIVOTDATA("HH",'IDP location Analysis'!$B$9,"Township","Mansi")</f>
        <v>2840</v>
      </c>
      <c r="D16" s="525">
        <f>GETPIVOTDATA("Individuals",'IDP location Analysis'!$B$9,"Township","Mansi")</f>
        <v>13346</v>
      </c>
      <c r="E16" s="525">
        <f>'Shelter Gap Analysis'!H72+'Shelter Gap Analysis'!J72+'Shelter Gap Analysis'!K72</f>
        <v>626</v>
      </c>
      <c r="F16" s="526">
        <f>'Shelter Gap Analysis'!M72+'Shelter Gap Analysis'!O72+'Shelter Gap Analysis'!P72</f>
        <v>497</v>
      </c>
      <c r="G16" s="524">
        <f t="shared" si="0"/>
        <v>129</v>
      </c>
      <c r="H16" s="527">
        <f>IF(AND(E16=0,F16=0),"",IF((IFERROR(F16/E16,0))=0,"no coverage",F16/E16))</f>
        <v>0.79392971246006394</v>
      </c>
      <c r="I16" s="527"/>
      <c r="J16" s="204"/>
      <c r="K16" s="204"/>
      <c r="L16" s="336"/>
      <c r="M16" s="204"/>
      <c r="N16" s="204"/>
      <c r="O16" s="204"/>
      <c r="P16" s="459"/>
      <c r="W16" s="288"/>
      <c r="CD16" s="191" t="s">
        <v>0</v>
      </c>
      <c r="CE16" s="191" t="s">
        <v>992</v>
      </c>
      <c r="CF16" s="191" t="s">
        <v>993</v>
      </c>
      <c r="CG16" s="191" t="s">
        <v>994</v>
      </c>
    </row>
    <row r="17" spans="1:85" s="375" customFormat="1" ht="12.75" customHeight="1" x14ac:dyDescent="0.25">
      <c r="A17" s="549"/>
      <c r="B17" s="523" t="s">
        <v>166</v>
      </c>
      <c r="C17" s="524">
        <f>GETPIVOTDATA("HH",'IDP location Analysis'!$B$9,"Township","Manton")</f>
        <v>98</v>
      </c>
      <c r="D17" s="525">
        <f>GETPIVOTDATA("Individuals",'IDP location Analysis'!$B$9,"Township","Manton")</f>
        <v>541</v>
      </c>
      <c r="E17" s="525">
        <f>'Shelter Gap Analysis'!H76+'Shelter Gap Analysis'!J76+'Shelter Gap Analysis'!K76</f>
        <v>24</v>
      </c>
      <c r="F17" s="526">
        <f>'Shelter Gap Analysis'!M76+'Shelter Gap Analysis'!O76+'Shelter Gap Analysis'!P76</f>
        <v>20</v>
      </c>
      <c r="G17" s="524">
        <f t="shared" si="0"/>
        <v>4</v>
      </c>
      <c r="H17" s="527">
        <f>IF(AND(E17=0,F17=0),"",IF((IFERROR(F17/E17,0))=0,"no coverage",F17/E17))</f>
        <v>0.83333333333333337</v>
      </c>
      <c r="I17" s="527"/>
      <c r="J17" s="338"/>
      <c r="K17" s="338"/>
      <c r="L17" s="339"/>
      <c r="M17" s="338"/>
      <c r="N17" s="338"/>
      <c r="O17" s="338"/>
      <c r="P17" s="550"/>
      <c r="Q17" s="288"/>
      <c r="R17" s="288"/>
      <c r="S17" s="288"/>
      <c r="T17" s="288"/>
      <c r="U17" s="288"/>
      <c r="V17" s="288"/>
      <c r="W17" s="288"/>
      <c r="CD17" s="375" t="str">
        <f>B10</f>
        <v>Bhamo</v>
      </c>
      <c r="CE17" s="337">
        <f>C10-Shelter_Draw[[#This Row],[V2]]-Shelter_Draw[[#This Row],[V3]]</f>
        <v>1485.497311827957</v>
      </c>
      <c r="CF17" s="337">
        <f>J17</f>
        <v>0</v>
      </c>
      <c r="CG17" s="337">
        <f>H10-J17</f>
        <v>0.50268817204301075</v>
      </c>
    </row>
    <row r="18" spans="1:85" s="375" customFormat="1" ht="12.75" customHeight="1" x14ac:dyDescent="0.25">
      <c r="A18" s="549"/>
      <c r="B18" s="523" t="s">
        <v>173</v>
      </c>
      <c r="C18" s="524">
        <f>GETPIVOTDATA("HH",'IDP location Analysis'!$B$9,"Township","Mogaung")</f>
        <v>66</v>
      </c>
      <c r="D18" s="525">
        <f>GETPIVOTDATA("Individuals",'IDP location Analysis'!$B$9,"Township","Mogaung")</f>
        <v>325</v>
      </c>
      <c r="E18" s="525">
        <f>'Shelter Gap Analysis'!H81+'Shelter Gap Analysis'!J81+'Shelter Gap Analysis'!K81</f>
        <v>30</v>
      </c>
      <c r="F18" s="526">
        <f>'Shelter Gap Analysis'!M81+'Shelter Gap Analysis'!O81+'Shelter Gap Analysis'!P81</f>
        <v>0</v>
      </c>
      <c r="G18" s="524">
        <f>E18-F18</f>
        <v>30</v>
      </c>
      <c r="H18" s="527" t="str">
        <f t="shared" si="1"/>
        <v>no coverage</v>
      </c>
      <c r="I18" s="527"/>
      <c r="J18" s="338"/>
      <c r="K18" s="338"/>
      <c r="L18" s="339"/>
      <c r="M18" s="338"/>
      <c r="N18" s="338"/>
      <c r="O18" s="338"/>
      <c r="P18" s="550"/>
      <c r="Q18" s="288"/>
      <c r="R18" s="288"/>
      <c r="S18" s="288"/>
      <c r="T18" s="288"/>
      <c r="U18" s="288"/>
      <c r="V18" s="288"/>
      <c r="W18" s="288"/>
      <c r="CD18" s="375" t="str">
        <f>B11</f>
        <v>Chipwi</v>
      </c>
      <c r="CE18" s="337">
        <f>C11-Shelter_Draw[[#This Row],[V2]]-Shelter_Draw[[#This Row],[V3]]</f>
        <v>496.49689440993791</v>
      </c>
      <c r="CF18" s="337">
        <f>J18</f>
        <v>0</v>
      </c>
      <c r="CG18" s="337">
        <f>H11-J18</f>
        <v>0.50310559006211175</v>
      </c>
    </row>
    <row r="19" spans="1:85" s="375" customFormat="1" ht="12.75" customHeight="1" x14ac:dyDescent="0.25">
      <c r="A19" s="549"/>
      <c r="B19" s="523" t="s">
        <v>180</v>
      </c>
      <c r="C19" s="524">
        <f>GETPIVOTDATA("HH",'IDP location Analysis'!$B$9,"Township","Mohnyin")</f>
        <v>76</v>
      </c>
      <c r="D19" s="525">
        <f>GETPIVOTDATA("Individuals",'IDP location Analysis'!$B$9,"Township","Mohnyin")</f>
        <v>349</v>
      </c>
      <c r="E19" s="525">
        <f>'Shelter Gap Analysis'!H84+'Shelter Gap Analysis'!J84+'Shelter Gap Analysis'!K84</f>
        <v>11</v>
      </c>
      <c r="F19" s="526">
        <v>11</v>
      </c>
      <c r="G19" s="524">
        <f t="shared" si="0"/>
        <v>0</v>
      </c>
      <c r="H19" s="527">
        <f t="shared" si="1"/>
        <v>1</v>
      </c>
      <c r="I19" s="527"/>
      <c r="J19" s="338"/>
      <c r="K19" s="338"/>
      <c r="L19" s="340"/>
      <c r="M19" s="338"/>
      <c r="N19" s="338"/>
      <c r="O19" s="338"/>
      <c r="P19" s="550"/>
      <c r="Q19" s="288"/>
      <c r="R19" s="288"/>
      <c r="S19" s="288"/>
      <c r="T19" s="288"/>
      <c r="U19" s="288"/>
      <c r="V19" s="288"/>
      <c r="W19" s="288"/>
      <c r="CD19" s="375" t="str">
        <f>B12</f>
        <v>Hpakant</v>
      </c>
      <c r="CE19" s="337">
        <f>C12-Shelter_Draw[[#This Row],[V2]]-Shelter_Draw[[#This Row],[V3]]</f>
        <v>700.84353741496602</v>
      </c>
      <c r="CF19" s="337">
        <f>J19</f>
        <v>0</v>
      </c>
      <c r="CG19" s="337">
        <f>H12-J19</f>
        <v>0.15646258503401361</v>
      </c>
    </row>
    <row r="20" spans="1:85" s="375" customFormat="1" ht="12.75" customHeight="1" x14ac:dyDescent="0.25">
      <c r="A20" s="549"/>
      <c r="B20" s="523" t="s">
        <v>185</v>
      </c>
      <c r="C20" s="524">
        <f>GETPIVOTDATA("HH",'IDP location Analysis'!$B$9,"Township","Momauk")</f>
        <v>4741</v>
      </c>
      <c r="D20" s="525">
        <f>GETPIVOTDATA("Individuals",'IDP location Analysis'!$B$9,"Township","Momauk")</f>
        <v>24892</v>
      </c>
      <c r="E20" s="525">
        <f>'Shelter Gap Analysis'!H98+'Shelter Gap Analysis'!J98+'Shelter Gap Analysis'!K98</f>
        <v>1444</v>
      </c>
      <c r="F20" s="526">
        <f>'Shelter Gap Analysis'!M98+'Shelter Gap Analysis'!O98+'Shelter Gap Analysis'!P98</f>
        <v>627</v>
      </c>
      <c r="G20" s="524">
        <f t="shared" si="0"/>
        <v>817</v>
      </c>
      <c r="H20" s="527">
        <f t="shared" si="1"/>
        <v>0.43421052631578949</v>
      </c>
      <c r="I20" s="527"/>
      <c r="J20" s="338"/>
      <c r="K20" s="338"/>
      <c r="L20" s="338"/>
      <c r="M20" s="338"/>
      <c r="N20" s="338"/>
      <c r="O20" s="338"/>
      <c r="P20" s="550"/>
      <c r="Q20" s="288"/>
      <c r="R20" s="288"/>
      <c r="S20" s="288"/>
      <c r="T20" s="288"/>
      <c r="U20" s="288"/>
      <c r="V20" s="288"/>
      <c r="W20" s="288"/>
      <c r="CD20" s="375" t="str">
        <f t="shared" ref="CD20:CD29" si="2">B15</f>
        <v>Kutkai</v>
      </c>
      <c r="CE20" s="337">
        <f>C15-Shelter_Draw[[#This Row],[V2]]-Shelter_Draw[[#This Row],[V3]]</f>
        <v>693</v>
      </c>
      <c r="CF20" s="337">
        <f t="shared" ref="CF20:CF26" si="3">H15</f>
        <v>5.5555555555555552E-2</v>
      </c>
      <c r="CG20" s="337">
        <f t="shared" ref="CG20:CG26" si="4">G15-H15</f>
        <v>169.94444444444446</v>
      </c>
    </row>
    <row r="21" spans="1:85" s="375" customFormat="1" ht="12.6" customHeight="1" x14ac:dyDescent="0.25">
      <c r="A21" s="549"/>
      <c r="B21" s="523" t="s">
        <v>230</v>
      </c>
      <c r="C21" s="524">
        <f>GETPIVOTDATA(" HH",'IDP location Analysis'!$B$9,"Township","Muse")</f>
        <v>248</v>
      </c>
      <c r="D21" s="525">
        <f>GETPIVOTDATA("Individuals",'IDP location Analysis'!$B$9,"Township","Muse")</f>
        <v>1265</v>
      </c>
      <c r="E21" s="525">
        <f>'Shelter Gap Analysis'!H102+'Shelter Gap Analysis'!J102+'Shelter Gap Analysis'!K102</f>
        <v>73</v>
      </c>
      <c r="F21" s="526">
        <f>'Shelter Gap Analysis'!M102+'Shelter Gap Analysis'!O102+'Shelter Gap Analysis'!P102</f>
        <v>10</v>
      </c>
      <c r="G21" s="524">
        <f t="shared" si="0"/>
        <v>63</v>
      </c>
      <c r="H21" s="527">
        <f>IF(AND(E21=0,F21=0),"",IF((IFERROR(F21/E21,0))=0,"no coverage",F21/E21))</f>
        <v>0.13698630136986301</v>
      </c>
      <c r="I21" s="527"/>
      <c r="J21" s="338"/>
      <c r="K21" s="338"/>
      <c r="L21" s="338"/>
      <c r="M21" s="338"/>
      <c r="N21" s="338"/>
      <c r="O21" s="338"/>
      <c r="P21" s="550"/>
      <c r="Q21" s="288"/>
      <c r="R21" s="288"/>
      <c r="S21" s="288"/>
      <c r="T21" s="288"/>
      <c r="U21" s="288"/>
      <c r="V21" s="288"/>
      <c r="W21" s="288"/>
      <c r="CD21" s="375" t="str">
        <f t="shared" si="2"/>
        <v>Mansi</v>
      </c>
      <c r="CE21" s="337">
        <f>C16-Shelter_Draw[[#This Row],[V2]]-Shelter_Draw[[#This Row],[V3]]</f>
        <v>2711</v>
      </c>
      <c r="CF21" s="337">
        <f t="shared" si="3"/>
        <v>0.79392971246006394</v>
      </c>
      <c r="CG21" s="337">
        <f t="shared" si="4"/>
        <v>128.20607028753994</v>
      </c>
    </row>
    <row r="22" spans="1:85" s="375" customFormat="1" ht="12.6" customHeight="1" x14ac:dyDescent="0.25">
      <c r="A22" s="549"/>
      <c r="B22" s="523" t="s">
        <v>237</v>
      </c>
      <c r="C22" s="524">
        <f>GETPIVOTDATA("HH",'IDP location Analysis'!$B$9,"Township","Myitkyina")</f>
        <v>1494</v>
      </c>
      <c r="D22" s="525">
        <f>GETPIVOTDATA("Individuals",'IDP location Analysis'!$B$9,"Township","Myitkyina")</f>
        <v>7696</v>
      </c>
      <c r="E22" s="525">
        <f>'Shelter Gap Analysis'!H124+'Shelter Gap Analysis'!J124+'Shelter Gap Analysis'!K124</f>
        <v>448</v>
      </c>
      <c r="F22" s="526">
        <f>'Shelter Gap Analysis'!M124+'Shelter Gap Analysis'!P124+'Shelter Gap Analysis'!O124</f>
        <v>70</v>
      </c>
      <c r="G22" s="524">
        <f>E22-F22</f>
        <v>378</v>
      </c>
      <c r="H22" s="527">
        <f>IF(AND(E22=0,F22=0),"",IF((IFERROR(F22/E22,0))=0,"no coverage",F22/E22))</f>
        <v>0.15625</v>
      </c>
      <c r="I22" s="527"/>
      <c r="J22" s="338"/>
      <c r="K22" s="338"/>
      <c r="L22" s="338"/>
      <c r="M22" s="338"/>
      <c r="N22" s="338"/>
      <c r="O22" s="338"/>
      <c r="P22" s="550"/>
      <c r="Q22" s="288"/>
      <c r="R22" s="288"/>
      <c r="S22" s="288"/>
      <c r="T22" s="288"/>
      <c r="U22" s="288"/>
      <c r="V22" s="288"/>
      <c r="W22" s="288"/>
      <c r="CD22" s="375" t="str">
        <f t="shared" si="2"/>
        <v>Manton</v>
      </c>
      <c r="CE22" s="337">
        <f>C17-Shelter_Draw[[#This Row],[V2]]-Shelter_Draw[[#This Row],[V3]]</f>
        <v>94</v>
      </c>
      <c r="CF22" s="337">
        <f t="shared" si="3"/>
        <v>0.83333333333333337</v>
      </c>
      <c r="CG22" s="337">
        <f t="shared" si="4"/>
        <v>3.1666666666666665</v>
      </c>
    </row>
    <row r="23" spans="1:85" s="375" customFormat="1" ht="14.25" customHeight="1" x14ac:dyDescent="0.25">
      <c r="A23" s="549"/>
      <c r="B23" s="523" t="s">
        <v>1387</v>
      </c>
      <c r="C23" s="524">
        <f>GETPIVOTDATA("HH",'IDP location Analysis'!$B$9,"Township","Namhkan")</f>
        <v>409</v>
      </c>
      <c r="D23" s="525">
        <f>GETPIVOTDATA("Individuals",'IDP location Analysis'!$B$9,"Township","Namhkan")</f>
        <v>1976</v>
      </c>
      <c r="E23" s="525">
        <f>'Shelter Gap Analysis'!H130+'Shelter Gap Analysis'!J130+'Shelter Gap Analysis'!K130</f>
        <v>139</v>
      </c>
      <c r="F23" s="526">
        <f>'Shelter Gap Analysis'!M130+'Shelter Gap Analysis'!O130+'Shelter Gap Analysis'!P130</f>
        <v>20</v>
      </c>
      <c r="G23" s="524">
        <f t="shared" si="0"/>
        <v>119</v>
      </c>
      <c r="H23" s="527">
        <f t="shared" si="1"/>
        <v>0.14388489208633093</v>
      </c>
      <c r="I23" s="527"/>
      <c r="J23" s="338"/>
      <c r="K23" s="338"/>
      <c r="L23" s="338"/>
      <c r="M23" s="338"/>
      <c r="N23" s="338"/>
      <c r="O23" s="338"/>
      <c r="P23" s="550"/>
      <c r="Q23" s="288"/>
      <c r="R23" s="288"/>
      <c r="S23" s="288"/>
      <c r="T23" s="288"/>
      <c r="U23" s="288"/>
      <c r="V23" s="288"/>
      <c r="W23" s="288"/>
      <c r="CD23" s="375" t="str">
        <f t="shared" si="2"/>
        <v>Mogaung</v>
      </c>
      <c r="CE23" s="337" t="e">
        <f>C18-Shelter_Draw[[#This Row],[V2]]-Shelter_Draw[[#This Row],[V3]]</f>
        <v>#VALUE!</v>
      </c>
      <c r="CF23" s="337" t="str">
        <f t="shared" si="3"/>
        <v>no coverage</v>
      </c>
      <c r="CG23" s="337" t="e">
        <f t="shared" si="4"/>
        <v>#VALUE!</v>
      </c>
    </row>
    <row r="24" spans="1:85" s="375" customFormat="1" ht="15.75" customHeight="1" x14ac:dyDescent="0.25">
      <c r="A24" s="549"/>
      <c r="B24" s="523" t="s">
        <v>297</v>
      </c>
      <c r="C24" s="524">
        <f>GETPIVOTDATA("HH",'IDP location Analysis'!$B$9,"Township","Namtu")</f>
        <v>162</v>
      </c>
      <c r="D24" s="525">
        <f>GETPIVOTDATA("Individuals",'IDP location Analysis'!$B$9,"Township","Namtu")</f>
        <v>759</v>
      </c>
      <c r="E24" s="525">
        <f>'Shelter Gap Analysis'!H135+'Shelter Gap Analysis'!J135+'Shelter Gap Analysis'!K135</f>
        <v>149</v>
      </c>
      <c r="F24" s="526">
        <f>'Shelter Gap Analysis'!M135+'Shelter Gap Analysis'!O135+'Shelter Gap Analysis'!P135</f>
        <v>114</v>
      </c>
      <c r="G24" s="524">
        <f t="shared" si="0"/>
        <v>35</v>
      </c>
      <c r="H24" s="527">
        <f t="shared" si="1"/>
        <v>0.7651006711409396</v>
      </c>
      <c r="I24" s="527"/>
      <c r="J24" s="338"/>
      <c r="K24" s="338"/>
      <c r="L24" s="338"/>
      <c r="M24" s="338"/>
      <c r="N24" s="338"/>
      <c r="O24" s="338"/>
      <c r="P24" s="550"/>
      <c r="R24" s="288"/>
      <c r="S24" s="288"/>
      <c r="T24" s="288"/>
      <c r="U24" s="288"/>
      <c r="V24" s="288"/>
      <c r="W24" s="288"/>
      <c r="CD24" s="375" t="str">
        <f t="shared" si="2"/>
        <v>Mohnyin</v>
      </c>
      <c r="CE24" s="337">
        <f>C19-Shelter_Draw[[#This Row],[V2]]-Shelter_Draw[[#This Row],[V3]]</f>
        <v>76</v>
      </c>
      <c r="CF24" s="337">
        <f t="shared" si="3"/>
        <v>1</v>
      </c>
      <c r="CG24" s="337">
        <f t="shared" si="4"/>
        <v>-1</v>
      </c>
    </row>
    <row r="25" spans="1:85" s="375" customFormat="1" ht="12.6" customHeight="1" x14ac:dyDescent="0.25">
      <c r="A25" s="549"/>
      <c r="B25" s="747" t="s">
        <v>299</v>
      </c>
      <c r="C25" s="524">
        <f>GETPIVOTDATA("HH",'IDP location Analysis'!$B$9,"Township","Puta-O")</f>
        <v>85</v>
      </c>
      <c r="D25" s="525">
        <f>GETPIVOTDATA("Individuals",'IDP location Analysis'!$B$9,"Township","Puta-O")</f>
        <v>412</v>
      </c>
      <c r="E25" s="525">
        <f>'Shelter Gap Analysis'!H138+'Shelter Gap Analysis'!J138+'Shelter Gap Analysis'!K138</f>
        <v>30</v>
      </c>
      <c r="F25" s="526">
        <f>'Shelter Gap Analysis'!M138+'Shelter Gap Analysis'!O138+'Shelter Gap Analysis'!P138</f>
        <v>0</v>
      </c>
      <c r="G25" s="524">
        <f t="shared" si="0"/>
        <v>30</v>
      </c>
      <c r="H25" s="527" t="str">
        <f t="shared" si="1"/>
        <v>no coverage</v>
      </c>
      <c r="I25" s="527"/>
      <c r="J25" s="338"/>
      <c r="K25" s="338"/>
      <c r="L25" s="338"/>
      <c r="M25" s="338"/>
      <c r="N25" s="338"/>
      <c r="O25" s="338"/>
      <c r="P25" s="550"/>
      <c r="R25" s="288"/>
      <c r="S25" s="288"/>
      <c r="T25" s="288"/>
      <c r="U25" s="288"/>
      <c r="V25" s="288"/>
      <c r="W25" s="288"/>
      <c r="CD25" s="375" t="str">
        <f t="shared" si="2"/>
        <v>Momauk</v>
      </c>
      <c r="CE25" s="337">
        <f>C20-Shelter_Draw[[#This Row],[V2]]-Shelter_Draw[[#This Row],[V3]]</f>
        <v>3924</v>
      </c>
      <c r="CF25" s="337">
        <f t="shared" si="3"/>
        <v>0.43421052631578949</v>
      </c>
      <c r="CG25" s="337">
        <f t="shared" si="4"/>
        <v>816.56578947368416</v>
      </c>
    </row>
    <row r="26" spans="1:85" s="375" customFormat="1" ht="12.75" customHeight="1" x14ac:dyDescent="0.25">
      <c r="A26" s="549"/>
      <c r="B26" s="747" t="s">
        <v>1370</v>
      </c>
      <c r="C26" s="524">
        <f>GETPIVOTDATA("HH",'IDP location Analysis'!$B$9,"Township","Shwegu")</f>
        <v>509</v>
      </c>
      <c r="D26" s="525">
        <f>GETPIVOTDATA("Individuals",'IDP location Analysis'!$B$9,"Township","Shwegu")</f>
        <v>2220</v>
      </c>
      <c r="E26" s="525">
        <f>'Shelter Gap Analysis'!H141+'Shelter Gap Analysis'!J141+'Shelter Gap Analysis'!K141</f>
        <v>57</v>
      </c>
      <c r="F26" s="526">
        <f>'Shelter Gap Analysis'!M141+'Shelter Gap Analysis'!O141+'Shelter Gap Analysis'!P141</f>
        <v>0</v>
      </c>
      <c r="G26" s="524">
        <f t="shared" si="0"/>
        <v>57</v>
      </c>
      <c r="H26" s="527" t="str">
        <f t="shared" si="1"/>
        <v>no coverage</v>
      </c>
      <c r="I26" s="527"/>
      <c r="J26" s="338"/>
      <c r="K26" s="338"/>
      <c r="L26" s="338"/>
      <c r="M26" s="338"/>
      <c r="N26" s="338"/>
      <c r="O26" s="338"/>
      <c r="P26" s="550"/>
      <c r="Q26" s="288"/>
      <c r="R26" s="288"/>
      <c r="S26" s="288"/>
      <c r="T26" s="288"/>
      <c r="U26" s="288"/>
      <c r="V26" s="288"/>
      <c r="W26" s="288"/>
      <c r="CD26" s="375" t="str">
        <f t="shared" si="2"/>
        <v>Muse</v>
      </c>
      <c r="CE26" s="337">
        <f>C21-Shelter_Draw[[#This Row],[V2]]-Shelter_Draw[[#This Row],[V3]]</f>
        <v>185</v>
      </c>
      <c r="CF26" s="337">
        <f t="shared" si="3"/>
        <v>0.13698630136986301</v>
      </c>
      <c r="CG26" s="337">
        <f t="shared" si="4"/>
        <v>62.863013698630134</v>
      </c>
    </row>
    <row r="27" spans="1:85" s="375" customFormat="1" ht="12.75" customHeight="1" x14ac:dyDescent="0.25">
      <c r="A27" s="549"/>
      <c r="B27" s="747" t="s">
        <v>1371</v>
      </c>
      <c r="C27" s="524">
        <f>GETPIVOTDATA("HH",'IDP location Analysis'!$B$9,"Township","Sumprabum")</f>
        <v>198</v>
      </c>
      <c r="D27" s="525">
        <f>GETPIVOTDATA("Individuals",'IDP location Analysis'!$B$9,"Township","Sumprabum")</f>
        <v>1143</v>
      </c>
      <c r="E27" s="525">
        <f>'Shelter Gap Analysis'!H144+'Shelter Gap Analysis'!J144+'Shelter Gap Analysis'!K144</f>
        <v>193</v>
      </c>
      <c r="F27" s="526">
        <f>'Shelter Gap Analysis'!M144+'Shelter Gap Analysis'!O144+'Shelter Gap Analysis'!P144</f>
        <v>0</v>
      </c>
      <c r="G27" s="524">
        <f t="shared" si="0"/>
        <v>193</v>
      </c>
      <c r="H27" s="527" t="str">
        <f>IF(AND(E27=0,F27=0),"",IF((IFERROR(F27/E27,0))=0,"no coverage",F27/E27))</f>
        <v>no coverage</v>
      </c>
      <c r="I27" s="527"/>
      <c r="J27" s="338"/>
      <c r="K27" s="338"/>
      <c r="L27" s="338"/>
      <c r="M27" s="338"/>
      <c r="N27" s="338"/>
      <c r="O27" s="338"/>
      <c r="P27" s="550"/>
      <c r="Q27" s="288"/>
      <c r="R27" s="564"/>
      <c r="S27" s="288"/>
      <c r="T27" s="288"/>
      <c r="U27" s="288"/>
      <c r="V27" s="288"/>
      <c r="W27" s="288"/>
      <c r="CD27" s="375" t="str">
        <f t="shared" si="2"/>
        <v>Myitkyina</v>
      </c>
      <c r="CE27" s="337">
        <f>C22-Shelter_Draw[[#This Row],[V2]]-Shelter_Draw[[#This Row],[V3]]</f>
        <v>1493.84375</v>
      </c>
      <c r="CF27" s="337">
        <f t="shared" ref="CF27:CF32" si="5">J29</f>
        <v>0</v>
      </c>
      <c r="CG27" s="337">
        <f t="shared" ref="CG27" si="6">H22-J29</f>
        <v>0.15625</v>
      </c>
    </row>
    <row r="28" spans="1:85" s="375" customFormat="1" ht="12.75" customHeight="1" x14ac:dyDescent="0.25">
      <c r="A28" s="549"/>
      <c r="B28" s="747" t="s">
        <v>1140</v>
      </c>
      <c r="C28" s="524">
        <f>GETPIVOTDATA("HH",'IDP location Analysis'!$B$9,"Township","Tanai")</f>
        <v>235</v>
      </c>
      <c r="D28" s="525">
        <f>GETPIVOTDATA("Individuals",'IDP location Analysis'!$B$9,"Township","Tanai")</f>
        <v>915</v>
      </c>
      <c r="E28" s="525"/>
      <c r="F28" s="526"/>
      <c r="G28" s="524">
        <f t="shared" ref="G28" si="7">E28-F28</f>
        <v>0</v>
      </c>
      <c r="H28" s="527" t="str">
        <f>IF(AND(E28=0,F28=0),"",IF((IFERROR(F28/E28,0))=0,"no coverage",F28/E28))</f>
        <v/>
      </c>
      <c r="I28" s="527"/>
      <c r="J28" s="338"/>
      <c r="K28" s="338"/>
      <c r="L28" s="338"/>
      <c r="M28" s="338"/>
      <c r="N28" s="338"/>
      <c r="O28" s="338"/>
      <c r="P28" s="550"/>
      <c r="Q28" s="288"/>
      <c r="R28" s="288"/>
      <c r="S28" s="564"/>
      <c r="T28" s="288"/>
      <c r="U28" s="288"/>
      <c r="V28" s="288"/>
      <c r="W28" s="288"/>
      <c r="CD28" s="375" t="str">
        <f t="shared" si="2"/>
        <v>Nam Kham</v>
      </c>
      <c r="CE28" s="337" t="e">
        <f>C23-Shelter_Draw[[#This Row],[V2]]-Shelter_Draw[[#This Row],[V3]]</f>
        <v>#REF!</v>
      </c>
      <c r="CF28" s="337" t="e">
        <f>#REF!</f>
        <v>#REF!</v>
      </c>
      <c r="CG28" s="337" t="e">
        <f>H23-#REF!</f>
        <v>#REF!</v>
      </c>
    </row>
    <row r="29" spans="1:85" s="375" customFormat="1" ht="12.75" customHeight="1" x14ac:dyDescent="0.25">
      <c r="A29" s="549"/>
      <c r="B29" s="523" t="s">
        <v>309</v>
      </c>
      <c r="C29" s="524">
        <f>GETPIVOTDATA("HH",'IDP location Analysis'!$B$9,"Township","Waingmaw")</f>
        <v>4858</v>
      </c>
      <c r="D29" s="525">
        <f>GETPIVOTDATA("Individuals",'IDP location Analysis'!$B$9,"Township","Waingmaw")</f>
        <v>25155</v>
      </c>
      <c r="E29" s="525">
        <f>'Shelter Gap Analysis'!H166+'Shelter Gap Analysis'!J166+'Shelter Gap Analysis'!K166</f>
        <v>672</v>
      </c>
      <c r="F29" s="526">
        <f>'Shelter Gap Analysis'!M166+'Shelter Gap Analysis'!O166+'Shelter Gap Analysis'!P166</f>
        <v>86</v>
      </c>
      <c r="G29" s="524">
        <f>E29-F29</f>
        <v>586</v>
      </c>
      <c r="H29" s="527">
        <f>IF(AND(E29=0,F29=0),"",IF((IFERROR(F29/E29,0))=0,"no coverage",F29/E29))</f>
        <v>0.12797619047619047</v>
      </c>
      <c r="I29" s="527"/>
      <c r="J29" s="338"/>
      <c r="K29" s="338"/>
      <c r="L29" s="338"/>
      <c r="M29" s="338"/>
      <c r="N29" s="338"/>
      <c r="O29" s="338"/>
      <c r="P29" s="550"/>
      <c r="Q29" s="288"/>
      <c r="R29" s="288"/>
      <c r="S29" s="288"/>
      <c r="T29" s="288"/>
      <c r="U29" s="288"/>
      <c r="V29" s="288"/>
      <c r="W29" s="288"/>
      <c r="CD29" s="375" t="str">
        <f t="shared" si="2"/>
        <v>Namtu</v>
      </c>
      <c r="CE29" s="337">
        <f>C24-Shelter_Draw[[#This Row],[V2]]-Shelter_Draw[[#This Row],[V3]]</f>
        <v>161.23489932885906</v>
      </c>
      <c r="CF29" s="337">
        <f>J31</f>
        <v>0</v>
      </c>
      <c r="CG29" s="337">
        <f>H24-J31</f>
        <v>0.7651006711409396</v>
      </c>
    </row>
    <row r="30" spans="1:85" s="375" customFormat="1" ht="12.75" customHeight="1" x14ac:dyDescent="0.25">
      <c r="A30" s="549"/>
      <c r="B30" s="530" t="s">
        <v>3</v>
      </c>
      <c r="C30" s="531">
        <f>SUM(C10:C29)</f>
        <v>19702</v>
      </c>
      <c r="D30" s="532">
        <f>SUM(D10:D29)</f>
        <v>100264</v>
      </c>
      <c r="E30" s="532">
        <f>SUM(E10:E29)</f>
        <v>4910</v>
      </c>
      <c r="F30" s="533">
        <f>SUM(F10:F29)</f>
        <v>1779</v>
      </c>
      <c r="G30" s="531">
        <f>SUM(G10:G29)</f>
        <v>3131</v>
      </c>
      <c r="H30" s="534">
        <f>IF(AND(E30=0,F30=0),"",IF((IFERROR(F30/E30,0))=0,"no coverage",F30/E30))</f>
        <v>0.36232179226069244</v>
      </c>
      <c r="I30" s="534"/>
      <c r="J30" s="338"/>
      <c r="K30" s="338"/>
      <c r="L30" s="338"/>
      <c r="M30" s="338"/>
      <c r="N30" s="338"/>
      <c r="O30" s="338"/>
      <c r="P30" s="550"/>
      <c r="Q30" s="288"/>
      <c r="R30" s="288"/>
      <c r="S30" s="288"/>
      <c r="T30" s="288"/>
      <c r="U30" s="288"/>
      <c r="V30" s="288"/>
      <c r="W30" s="288"/>
      <c r="CD30" s="375" t="str">
        <f>B23</f>
        <v>Nam Kham</v>
      </c>
      <c r="CE30" s="337">
        <f>C23-Shelter_Draw[[#This Row],[V2]]-Shelter_Draw[[#This Row],[V3]]</f>
        <v>290</v>
      </c>
      <c r="CF30" s="337">
        <f>H23</f>
        <v>0.14388489208633093</v>
      </c>
      <c r="CG30" s="337">
        <f>G23-H23</f>
        <v>118.85611510791367</v>
      </c>
    </row>
    <row r="31" spans="1:85" s="375" customFormat="1" ht="15" customHeight="1" thickBot="1" x14ac:dyDescent="0.3">
      <c r="A31" s="549"/>
      <c r="B31" s="378" t="s">
        <v>1391</v>
      </c>
      <c r="C31" s="191"/>
      <c r="D31" s="191"/>
      <c r="E31" s="191"/>
      <c r="F31" s="191"/>
      <c r="G31" s="191"/>
      <c r="H31" s="204"/>
      <c r="I31" s="204"/>
      <c r="J31" s="338"/>
      <c r="K31" s="338"/>
      <c r="L31" s="338"/>
      <c r="M31" s="338"/>
      <c r="N31" s="338"/>
      <c r="O31" s="338"/>
      <c r="P31" s="550"/>
      <c r="Q31" s="288"/>
      <c r="R31" s="288"/>
      <c r="S31" s="288"/>
      <c r="T31" s="288"/>
      <c r="U31" s="288"/>
      <c r="V31" s="288"/>
      <c r="W31" s="288"/>
      <c r="CD31" s="375" t="str">
        <f>B26</f>
        <v>Shwe Gu</v>
      </c>
      <c r="CE31" s="337" t="e">
        <f>C26-Shelter_Draw[[#This Row],[V2]]-Shelter_Draw[[#This Row],[V3]]</f>
        <v>#VALUE!</v>
      </c>
      <c r="CF31" s="337">
        <f t="shared" si="5"/>
        <v>0</v>
      </c>
      <c r="CG31" s="337" t="e">
        <f>H26-J33</f>
        <v>#VALUE!</v>
      </c>
    </row>
    <row r="32" spans="1:85" s="375" customFormat="1" ht="9.75" customHeight="1" x14ac:dyDescent="0.25">
      <c r="A32" s="549"/>
      <c r="B32" s="789" t="s">
        <v>1615</v>
      </c>
      <c r="C32" s="790"/>
      <c r="D32" s="790"/>
      <c r="E32" s="790"/>
      <c r="F32" s="790"/>
      <c r="G32" s="790"/>
      <c r="H32" s="791"/>
      <c r="I32" s="539"/>
      <c r="J32" s="338"/>
      <c r="K32" s="338"/>
      <c r="L32" s="338"/>
      <c r="M32" s="338"/>
      <c r="N32" s="338"/>
      <c r="O32" s="338"/>
      <c r="P32" s="550"/>
      <c r="Q32" s="288"/>
      <c r="R32" s="288"/>
      <c r="S32" s="288"/>
      <c r="T32" s="288"/>
      <c r="U32" s="288"/>
      <c r="V32" s="288"/>
      <c r="W32" s="288"/>
      <c r="CD32" s="375" t="str">
        <f>B27</f>
        <v>Sumbrabum</v>
      </c>
      <c r="CE32" s="337" t="e">
        <f>C27-Shelter_Draw[[#This Row],[V2]]-Shelter_Draw[[#This Row],[V3]]</f>
        <v>#VALUE!</v>
      </c>
      <c r="CF32" s="337">
        <f t="shared" si="5"/>
        <v>0</v>
      </c>
      <c r="CG32" s="337" t="e">
        <f>H27-J34</f>
        <v>#VALUE!</v>
      </c>
    </row>
    <row r="33" spans="1:23" s="375" customFormat="1" ht="12.75" customHeight="1" thickBot="1" x14ac:dyDescent="0.3">
      <c r="A33" s="549"/>
      <c r="B33" s="792"/>
      <c r="C33" s="793"/>
      <c r="D33" s="793"/>
      <c r="E33" s="793"/>
      <c r="F33" s="793"/>
      <c r="G33" s="793"/>
      <c r="H33" s="794"/>
      <c r="I33" s="539"/>
      <c r="J33" s="338"/>
      <c r="K33" s="338"/>
      <c r="L33" s="338"/>
      <c r="M33" s="338"/>
      <c r="N33" s="338"/>
      <c r="O33" s="338"/>
      <c r="P33" s="550"/>
      <c r="Q33" s="288"/>
      <c r="R33" s="288"/>
      <c r="S33" s="288"/>
      <c r="T33" s="288"/>
      <c r="U33" s="288"/>
      <c r="V33" s="288"/>
      <c r="W33" s="288"/>
    </row>
    <row r="34" spans="1:23" s="375" customFormat="1" ht="12.75" customHeight="1" x14ac:dyDescent="0.25">
      <c r="A34" s="549"/>
      <c r="B34" s="557" t="s">
        <v>1308</v>
      </c>
      <c r="C34" s="558"/>
      <c r="D34" s="540" t="s">
        <v>1392</v>
      </c>
      <c r="E34" s="191"/>
      <c r="F34" s="561" t="s">
        <v>1308</v>
      </c>
      <c r="G34" s="558"/>
      <c r="H34" s="556" t="s">
        <v>1392</v>
      </c>
      <c r="I34" s="540"/>
      <c r="J34" s="338"/>
      <c r="K34" s="338"/>
      <c r="L34" s="338"/>
      <c r="M34" s="338"/>
      <c r="N34" s="338"/>
      <c r="O34" s="338"/>
      <c r="P34" s="550"/>
      <c r="Q34" s="288"/>
      <c r="R34" s="288"/>
      <c r="S34" s="288"/>
      <c r="T34" s="288"/>
      <c r="U34" s="288"/>
      <c r="V34" s="288"/>
      <c r="W34" s="288"/>
    </row>
    <row r="35" spans="1:23" s="375" customFormat="1" ht="12" customHeight="1" x14ac:dyDescent="0.25">
      <c r="A35" s="549"/>
      <c r="B35" s="269" t="s">
        <v>420</v>
      </c>
      <c r="C35" s="559"/>
      <c r="D35" s="703">
        <v>641</v>
      </c>
      <c r="E35" s="191"/>
      <c r="F35" s="269" t="s">
        <v>1268</v>
      </c>
      <c r="G35" s="559"/>
      <c r="H35" s="702">
        <v>100</v>
      </c>
      <c r="I35" s="477"/>
      <c r="J35" s="338"/>
      <c r="K35" s="338"/>
      <c r="L35" s="338"/>
      <c r="M35" s="338"/>
      <c r="N35" s="338"/>
      <c r="O35" s="338"/>
      <c r="P35" s="550"/>
      <c r="Q35" s="288"/>
      <c r="R35" s="288"/>
      <c r="S35" s="288"/>
      <c r="T35" s="288"/>
      <c r="U35" s="288"/>
      <c r="V35" s="288"/>
      <c r="W35" s="288"/>
    </row>
    <row r="36" spans="1:23" ht="12" customHeight="1" x14ac:dyDescent="0.25">
      <c r="A36" s="548"/>
      <c r="B36" s="269" t="s">
        <v>1805</v>
      </c>
      <c r="C36" s="559"/>
      <c r="D36" s="703">
        <v>136</v>
      </c>
      <c r="F36" s="269" t="s">
        <v>779</v>
      </c>
      <c r="G36" s="559"/>
      <c r="H36" s="702">
        <v>122</v>
      </c>
      <c r="J36" s="204"/>
      <c r="K36" s="204"/>
      <c r="L36" s="204"/>
      <c r="M36" s="204"/>
      <c r="N36" s="204"/>
      <c r="O36" s="204"/>
      <c r="P36" s="459"/>
      <c r="W36" s="288"/>
    </row>
    <row r="37" spans="1:23" ht="12" customHeight="1" x14ac:dyDescent="0.25">
      <c r="A37" s="548"/>
      <c r="B37" s="269" t="s">
        <v>424</v>
      </c>
      <c r="C37" s="559"/>
      <c r="D37" s="703">
        <v>231</v>
      </c>
      <c r="F37" s="269" t="s">
        <v>1482</v>
      </c>
      <c r="G37" s="559"/>
      <c r="H37" s="702">
        <v>21</v>
      </c>
      <c r="I37" s="477"/>
      <c r="J37" s="204"/>
      <c r="K37" s="204"/>
      <c r="L37" s="204"/>
      <c r="M37" s="204"/>
      <c r="N37" s="204"/>
      <c r="O37" s="204"/>
      <c r="P37" s="543"/>
    </row>
    <row r="38" spans="1:23" ht="12" customHeight="1" x14ac:dyDescent="0.25">
      <c r="A38" s="548"/>
      <c r="B38" s="269"/>
      <c r="C38" s="559"/>
      <c r="D38" s="703"/>
      <c r="F38" s="269" t="s">
        <v>1592</v>
      </c>
      <c r="G38" s="559"/>
      <c r="H38" s="459">
        <v>528</v>
      </c>
      <c r="J38" s="204"/>
      <c r="K38" s="204"/>
      <c r="L38" s="204"/>
      <c r="M38" s="204"/>
      <c r="N38" s="204"/>
      <c r="O38" s="204"/>
      <c r="P38" s="543"/>
    </row>
    <row r="39" spans="1:23" ht="12.75" customHeight="1" x14ac:dyDescent="0.25">
      <c r="A39" s="548"/>
      <c r="B39" s="458"/>
      <c r="C39" s="559"/>
      <c r="D39" s="477"/>
      <c r="F39" s="269"/>
      <c r="G39" s="559"/>
      <c r="H39" s="459"/>
      <c r="J39" s="204"/>
      <c r="K39" s="204"/>
      <c r="L39" s="204"/>
      <c r="M39" s="204"/>
      <c r="N39" s="204"/>
      <c r="O39" s="204"/>
      <c r="P39" s="543"/>
    </row>
    <row r="40" spans="1:23" ht="12.75" customHeight="1" thickBot="1" x14ac:dyDescent="0.3">
      <c r="A40" s="548"/>
      <c r="B40" s="536"/>
      <c r="C40" s="560"/>
      <c r="D40" s="538"/>
      <c r="E40" s="538"/>
      <c r="F40" s="562"/>
      <c r="G40" s="560"/>
      <c r="H40" s="537"/>
      <c r="J40" s="204"/>
      <c r="K40" s="204"/>
      <c r="L40" s="204"/>
      <c r="M40" s="204"/>
      <c r="N40" s="204"/>
      <c r="O40" s="204"/>
      <c r="P40" s="543"/>
    </row>
    <row r="41" spans="1:23" ht="12.75" customHeight="1" x14ac:dyDescent="0.25">
      <c r="A41" s="548"/>
      <c r="B41" s="552"/>
      <c r="D41" s="477"/>
      <c r="J41" s="204"/>
      <c r="K41" s="204"/>
      <c r="L41" s="204"/>
      <c r="M41" s="204"/>
      <c r="N41" s="204"/>
      <c r="O41" s="204"/>
      <c r="P41" s="543"/>
    </row>
    <row r="42" spans="1:23" ht="46.5" customHeight="1" x14ac:dyDescent="0.25">
      <c r="B42" s="553"/>
      <c r="C42" s="554"/>
      <c r="D42" s="554"/>
      <c r="E42" s="554"/>
      <c r="F42" s="554"/>
      <c r="G42" s="554"/>
      <c r="H42" s="554"/>
      <c r="I42" s="554"/>
      <c r="J42" s="554"/>
      <c r="K42" s="554"/>
      <c r="L42" s="554"/>
      <c r="M42" s="554"/>
      <c r="N42" s="554"/>
      <c r="O42" s="555"/>
      <c r="P42" s="543"/>
    </row>
    <row r="43" spans="1:23" ht="10.5" customHeight="1" thickBot="1" x14ac:dyDescent="0.3">
      <c r="A43" s="536"/>
      <c r="B43" s="538"/>
      <c r="C43" s="538"/>
      <c r="D43" s="538"/>
      <c r="E43" s="538"/>
      <c r="F43" s="538"/>
      <c r="G43" s="538"/>
      <c r="H43" s="538"/>
      <c r="I43" s="538"/>
      <c r="J43" s="538"/>
      <c r="K43" s="538"/>
      <c r="L43" s="538"/>
      <c r="M43" s="538"/>
      <c r="N43" s="538"/>
      <c r="O43" s="538"/>
      <c r="P43" s="551"/>
    </row>
    <row r="44" spans="1:23" ht="18" customHeight="1" x14ac:dyDescent="0.25"/>
    <row r="45" spans="1:23" ht="30.75" customHeight="1" x14ac:dyDescent="0.25"/>
  </sheetData>
  <dataConsolidate link="1"/>
  <mergeCells count="3">
    <mergeCell ref="B3:J3"/>
    <mergeCell ref="B32:H33"/>
    <mergeCell ref="B2:K2"/>
  </mergeCells>
  <conditionalFormatting sqref="H29:I30 H13:I27 H28 H10:H12 I5:I12">
    <cfRule type="containsText" dxfId="566" priority="2" operator="containsText" text="no coverage">
      <formula>NOT(ISERROR(SEARCH("no coverage",H5)))</formula>
    </cfRule>
  </conditionalFormatting>
  <conditionalFormatting sqref="I28">
    <cfRule type="containsText" dxfId="565"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41"/>
  <sheetViews>
    <sheetView showGridLines="0" workbookViewId="0">
      <pane ySplit="3" topLeftCell="A4" activePane="bottomLeft" state="frozen"/>
      <selection pane="bottomLeft" activeCell="C11" sqref="C11"/>
    </sheetView>
  </sheetViews>
  <sheetFormatPr defaultColWidth="5" defaultRowHeight="51.75" customHeight="1" x14ac:dyDescent="0.25"/>
  <cols>
    <col min="1" max="1" width="1.7109375" style="184" customWidth="1"/>
    <col min="2" max="6" width="12.28515625" style="184" customWidth="1"/>
    <col min="7" max="54" width="5.42578125" style="184" customWidth="1"/>
    <col min="55" max="55" width="6" style="184" bestFit="1" customWidth="1"/>
    <col min="56" max="66" width="5.42578125" style="184" customWidth="1"/>
    <col min="67" max="67" width="17.42578125" style="184" customWidth="1"/>
    <col min="68" max="16384" width="5" style="184"/>
  </cols>
  <sheetData>
    <row r="1" spans="2:69" ht="41.45" customHeight="1" thickBot="1" x14ac:dyDescent="0.3">
      <c r="B1" s="797" t="s">
        <v>1469</v>
      </c>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797"/>
      <c r="AK1" s="797"/>
      <c r="AL1" s="797"/>
      <c r="AM1" s="797"/>
      <c r="AN1" s="797"/>
      <c r="AO1" s="797"/>
      <c r="AP1" s="797"/>
      <c r="AQ1" s="797"/>
      <c r="AR1" s="797"/>
      <c r="AS1" s="797"/>
      <c r="AT1" s="797"/>
      <c r="AU1" s="797"/>
      <c r="AV1" s="797"/>
      <c r="AW1" s="797"/>
      <c r="AX1" s="797"/>
      <c r="AY1" s="797"/>
      <c r="AZ1" s="797"/>
      <c r="BA1" s="797"/>
      <c r="BB1" s="797"/>
      <c r="BC1" s="797"/>
      <c r="BD1" s="797"/>
      <c r="BE1" s="797"/>
      <c r="BF1" s="797"/>
      <c r="BG1" s="797"/>
      <c r="BH1" s="797"/>
      <c r="BI1" s="797"/>
      <c r="BJ1" s="797"/>
      <c r="BK1" s="797"/>
      <c r="BL1" s="797"/>
      <c r="BM1" s="797"/>
      <c r="BN1" s="798"/>
    </row>
    <row r="2" spans="2:69" s="607" customFormat="1" ht="28.9" customHeight="1" thickBot="1" x14ac:dyDescent="0.3">
      <c r="B2" s="799" t="s">
        <v>405</v>
      </c>
      <c r="C2" s="801" t="s">
        <v>420</v>
      </c>
      <c r="D2" s="803" t="s">
        <v>409</v>
      </c>
      <c r="E2" s="805" t="s">
        <v>392</v>
      </c>
      <c r="F2" s="807" t="s">
        <v>0</v>
      </c>
      <c r="G2" s="808" t="s">
        <v>1470</v>
      </c>
      <c r="H2" s="808"/>
      <c r="I2" s="808"/>
      <c r="J2" s="809" t="s">
        <v>400</v>
      </c>
      <c r="K2" s="808"/>
      <c r="L2" s="810"/>
      <c r="M2" s="811" t="s">
        <v>1801</v>
      </c>
      <c r="N2" s="812"/>
      <c r="O2" s="813"/>
      <c r="P2" s="809" t="s">
        <v>1616</v>
      </c>
      <c r="Q2" s="808"/>
      <c r="R2" s="810"/>
      <c r="S2" s="809" t="s">
        <v>401</v>
      </c>
      <c r="T2" s="808"/>
      <c r="U2" s="810"/>
      <c r="V2" s="811" t="s">
        <v>402</v>
      </c>
      <c r="W2" s="812"/>
      <c r="X2" s="813"/>
      <c r="Y2" s="812" t="s">
        <v>403</v>
      </c>
      <c r="Z2" s="812"/>
      <c r="AA2" s="812"/>
      <c r="AB2" s="809" t="s">
        <v>415</v>
      </c>
      <c r="AC2" s="808"/>
      <c r="AD2" s="808"/>
      <c r="AE2" s="809" t="s">
        <v>416</v>
      </c>
      <c r="AF2" s="808"/>
      <c r="AG2" s="808"/>
      <c r="AH2" s="809" t="s">
        <v>1471</v>
      </c>
      <c r="AI2" s="808"/>
      <c r="AJ2" s="808"/>
      <c r="AK2" s="809" t="s">
        <v>525</v>
      </c>
      <c r="AL2" s="808"/>
      <c r="AM2" s="810"/>
      <c r="AN2" s="809" t="s">
        <v>1474</v>
      </c>
      <c r="AO2" s="808"/>
      <c r="AP2" s="810"/>
      <c r="AQ2" s="809" t="s">
        <v>526</v>
      </c>
      <c r="AR2" s="808"/>
      <c r="AS2" s="810"/>
      <c r="AT2" s="808" t="s">
        <v>1090</v>
      </c>
      <c r="AU2" s="808"/>
      <c r="AV2" s="808"/>
      <c r="AW2" s="809" t="s">
        <v>1472</v>
      </c>
      <c r="AX2" s="808"/>
      <c r="AY2" s="810"/>
      <c r="AZ2" s="809" t="s">
        <v>1473</v>
      </c>
      <c r="BA2" s="808"/>
      <c r="BB2" s="810"/>
      <c r="BC2" s="809" t="s">
        <v>852</v>
      </c>
      <c r="BD2" s="808"/>
      <c r="BE2" s="808"/>
      <c r="BF2" s="809" t="s">
        <v>856</v>
      </c>
      <c r="BG2" s="808"/>
      <c r="BH2" s="808"/>
      <c r="BI2" s="809" t="s">
        <v>860</v>
      </c>
      <c r="BJ2" s="808"/>
      <c r="BK2" s="808"/>
      <c r="BL2" s="809" t="s">
        <v>949</v>
      </c>
      <c r="BM2" s="808"/>
      <c r="BN2" s="808"/>
      <c r="BO2" s="743" t="s">
        <v>1802</v>
      </c>
      <c r="BP2" s="741"/>
      <c r="BQ2" s="741"/>
    </row>
    <row r="3" spans="2:69" s="607" customFormat="1" ht="72.75" x14ac:dyDescent="0.25">
      <c r="B3" s="800"/>
      <c r="C3" s="802"/>
      <c r="D3" s="804"/>
      <c r="E3" s="806"/>
      <c r="F3" s="802"/>
      <c r="G3" s="486" t="s">
        <v>404</v>
      </c>
      <c r="H3" s="487" t="s">
        <v>406</v>
      </c>
      <c r="I3" s="488" t="s">
        <v>407</v>
      </c>
      <c r="J3" s="486" t="s">
        <v>404</v>
      </c>
      <c r="K3" s="487" t="s">
        <v>406</v>
      </c>
      <c r="L3" s="568" t="s">
        <v>407</v>
      </c>
      <c r="M3" s="486" t="s">
        <v>404</v>
      </c>
      <c r="N3" s="487" t="s">
        <v>406</v>
      </c>
      <c r="O3" s="568" t="s">
        <v>407</v>
      </c>
      <c r="P3" s="570" t="s">
        <v>404</v>
      </c>
      <c r="Q3" s="570" t="s">
        <v>406</v>
      </c>
      <c r="R3" s="570" t="s">
        <v>407</v>
      </c>
      <c r="S3" s="569" t="s">
        <v>404</v>
      </c>
      <c r="T3" s="487" t="s">
        <v>406</v>
      </c>
      <c r="U3" s="488" t="s">
        <v>407</v>
      </c>
      <c r="V3" s="486" t="s">
        <v>404</v>
      </c>
      <c r="W3" s="487" t="s">
        <v>406</v>
      </c>
      <c r="X3" s="488" t="s">
        <v>407</v>
      </c>
      <c r="Y3" s="486" t="s">
        <v>404</v>
      </c>
      <c r="Z3" s="487" t="s">
        <v>406</v>
      </c>
      <c r="AA3" s="488" t="s">
        <v>407</v>
      </c>
      <c r="AB3" s="486" t="s">
        <v>404</v>
      </c>
      <c r="AC3" s="487" t="s">
        <v>406</v>
      </c>
      <c r="AD3" s="488" t="s">
        <v>407</v>
      </c>
      <c r="AE3" s="486" t="s">
        <v>404</v>
      </c>
      <c r="AF3" s="487" t="s">
        <v>406</v>
      </c>
      <c r="AG3" s="488" t="s">
        <v>407</v>
      </c>
      <c r="AH3" s="486" t="s">
        <v>404</v>
      </c>
      <c r="AI3" s="487" t="s">
        <v>406</v>
      </c>
      <c r="AJ3" s="488" t="s">
        <v>407</v>
      </c>
      <c r="AK3" s="489" t="s">
        <v>404</v>
      </c>
      <c r="AL3" s="490" t="s">
        <v>406</v>
      </c>
      <c r="AM3" s="491" t="s">
        <v>407</v>
      </c>
      <c r="AN3" s="489" t="s">
        <v>404</v>
      </c>
      <c r="AO3" s="490" t="s">
        <v>406</v>
      </c>
      <c r="AP3" s="491" t="s">
        <v>407</v>
      </c>
      <c r="AQ3" s="489" t="s">
        <v>404</v>
      </c>
      <c r="AR3" s="490" t="s">
        <v>406</v>
      </c>
      <c r="AS3" s="491" t="s">
        <v>407</v>
      </c>
      <c r="AT3" s="489" t="s">
        <v>404</v>
      </c>
      <c r="AU3" s="490" t="s">
        <v>406</v>
      </c>
      <c r="AV3" s="491" t="s">
        <v>407</v>
      </c>
      <c r="AW3" s="489" t="s">
        <v>404</v>
      </c>
      <c r="AX3" s="490" t="s">
        <v>406</v>
      </c>
      <c r="AY3" s="491" t="s">
        <v>407</v>
      </c>
      <c r="AZ3" s="489" t="s">
        <v>404</v>
      </c>
      <c r="BA3" s="490" t="s">
        <v>406</v>
      </c>
      <c r="BB3" s="740" t="s">
        <v>407</v>
      </c>
      <c r="BC3" s="740" t="s">
        <v>404</v>
      </c>
      <c r="BD3" s="490" t="s">
        <v>406</v>
      </c>
      <c r="BE3" s="491" t="s">
        <v>407</v>
      </c>
      <c r="BF3" s="489" t="s">
        <v>404</v>
      </c>
      <c r="BG3" s="490" t="s">
        <v>406</v>
      </c>
      <c r="BH3" s="491" t="s">
        <v>407</v>
      </c>
      <c r="BI3" s="489" t="s">
        <v>404</v>
      </c>
      <c r="BJ3" s="490" t="s">
        <v>406</v>
      </c>
      <c r="BK3" s="491" t="s">
        <v>407</v>
      </c>
      <c r="BL3" s="489" t="s">
        <v>404</v>
      </c>
      <c r="BM3" s="490" t="s">
        <v>406</v>
      </c>
      <c r="BN3" s="739" t="s">
        <v>407</v>
      </c>
      <c r="BO3" s="744"/>
    </row>
    <row r="4" spans="2:69" s="185" customFormat="1" ht="15" x14ac:dyDescent="0.25">
      <c r="B4" s="609">
        <v>43008</v>
      </c>
      <c r="C4" s="608" t="s">
        <v>826</v>
      </c>
      <c r="D4" s="608"/>
      <c r="E4" s="608" t="s">
        <v>378</v>
      </c>
      <c r="F4" s="608" t="s">
        <v>237</v>
      </c>
      <c r="G4" s="608">
        <v>500</v>
      </c>
      <c r="H4" s="608"/>
      <c r="I4" s="608"/>
      <c r="J4" s="608"/>
      <c r="K4" s="608"/>
      <c r="L4" s="608"/>
      <c r="M4" s="608"/>
      <c r="N4" s="608"/>
      <c r="O4" s="608"/>
      <c r="P4" s="608"/>
      <c r="Q4" s="608"/>
      <c r="R4" s="608"/>
      <c r="S4" s="608">
        <v>500</v>
      </c>
      <c r="T4" s="608"/>
      <c r="U4" s="608"/>
      <c r="V4" s="608"/>
      <c r="W4" s="608"/>
      <c r="X4" s="608"/>
      <c r="Y4" s="608">
        <v>500</v>
      </c>
      <c r="Z4" s="608"/>
      <c r="AA4" s="608"/>
      <c r="AB4" s="608"/>
      <c r="AC4" s="608"/>
      <c r="AD4" s="608"/>
      <c r="AE4" s="608">
        <v>500</v>
      </c>
      <c r="AF4" s="608"/>
      <c r="AG4" s="608"/>
      <c r="AH4" s="608"/>
      <c r="AI4" s="608"/>
      <c r="AJ4" s="608"/>
      <c r="AK4" s="608">
        <v>500</v>
      </c>
      <c r="AL4" s="608"/>
      <c r="AM4" s="608"/>
      <c r="AN4" s="608"/>
      <c r="AO4" s="608"/>
      <c r="AP4" s="608"/>
      <c r="AQ4" s="608"/>
      <c r="AR4" s="608"/>
      <c r="AS4" s="608"/>
      <c r="AT4" s="608"/>
      <c r="AU4" s="608"/>
      <c r="AV4" s="608"/>
      <c r="AW4" s="608">
        <v>500</v>
      </c>
      <c r="AX4" s="608"/>
      <c r="AY4" s="608"/>
      <c r="AZ4" s="608"/>
      <c r="BA4" s="608"/>
      <c r="BB4" s="608"/>
      <c r="BC4" s="608"/>
      <c r="BD4" s="608"/>
      <c r="BE4" s="608"/>
      <c r="BF4" s="608"/>
      <c r="BG4" s="608"/>
      <c r="BH4" s="608"/>
      <c r="BI4" s="608"/>
      <c r="BJ4" s="608"/>
      <c r="BK4" s="608"/>
      <c r="BL4" s="608"/>
      <c r="BM4" s="608"/>
      <c r="BN4" s="610"/>
      <c r="BO4" s="608"/>
    </row>
    <row r="5" spans="2:69" s="185" customFormat="1" ht="15" x14ac:dyDescent="0.25">
      <c r="B5" s="609">
        <v>42978</v>
      </c>
      <c r="C5" s="608" t="s">
        <v>774</v>
      </c>
      <c r="D5" s="608"/>
      <c r="E5" s="608" t="s">
        <v>378</v>
      </c>
      <c r="F5" s="608" t="s">
        <v>237</v>
      </c>
      <c r="G5" s="608"/>
      <c r="H5" s="608"/>
      <c r="I5" s="608"/>
      <c r="J5" s="608">
        <v>1000</v>
      </c>
      <c r="K5" s="608"/>
      <c r="L5" s="608"/>
      <c r="M5" s="608"/>
      <c r="N5" s="608"/>
      <c r="O5" s="608"/>
      <c r="P5" s="608"/>
      <c r="Q5" s="608"/>
      <c r="R5" s="608"/>
      <c r="S5" s="608"/>
      <c r="T5" s="608"/>
      <c r="U5" s="608"/>
      <c r="V5" s="608">
        <v>1000</v>
      </c>
      <c r="W5" s="608"/>
      <c r="X5" s="608"/>
      <c r="Y5" s="608"/>
      <c r="Z5" s="608"/>
      <c r="AA5" s="608"/>
      <c r="AB5" s="608">
        <v>1000</v>
      </c>
      <c r="AC5" s="608"/>
      <c r="AD5" s="608"/>
      <c r="AE5" s="608">
        <v>1000</v>
      </c>
      <c r="AF5" s="608"/>
      <c r="AG5" s="608"/>
      <c r="AH5" s="608"/>
      <c r="AI5" s="608"/>
      <c r="AJ5" s="608"/>
      <c r="AK5" s="608">
        <v>1000</v>
      </c>
      <c r="AL5" s="608"/>
      <c r="AM5" s="608"/>
      <c r="AN5" s="608"/>
      <c r="AO5" s="608"/>
      <c r="AP5" s="608"/>
      <c r="AQ5" s="608">
        <v>1000</v>
      </c>
      <c r="AR5" s="608"/>
      <c r="AS5" s="608"/>
      <c r="AT5" s="608"/>
      <c r="AU5" s="608"/>
      <c r="AV5" s="608"/>
      <c r="AW5" s="608"/>
      <c r="AX5" s="608"/>
      <c r="AY5" s="608"/>
      <c r="AZ5" s="608"/>
      <c r="BA5" s="608"/>
      <c r="BB5" s="608"/>
      <c r="BC5" s="608"/>
      <c r="BD5" s="608"/>
      <c r="BE5" s="608"/>
      <c r="BF5" s="608"/>
      <c r="BG5" s="608"/>
      <c r="BH5" s="608"/>
      <c r="BI5" s="608"/>
      <c r="BJ5" s="608"/>
      <c r="BK5" s="608"/>
      <c r="BL5" s="608"/>
      <c r="BM5" s="608"/>
      <c r="BN5" s="610"/>
      <c r="BO5" s="608"/>
    </row>
    <row r="6" spans="2:69" s="185" customFormat="1" ht="15" x14ac:dyDescent="0.25">
      <c r="B6" s="609" t="s">
        <v>1800</v>
      </c>
      <c r="C6" s="608" t="s">
        <v>420</v>
      </c>
      <c r="D6" s="608" t="s">
        <v>424</v>
      </c>
      <c r="E6" s="608" t="s">
        <v>378</v>
      </c>
      <c r="F6" s="608" t="s">
        <v>237</v>
      </c>
      <c r="G6" s="608"/>
      <c r="H6" s="608"/>
      <c r="I6" s="608"/>
      <c r="J6" s="186">
        <v>6</v>
      </c>
      <c r="K6" s="608"/>
      <c r="L6" s="608"/>
      <c r="M6" s="608"/>
      <c r="N6" s="608"/>
      <c r="O6" s="608"/>
      <c r="P6" s="608"/>
      <c r="Q6" s="608"/>
      <c r="R6" s="608"/>
      <c r="S6" s="608"/>
      <c r="T6" s="608"/>
      <c r="U6" s="608"/>
      <c r="V6" s="608">
        <v>412</v>
      </c>
      <c r="W6" s="608"/>
      <c r="X6" s="608"/>
      <c r="Y6" s="608"/>
      <c r="Z6" s="608"/>
      <c r="AA6" s="608"/>
      <c r="AB6" s="608">
        <v>7</v>
      </c>
      <c r="AC6" s="608"/>
      <c r="AD6" s="608"/>
      <c r="AE6" s="608">
        <v>67</v>
      </c>
      <c r="AF6" s="608"/>
      <c r="AG6" s="608"/>
      <c r="AH6" s="608"/>
      <c r="AI6" s="608"/>
      <c r="AJ6" s="608"/>
      <c r="AK6" s="608">
        <v>24</v>
      </c>
      <c r="AL6" s="608"/>
      <c r="AM6" s="608"/>
      <c r="AN6" s="608">
        <v>1</v>
      </c>
      <c r="AO6" s="608"/>
      <c r="AP6" s="608"/>
      <c r="AQ6" s="608">
        <v>6</v>
      </c>
      <c r="AR6" s="608"/>
      <c r="AS6" s="608"/>
      <c r="AT6" s="608"/>
      <c r="AU6" s="608"/>
      <c r="AV6" s="608"/>
      <c r="AW6" s="608"/>
      <c r="AX6" s="608"/>
      <c r="AY6" s="608"/>
      <c r="AZ6" s="608"/>
      <c r="BA6" s="608"/>
      <c r="BB6" s="608"/>
      <c r="BC6" s="608"/>
      <c r="BD6" s="608"/>
      <c r="BE6" s="608"/>
      <c r="BF6" s="608"/>
      <c r="BG6" s="608"/>
      <c r="BH6" s="608"/>
      <c r="BI6" s="608"/>
      <c r="BJ6" s="608"/>
      <c r="BK6" s="608"/>
      <c r="BL6" s="608"/>
      <c r="BM6" s="608"/>
      <c r="BN6" s="610"/>
      <c r="BO6" s="608"/>
    </row>
    <row r="7" spans="2:69" s="185" customFormat="1" ht="15" x14ac:dyDescent="0.25">
      <c r="B7" s="609" t="s">
        <v>1803</v>
      </c>
      <c r="C7" s="608" t="s">
        <v>420</v>
      </c>
      <c r="D7" s="608" t="s">
        <v>424</v>
      </c>
      <c r="E7" s="608" t="s">
        <v>506</v>
      </c>
      <c r="F7" s="608" t="s">
        <v>230</v>
      </c>
      <c r="G7" s="608"/>
      <c r="H7" s="608"/>
      <c r="I7" s="608"/>
      <c r="J7" s="608">
        <v>156</v>
      </c>
      <c r="K7" s="608"/>
      <c r="L7" s="608"/>
      <c r="M7" s="608"/>
      <c r="N7" s="608"/>
      <c r="O7" s="608"/>
      <c r="P7" s="608"/>
      <c r="Q7" s="608"/>
      <c r="R7" s="608"/>
      <c r="S7" s="608"/>
      <c r="T7" s="608"/>
      <c r="U7" s="608"/>
      <c r="V7" s="608">
        <v>508</v>
      </c>
      <c r="W7" s="608"/>
      <c r="X7" s="608"/>
      <c r="Y7" s="608">
        <v>19</v>
      </c>
      <c r="Z7" s="608"/>
      <c r="AA7" s="608"/>
      <c r="AB7" s="608">
        <v>564</v>
      </c>
      <c r="AC7" s="608"/>
      <c r="AD7" s="608"/>
      <c r="AE7" s="608">
        <v>32</v>
      </c>
      <c r="AF7" s="608"/>
      <c r="AG7" s="608"/>
      <c r="AH7" s="608"/>
      <c r="AI7" s="608"/>
      <c r="AJ7" s="608"/>
      <c r="AK7" s="608">
        <v>181</v>
      </c>
      <c r="AL7" s="608"/>
      <c r="AM7" s="608"/>
      <c r="AN7" s="608">
        <v>15</v>
      </c>
      <c r="AO7" s="608"/>
      <c r="AP7" s="608"/>
      <c r="AQ7" s="608">
        <v>655</v>
      </c>
      <c r="AR7" s="608"/>
      <c r="AS7" s="608"/>
      <c r="AT7" s="608">
        <v>16</v>
      </c>
      <c r="AU7" s="608"/>
      <c r="AV7" s="608"/>
      <c r="AW7" s="608"/>
      <c r="AX7" s="608" t="s">
        <v>541</v>
      </c>
      <c r="AY7" s="608"/>
      <c r="AZ7" s="608"/>
      <c r="BA7" s="608"/>
      <c r="BB7" s="608"/>
      <c r="BC7" s="608"/>
      <c r="BD7" s="608"/>
      <c r="BE7" s="608"/>
      <c r="BF7" s="608">
        <v>456</v>
      </c>
      <c r="BG7" s="608"/>
      <c r="BH7" s="608"/>
      <c r="BI7" s="608"/>
      <c r="BJ7" s="608"/>
      <c r="BK7" s="608"/>
      <c r="BL7" s="608"/>
      <c r="BM7" s="608"/>
      <c r="BN7" s="610"/>
      <c r="BO7" s="608"/>
    </row>
    <row r="8" spans="2:69" s="185" customFormat="1" ht="15" x14ac:dyDescent="0.25">
      <c r="B8" s="609" t="s">
        <v>1804</v>
      </c>
      <c r="C8" s="608" t="s">
        <v>420</v>
      </c>
      <c r="D8" s="608" t="s">
        <v>424</v>
      </c>
      <c r="E8" s="608" t="s">
        <v>506</v>
      </c>
      <c r="F8" s="608" t="s">
        <v>146</v>
      </c>
      <c r="G8" s="608"/>
      <c r="H8" s="608"/>
      <c r="I8" s="608"/>
      <c r="J8" s="608">
        <v>20</v>
      </c>
      <c r="K8" s="608"/>
      <c r="L8" s="608"/>
      <c r="M8" s="608"/>
      <c r="N8" s="608"/>
      <c r="O8" s="608"/>
      <c r="P8" s="608"/>
      <c r="Q8" s="608"/>
      <c r="R8" s="608"/>
      <c r="S8" s="608">
        <v>32</v>
      </c>
      <c r="T8" s="608"/>
      <c r="U8" s="608"/>
      <c r="V8" s="608">
        <v>32</v>
      </c>
      <c r="W8" s="608"/>
      <c r="X8" s="608"/>
      <c r="Y8" s="608">
        <v>1</v>
      </c>
      <c r="Z8" s="608"/>
      <c r="AA8" s="608"/>
      <c r="AB8" s="608">
        <v>366</v>
      </c>
      <c r="AC8" s="608"/>
      <c r="AD8" s="608"/>
      <c r="AE8" s="608">
        <v>17</v>
      </c>
      <c r="AF8" s="608"/>
      <c r="AG8" s="608"/>
      <c r="AH8" s="608"/>
      <c r="AI8" s="608"/>
      <c r="AJ8" s="608"/>
      <c r="AK8" s="608">
        <v>52</v>
      </c>
      <c r="AL8" s="608"/>
      <c r="AM8" s="608"/>
      <c r="AN8" s="608">
        <v>15</v>
      </c>
      <c r="AO8" s="608"/>
      <c r="AP8" s="608"/>
      <c r="AQ8" s="608">
        <v>606</v>
      </c>
      <c r="AR8" s="608"/>
      <c r="AS8" s="608"/>
      <c r="AT8" s="608">
        <v>7</v>
      </c>
      <c r="AU8" s="608"/>
      <c r="AV8" s="608"/>
      <c r="AW8" s="608"/>
      <c r="AX8" s="608"/>
      <c r="AY8" s="608"/>
      <c r="AZ8" s="608"/>
      <c r="BA8" s="608"/>
      <c r="BB8" s="608"/>
      <c r="BC8" s="608"/>
      <c r="BD8" s="608"/>
      <c r="BE8" s="608"/>
      <c r="BF8" s="608"/>
      <c r="BG8" s="608"/>
      <c r="BH8" s="608"/>
      <c r="BI8" s="608"/>
      <c r="BJ8" s="608"/>
      <c r="BK8" s="608"/>
      <c r="BL8" s="608"/>
      <c r="BM8" s="608"/>
      <c r="BN8" s="610"/>
      <c r="BO8" s="608"/>
    </row>
    <row r="9" spans="2:69" s="185" customFormat="1" ht="15" x14ac:dyDescent="0.25">
      <c r="B9" s="609" t="s">
        <v>1800</v>
      </c>
      <c r="C9" s="608" t="s">
        <v>420</v>
      </c>
      <c r="D9" s="608" t="s">
        <v>420</v>
      </c>
      <c r="E9" s="608" t="s">
        <v>378</v>
      </c>
      <c r="F9" s="608" t="s">
        <v>237</v>
      </c>
      <c r="G9" s="608"/>
      <c r="H9" s="608"/>
      <c r="I9" s="608"/>
      <c r="J9" s="608">
        <v>561</v>
      </c>
      <c r="K9" s="608"/>
      <c r="L9" s="608"/>
      <c r="M9" s="608"/>
      <c r="N9" s="608"/>
      <c r="O9" s="608"/>
      <c r="P9" s="608"/>
      <c r="Q9" s="608"/>
      <c r="R9" s="608"/>
      <c r="S9" s="608">
        <v>54</v>
      </c>
      <c r="T9" s="608"/>
      <c r="U9" s="608"/>
      <c r="V9" s="608">
        <v>657</v>
      </c>
      <c r="W9" s="608"/>
      <c r="X9" s="608"/>
      <c r="Y9" s="608">
        <v>586</v>
      </c>
      <c r="Z9" s="608"/>
      <c r="AA9" s="608"/>
      <c r="AB9" s="608">
        <v>1051</v>
      </c>
      <c r="AC9" s="608"/>
      <c r="AD9" s="608"/>
      <c r="AE9" s="608">
        <v>643</v>
      </c>
      <c r="AF9" s="608"/>
      <c r="AG9" s="608"/>
      <c r="AH9" s="608"/>
      <c r="AI9" s="608"/>
      <c r="AJ9" s="608"/>
      <c r="AK9" s="608">
        <v>240</v>
      </c>
      <c r="AL9" s="608"/>
      <c r="AM9" s="608"/>
      <c r="AN9" s="608">
        <v>212</v>
      </c>
      <c r="AO9" s="608"/>
      <c r="AP9" s="608"/>
      <c r="AQ9" s="608">
        <v>1992</v>
      </c>
      <c r="AR9" s="608"/>
      <c r="AS9" s="608"/>
      <c r="AT9" s="608">
        <v>68</v>
      </c>
      <c r="AU9" s="608"/>
      <c r="AV9" s="608"/>
      <c r="AW9" s="608"/>
      <c r="AX9" s="608"/>
      <c r="AY9" s="608"/>
      <c r="AZ9" s="608"/>
      <c r="BA9" s="608"/>
      <c r="BB9" s="608"/>
      <c r="BC9" s="608">
        <v>3373</v>
      </c>
      <c r="BD9" s="608"/>
      <c r="BE9" s="608"/>
      <c r="BF9" s="608">
        <v>666</v>
      </c>
      <c r="BG9" s="608"/>
      <c r="BH9" s="608"/>
      <c r="BI9" s="608"/>
      <c r="BJ9" s="608"/>
      <c r="BK9" s="608"/>
      <c r="BL9" s="608"/>
      <c r="BM9" s="608"/>
      <c r="BN9" s="610"/>
      <c r="BO9" s="608"/>
    </row>
    <row r="10" spans="2:69" s="185" customFormat="1" ht="15" x14ac:dyDescent="0.25">
      <c r="B10" s="609" t="s">
        <v>1800</v>
      </c>
      <c r="C10" s="611" t="s">
        <v>420</v>
      </c>
      <c r="D10" s="611" t="s">
        <v>420</v>
      </c>
      <c r="E10" s="611" t="s">
        <v>378</v>
      </c>
      <c r="F10" s="611" t="s">
        <v>5</v>
      </c>
      <c r="G10" s="611"/>
      <c r="H10" s="611"/>
      <c r="I10" s="611"/>
      <c r="J10" s="611">
        <v>754</v>
      </c>
      <c r="K10" s="608"/>
      <c r="L10" s="608"/>
      <c r="M10" s="608"/>
      <c r="N10" s="608"/>
      <c r="O10" s="608"/>
      <c r="P10" s="608"/>
      <c r="Q10" s="608"/>
      <c r="R10" s="608"/>
      <c r="S10" s="608">
        <v>35</v>
      </c>
      <c r="T10" s="608"/>
      <c r="U10" s="608"/>
      <c r="V10" s="608">
        <v>800</v>
      </c>
      <c r="W10" s="608"/>
      <c r="X10" s="608"/>
      <c r="Y10" s="608">
        <v>532</v>
      </c>
      <c r="Z10" s="608"/>
      <c r="AA10" s="608"/>
      <c r="AB10" s="608">
        <v>4910</v>
      </c>
      <c r="AC10" s="608"/>
      <c r="AD10" s="608"/>
      <c r="AE10" s="608">
        <v>117</v>
      </c>
      <c r="AF10" s="608"/>
      <c r="AG10" s="608"/>
      <c r="AH10" s="608"/>
      <c r="AI10" s="608"/>
      <c r="AJ10" s="608"/>
      <c r="AK10" s="608">
        <v>380</v>
      </c>
      <c r="AL10" s="608"/>
      <c r="AM10" s="608"/>
      <c r="AN10" s="608">
        <v>1046</v>
      </c>
      <c r="AO10" s="608"/>
      <c r="AP10" s="608"/>
      <c r="AQ10" s="608">
        <v>1200</v>
      </c>
      <c r="AR10" s="608"/>
      <c r="AS10" s="608"/>
      <c r="AT10" s="608">
        <v>50</v>
      </c>
      <c r="AU10" s="608"/>
      <c r="AV10" s="608"/>
      <c r="AW10" s="608"/>
      <c r="AX10" s="608"/>
      <c r="AY10" s="608"/>
      <c r="AZ10" s="608"/>
      <c r="BA10" s="608"/>
      <c r="BB10" s="608"/>
      <c r="BC10" s="608">
        <v>1808</v>
      </c>
      <c r="BD10" s="608"/>
      <c r="BE10" s="608"/>
      <c r="BF10" s="608">
        <v>5981</v>
      </c>
      <c r="BG10" s="608"/>
      <c r="BH10" s="608"/>
      <c r="BI10" s="608"/>
      <c r="BJ10" s="608"/>
      <c r="BK10" s="608"/>
      <c r="BL10" s="608"/>
      <c r="BM10" s="608"/>
      <c r="BN10" s="610"/>
      <c r="BO10" s="608"/>
    </row>
    <row r="11" spans="2:69" s="185" customFormat="1" ht="15" x14ac:dyDescent="0.25">
      <c r="B11" s="609">
        <v>43109</v>
      </c>
      <c r="C11" s="608" t="s">
        <v>1583</v>
      </c>
      <c r="D11" s="608"/>
      <c r="E11" s="608" t="s">
        <v>506</v>
      </c>
      <c r="F11" s="608" t="s">
        <v>717</v>
      </c>
      <c r="G11" s="608">
        <v>646</v>
      </c>
      <c r="H11" s="608"/>
      <c r="I11" s="608"/>
      <c r="J11" s="608">
        <v>204</v>
      </c>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10"/>
      <c r="BO11" s="608"/>
    </row>
    <row r="12" spans="2:69" s="185" customFormat="1" ht="15" x14ac:dyDescent="0.25">
      <c r="B12" s="609">
        <v>43109</v>
      </c>
      <c r="C12" s="608" t="s">
        <v>1583</v>
      </c>
      <c r="D12" s="608"/>
      <c r="E12" s="608" t="s">
        <v>506</v>
      </c>
      <c r="F12" s="608" t="s">
        <v>288</v>
      </c>
      <c r="G12" s="608">
        <v>71</v>
      </c>
      <c r="H12" s="608"/>
      <c r="I12" s="608"/>
      <c r="J12" s="608">
        <v>146</v>
      </c>
      <c r="K12" s="608"/>
      <c r="L12" s="608"/>
      <c r="M12" s="608"/>
      <c r="N12" s="608"/>
      <c r="O12" s="608"/>
      <c r="P12" s="608"/>
      <c r="Q12" s="608"/>
      <c r="R12" s="608"/>
      <c r="S12" s="608"/>
      <c r="T12" s="608"/>
      <c r="U12" s="608"/>
      <c r="V12" s="608"/>
      <c r="W12" s="608"/>
      <c r="X12" s="608"/>
      <c r="Y12" s="608">
        <v>82</v>
      </c>
      <c r="Z12" s="608"/>
      <c r="AA12" s="608"/>
      <c r="AB12" s="608"/>
      <c r="AC12" s="608"/>
      <c r="AD12" s="608"/>
      <c r="AE12" s="608"/>
      <c r="AF12" s="608"/>
      <c r="AG12" s="608"/>
      <c r="AH12" s="608"/>
      <c r="AI12" s="608"/>
      <c r="AJ12" s="608"/>
      <c r="AK12" s="608">
        <v>85</v>
      </c>
      <c r="AL12" s="608"/>
      <c r="AM12" s="608"/>
      <c r="AN12" s="608">
        <v>4</v>
      </c>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10"/>
      <c r="BO12" s="608"/>
    </row>
    <row r="13" spans="2:69" s="185" customFormat="1" ht="16.5" customHeight="1" x14ac:dyDescent="0.25">
      <c r="B13" s="609">
        <v>43117</v>
      </c>
      <c r="C13" s="612" t="s">
        <v>1596</v>
      </c>
      <c r="D13" s="608"/>
      <c r="E13" s="608" t="s">
        <v>506</v>
      </c>
      <c r="F13" s="608" t="s">
        <v>717</v>
      </c>
      <c r="G13" s="608">
        <v>226</v>
      </c>
      <c r="H13" s="608"/>
      <c r="I13" s="608"/>
      <c r="J13" s="608">
        <v>176</v>
      </c>
      <c r="K13" s="608"/>
      <c r="L13" s="608"/>
      <c r="M13" s="608"/>
      <c r="N13" s="608"/>
      <c r="O13" s="608"/>
      <c r="P13" s="608"/>
      <c r="Q13" s="608"/>
      <c r="R13" s="608"/>
      <c r="S13" s="608">
        <v>46</v>
      </c>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c r="AT13" s="608">
        <v>288</v>
      </c>
      <c r="AU13" s="608"/>
      <c r="AV13" s="608"/>
      <c r="AW13" s="608"/>
      <c r="AX13" s="608"/>
      <c r="AY13" s="608"/>
      <c r="AZ13" s="608">
        <v>477</v>
      </c>
      <c r="BA13" s="608"/>
      <c r="BB13" s="608"/>
      <c r="BC13" s="608"/>
      <c r="BD13" s="608"/>
      <c r="BE13" s="608"/>
      <c r="BF13" s="608"/>
      <c r="BG13" s="608"/>
      <c r="BH13" s="608"/>
      <c r="BI13" s="608"/>
      <c r="BJ13" s="608"/>
      <c r="BK13" s="608"/>
      <c r="BL13" s="608"/>
      <c r="BM13" s="608"/>
      <c r="BN13" s="610"/>
      <c r="BO13" s="608"/>
    </row>
    <row r="14" spans="2:69" s="185" customFormat="1" ht="15" x14ac:dyDescent="0.25">
      <c r="B14" s="13" t="s">
        <v>1617</v>
      </c>
      <c r="C14" s="612" t="s">
        <v>1618</v>
      </c>
      <c r="D14" s="608"/>
      <c r="E14" s="608" t="s">
        <v>506</v>
      </c>
      <c r="F14" s="608" t="s">
        <v>717</v>
      </c>
      <c r="G14" s="608">
        <v>369</v>
      </c>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10"/>
      <c r="BO14" s="608"/>
    </row>
    <row r="15" spans="2:69" s="185" customFormat="1" ht="15" x14ac:dyDescent="0.25">
      <c r="B15" s="13" t="s">
        <v>1617</v>
      </c>
      <c r="C15" s="612" t="s">
        <v>1618</v>
      </c>
      <c r="D15" s="608"/>
      <c r="E15" s="608" t="s">
        <v>506</v>
      </c>
      <c r="F15" s="608" t="s">
        <v>717</v>
      </c>
      <c r="G15" s="608">
        <v>190</v>
      </c>
      <c r="H15" s="608"/>
      <c r="I15" s="60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10"/>
      <c r="BO15" s="608"/>
    </row>
    <row r="16" spans="2:69" s="185" customFormat="1" ht="15" x14ac:dyDescent="0.25">
      <c r="B16" s="13" t="s">
        <v>1617</v>
      </c>
      <c r="C16" s="612" t="s">
        <v>1618</v>
      </c>
      <c r="D16" s="608"/>
      <c r="E16" s="608" t="s">
        <v>506</v>
      </c>
      <c r="F16" s="608" t="s">
        <v>230</v>
      </c>
      <c r="G16" s="608">
        <v>48</v>
      </c>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10"/>
      <c r="BO16" s="608"/>
    </row>
    <row r="17" spans="2:67" s="185" customFormat="1" ht="15" x14ac:dyDescent="0.25">
      <c r="B17" s="609" t="s">
        <v>1800</v>
      </c>
      <c r="C17" s="611" t="s">
        <v>1393</v>
      </c>
      <c r="D17" s="608"/>
      <c r="E17" s="611" t="s">
        <v>378</v>
      </c>
      <c r="F17" s="611" t="s">
        <v>5</v>
      </c>
      <c r="G17" s="608">
        <v>200</v>
      </c>
      <c r="H17" s="608">
        <v>0</v>
      </c>
      <c r="I17" s="608"/>
      <c r="J17" s="608"/>
      <c r="K17" s="608"/>
      <c r="L17" s="608"/>
      <c r="M17" s="608">
        <v>200</v>
      </c>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608"/>
      <c r="AS17" s="608"/>
      <c r="AT17" s="608"/>
      <c r="AU17" s="608"/>
      <c r="AV17" s="608"/>
      <c r="AW17" s="608">
        <v>200</v>
      </c>
      <c r="AX17" s="608"/>
      <c r="AY17" s="608"/>
      <c r="AZ17" s="608">
        <v>50</v>
      </c>
      <c r="BA17" s="608"/>
      <c r="BB17" s="608"/>
      <c r="BC17" s="608"/>
      <c r="BD17" s="608"/>
      <c r="BE17" s="608"/>
      <c r="BF17" s="608"/>
      <c r="BG17" s="608"/>
      <c r="BH17" s="608"/>
      <c r="BI17" s="608"/>
      <c r="BJ17" s="608"/>
      <c r="BK17" s="608"/>
      <c r="BL17" s="608"/>
      <c r="BM17" s="608"/>
      <c r="BN17" s="610"/>
      <c r="BO17" s="608"/>
    </row>
    <row r="18" spans="2:67" ht="15" x14ac:dyDescent="0.25">
      <c r="B18" s="735">
        <v>43216</v>
      </c>
      <c r="C18" s="614" t="s">
        <v>1268</v>
      </c>
      <c r="D18" s="614"/>
      <c r="E18" s="614" t="s">
        <v>378</v>
      </c>
      <c r="F18" s="614" t="s">
        <v>5</v>
      </c>
      <c r="G18" s="614">
        <v>87</v>
      </c>
      <c r="H18" s="614"/>
      <c r="I18" s="614"/>
      <c r="J18" s="614"/>
      <c r="K18" s="614"/>
      <c r="L18" s="614"/>
      <c r="M18" s="614"/>
      <c r="N18" s="614"/>
      <c r="O18" s="614"/>
      <c r="P18" s="614"/>
      <c r="Q18" s="614"/>
      <c r="R18" s="614"/>
      <c r="S18" s="614">
        <v>150</v>
      </c>
      <c r="T18" s="614"/>
      <c r="U18" s="614"/>
      <c r="V18" s="614">
        <v>110</v>
      </c>
      <c r="W18" s="614"/>
      <c r="X18" s="614"/>
      <c r="Y18" s="614">
        <v>247</v>
      </c>
      <c r="Z18" s="614"/>
      <c r="AA18" s="614"/>
      <c r="AB18" s="614">
        <v>34</v>
      </c>
      <c r="AC18" s="614"/>
      <c r="AD18" s="614"/>
      <c r="AE18" s="614">
        <v>72</v>
      </c>
      <c r="AF18" s="614"/>
      <c r="AG18" s="614"/>
      <c r="AH18" s="614"/>
      <c r="AI18" s="614"/>
      <c r="AJ18" s="614"/>
      <c r="AK18" s="614"/>
      <c r="AL18" s="614"/>
      <c r="AM18" s="614"/>
      <c r="AN18" s="614"/>
      <c r="AO18" s="614"/>
      <c r="AP18" s="614"/>
      <c r="AQ18" s="614">
        <v>134</v>
      </c>
      <c r="AR18" s="614"/>
      <c r="AS18" s="614"/>
      <c r="AT18" s="614"/>
      <c r="AU18" s="614"/>
      <c r="AV18" s="614"/>
      <c r="AW18" s="614"/>
      <c r="AX18" s="614"/>
      <c r="AY18" s="614"/>
      <c r="AZ18" s="614"/>
      <c r="BA18" s="614"/>
      <c r="BB18" s="614"/>
      <c r="BC18" s="614">
        <v>9</v>
      </c>
      <c r="BD18" s="614"/>
      <c r="BE18" s="614"/>
      <c r="BF18" s="614">
        <v>9</v>
      </c>
      <c r="BG18" s="614"/>
      <c r="BH18" s="614"/>
      <c r="BI18" s="614">
        <v>80</v>
      </c>
      <c r="BJ18" s="614"/>
      <c r="BK18" s="614"/>
      <c r="BL18" s="614">
        <v>78</v>
      </c>
      <c r="BM18" s="614"/>
      <c r="BN18" s="615"/>
      <c r="BO18" s="614"/>
    </row>
    <row r="19" spans="2:67" s="185" customFormat="1" ht="15" x14ac:dyDescent="0.25">
      <c r="B19" s="736">
        <v>43214</v>
      </c>
      <c r="C19" s="506" t="s">
        <v>1268</v>
      </c>
      <c r="D19" s="506"/>
      <c r="E19" s="506" t="s">
        <v>506</v>
      </c>
      <c r="F19" s="506" t="s">
        <v>717</v>
      </c>
      <c r="G19" s="608"/>
      <c r="H19" s="608"/>
      <c r="I19" s="608"/>
      <c r="J19" s="608"/>
      <c r="K19" s="608"/>
      <c r="L19" s="608"/>
      <c r="M19" s="608"/>
      <c r="N19" s="608"/>
      <c r="O19" s="608"/>
      <c r="P19" s="608"/>
      <c r="Q19" s="608"/>
      <c r="R19" s="608"/>
      <c r="S19" s="608"/>
      <c r="T19" s="608"/>
      <c r="U19" s="608"/>
      <c r="V19" s="608"/>
      <c r="W19" s="608"/>
      <c r="X19" s="608"/>
      <c r="Y19" s="608">
        <v>40</v>
      </c>
      <c r="Z19" s="608"/>
      <c r="AA19" s="608"/>
      <c r="AB19" s="608"/>
      <c r="AC19" s="608"/>
      <c r="AD19" s="608"/>
      <c r="AE19" s="608"/>
      <c r="AF19" s="608"/>
      <c r="AG19" s="608"/>
      <c r="AH19" s="608"/>
      <c r="AI19" s="608"/>
      <c r="AJ19" s="608"/>
      <c r="AK19" s="608"/>
      <c r="AL19" s="608"/>
      <c r="AM19" s="608"/>
      <c r="AN19" s="608"/>
      <c r="AO19" s="608"/>
      <c r="AP19" s="608"/>
      <c r="AQ19" s="608">
        <v>285</v>
      </c>
      <c r="AR19" s="608"/>
      <c r="AS19" s="608"/>
      <c r="AT19" s="608"/>
      <c r="AU19" s="608"/>
      <c r="AV19" s="608"/>
      <c r="AW19" s="608"/>
      <c r="AX19" s="608"/>
      <c r="AY19" s="608"/>
      <c r="AZ19" s="608"/>
      <c r="BA19" s="608"/>
      <c r="BB19" s="608"/>
      <c r="BC19" s="608"/>
      <c r="BD19" s="608"/>
      <c r="BE19" s="608"/>
      <c r="BF19" s="608"/>
      <c r="BG19" s="608"/>
      <c r="BH19" s="608"/>
      <c r="BI19" s="608">
        <v>285</v>
      </c>
      <c r="BJ19" s="608"/>
      <c r="BK19" s="608"/>
      <c r="BL19" s="608">
        <v>285</v>
      </c>
      <c r="BM19" s="608"/>
      <c r="BN19" s="610"/>
      <c r="BO19" s="608"/>
    </row>
    <row r="20" spans="2:67" ht="15" x14ac:dyDescent="0.25">
      <c r="B20" s="505" t="s">
        <v>1538</v>
      </c>
      <c r="C20" s="614"/>
      <c r="D20" s="614"/>
      <c r="E20" s="614"/>
      <c r="F20" s="614"/>
      <c r="G20" s="506">
        <f t="shared" ref="G20:L20" si="0">SUM(G4:G17)</f>
        <v>2250</v>
      </c>
      <c r="H20" s="506">
        <f t="shared" si="0"/>
        <v>0</v>
      </c>
      <c r="I20" s="506">
        <f t="shared" si="0"/>
        <v>0</v>
      </c>
      <c r="J20" s="506">
        <f t="shared" si="0"/>
        <v>3023</v>
      </c>
      <c r="K20" s="506">
        <f t="shared" si="0"/>
        <v>0</v>
      </c>
      <c r="L20" s="506">
        <f t="shared" si="0"/>
        <v>0</v>
      </c>
      <c r="M20" s="506"/>
      <c r="N20" s="506"/>
      <c r="O20" s="506"/>
      <c r="P20" s="506">
        <f t="shared" ref="P20:AU20" si="1">SUM(P4:P17)</f>
        <v>0</v>
      </c>
      <c r="Q20" s="506">
        <f t="shared" si="1"/>
        <v>0</v>
      </c>
      <c r="R20" s="506">
        <f t="shared" si="1"/>
        <v>0</v>
      </c>
      <c r="S20" s="506">
        <f t="shared" si="1"/>
        <v>667</v>
      </c>
      <c r="T20" s="506">
        <f t="shared" si="1"/>
        <v>0</v>
      </c>
      <c r="U20" s="506">
        <f t="shared" si="1"/>
        <v>0</v>
      </c>
      <c r="V20" s="506">
        <f t="shared" si="1"/>
        <v>3409</v>
      </c>
      <c r="W20" s="506">
        <f t="shared" si="1"/>
        <v>0</v>
      </c>
      <c r="X20" s="506">
        <f t="shared" si="1"/>
        <v>0</v>
      </c>
      <c r="Y20" s="506">
        <f t="shared" si="1"/>
        <v>1720</v>
      </c>
      <c r="Z20" s="506">
        <f t="shared" si="1"/>
        <v>0</v>
      </c>
      <c r="AA20" s="506">
        <f t="shared" si="1"/>
        <v>0</v>
      </c>
      <c r="AB20" s="506">
        <f t="shared" si="1"/>
        <v>7898</v>
      </c>
      <c r="AC20" s="506">
        <f t="shared" si="1"/>
        <v>0</v>
      </c>
      <c r="AD20" s="506">
        <f t="shared" si="1"/>
        <v>0</v>
      </c>
      <c r="AE20" s="506">
        <f t="shared" si="1"/>
        <v>2376</v>
      </c>
      <c r="AF20" s="506">
        <f t="shared" si="1"/>
        <v>0</v>
      </c>
      <c r="AG20" s="506">
        <f t="shared" si="1"/>
        <v>0</v>
      </c>
      <c r="AH20" s="506">
        <f t="shared" si="1"/>
        <v>0</v>
      </c>
      <c r="AI20" s="506">
        <f t="shared" si="1"/>
        <v>0</v>
      </c>
      <c r="AJ20" s="506">
        <f t="shared" si="1"/>
        <v>0</v>
      </c>
      <c r="AK20" s="506">
        <f t="shared" si="1"/>
        <v>2462</v>
      </c>
      <c r="AL20" s="506">
        <f t="shared" si="1"/>
        <v>0</v>
      </c>
      <c r="AM20" s="506">
        <f t="shared" si="1"/>
        <v>0</v>
      </c>
      <c r="AN20" s="506">
        <f t="shared" si="1"/>
        <v>1293</v>
      </c>
      <c r="AO20" s="506">
        <f t="shared" si="1"/>
        <v>0</v>
      </c>
      <c r="AP20" s="506">
        <f t="shared" si="1"/>
        <v>0</v>
      </c>
      <c r="AQ20" s="506">
        <f t="shared" si="1"/>
        <v>5459</v>
      </c>
      <c r="AR20" s="506">
        <f t="shared" si="1"/>
        <v>0</v>
      </c>
      <c r="AS20" s="506">
        <f t="shared" si="1"/>
        <v>0</v>
      </c>
      <c r="AT20" s="506">
        <f t="shared" si="1"/>
        <v>429</v>
      </c>
      <c r="AU20" s="506">
        <f t="shared" si="1"/>
        <v>0</v>
      </c>
      <c r="AV20" s="506">
        <f t="shared" ref="AV20:BN20" si="2">SUM(AV4:AV17)</f>
        <v>0</v>
      </c>
      <c r="AW20" s="506">
        <f t="shared" si="2"/>
        <v>700</v>
      </c>
      <c r="AX20" s="506">
        <f t="shared" si="2"/>
        <v>0</v>
      </c>
      <c r="AY20" s="506">
        <f t="shared" si="2"/>
        <v>0</v>
      </c>
      <c r="AZ20" s="506">
        <f t="shared" si="2"/>
        <v>527</v>
      </c>
      <c r="BA20" s="506">
        <f t="shared" si="2"/>
        <v>0</v>
      </c>
      <c r="BB20" s="506">
        <f t="shared" si="2"/>
        <v>0</v>
      </c>
      <c r="BC20" s="506">
        <f t="shared" si="2"/>
        <v>5181</v>
      </c>
      <c r="BD20" s="506">
        <f t="shared" si="2"/>
        <v>0</v>
      </c>
      <c r="BE20" s="506">
        <f t="shared" si="2"/>
        <v>0</v>
      </c>
      <c r="BF20" s="506">
        <f t="shared" si="2"/>
        <v>7103</v>
      </c>
      <c r="BG20" s="506">
        <f t="shared" si="2"/>
        <v>0</v>
      </c>
      <c r="BH20" s="506">
        <f t="shared" si="2"/>
        <v>0</v>
      </c>
      <c r="BI20" s="506">
        <f t="shared" si="2"/>
        <v>0</v>
      </c>
      <c r="BJ20" s="506">
        <f t="shared" si="2"/>
        <v>0</v>
      </c>
      <c r="BK20" s="506">
        <f t="shared" si="2"/>
        <v>0</v>
      </c>
      <c r="BL20" s="506">
        <f t="shared" si="2"/>
        <v>0</v>
      </c>
      <c r="BM20" s="506">
        <f t="shared" si="2"/>
        <v>0</v>
      </c>
      <c r="BN20" s="742">
        <f t="shared" si="2"/>
        <v>0</v>
      </c>
      <c r="BO20" s="614"/>
    </row>
    <row r="21" spans="2:67" ht="15" x14ac:dyDescent="0.25">
      <c r="B21" s="613"/>
      <c r="C21" s="614"/>
      <c r="D21" s="614"/>
      <c r="E21" s="614"/>
      <c r="F21" s="614"/>
      <c r="G21" s="614"/>
      <c r="H21" s="614"/>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5"/>
      <c r="BO21" s="614"/>
    </row>
    <row r="22" spans="2:67" ht="15" x14ac:dyDescent="0.25">
      <c r="B22" s="613"/>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5"/>
      <c r="BO22" s="614"/>
    </row>
    <row r="23" spans="2:67" ht="15" x14ac:dyDescent="0.25">
      <c r="B23" s="613"/>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5"/>
      <c r="BO23" s="614"/>
    </row>
    <row r="24" spans="2:67" ht="15" x14ac:dyDescent="0.25">
      <c r="B24" s="613"/>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5"/>
      <c r="BO24" s="614"/>
    </row>
    <row r="25" spans="2:67" ht="15" x14ac:dyDescent="0.25">
      <c r="B25" s="613"/>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c r="AJ25" s="614"/>
      <c r="AK25" s="614"/>
      <c r="AL25" s="614"/>
      <c r="AM25" s="614"/>
      <c r="AN25" s="614"/>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5"/>
      <c r="BO25" s="614"/>
    </row>
    <row r="26" spans="2:67" ht="15" x14ac:dyDescent="0.25">
      <c r="B26" s="613"/>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5"/>
      <c r="BO26" s="614"/>
    </row>
    <row r="27" spans="2:67" ht="15" x14ac:dyDescent="0.25">
      <c r="B27" s="613"/>
      <c r="C27" s="614"/>
      <c r="D27" s="614"/>
      <c r="E27" s="614"/>
      <c r="F27" s="614"/>
      <c r="G27" s="614"/>
      <c r="H27" s="614"/>
      <c r="I27" s="614"/>
      <c r="J27" s="614"/>
      <c r="K27" s="614"/>
      <c r="L27" s="614"/>
      <c r="M27" s="614"/>
      <c r="N27" s="614"/>
      <c r="O27" s="614"/>
      <c r="P27" s="614"/>
      <c r="Q27" s="614"/>
      <c r="R27" s="614"/>
      <c r="S27" s="614"/>
      <c r="T27" s="614"/>
      <c r="U27" s="614"/>
      <c r="V27" s="614"/>
      <c r="W27" s="614"/>
      <c r="X27" s="614"/>
      <c r="Y27" s="614"/>
      <c r="Z27" s="614"/>
      <c r="AA27" s="614"/>
      <c r="AB27" s="614"/>
      <c r="AC27" s="614"/>
      <c r="AD27" s="614"/>
      <c r="AE27" s="614"/>
      <c r="AF27" s="614"/>
      <c r="AG27" s="614"/>
      <c r="AH27" s="614"/>
      <c r="AI27" s="614"/>
      <c r="AJ27" s="614"/>
      <c r="AK27" s="614"/>
      <c r="AL27" s="614"/>
      <c r="AM27" s="614"/>
      <c r="AN27" s="614"/>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5"/>
      <c r="BO27" s="614"/>
    </row>
    <row r="28" spans="2:67" ht="15" x14ac:dyDescent="0.25">
      <c r="B28" s="613"/>
      <c r="C28" s="614"/>
      <c r="D28" s="614"/>
      <c r="E28" s="614"/>
      <c r="F28" s="614"/>
      <c r="G28" s="614"/>
      <c r="H28" s="614"/>
      <c r="I28" s="614"/>
      <c r="J28" s="614"/>
      <c r="K28" s="614"/>
      <c r="L28" s="614"/>
      <c r="M28" s="614"/>
      <c r="N28" s="614"/>
      <c r="O28" s="614"/>
      <c r="P28" s="614"/>
      <c r="Q28" s="614"/>
      <c r="R28" s="614"/>
      <c r="S28" s="614"/>
      <c r="T28" s="614"/>
      <c r="U28" s="614"/>
      <c r="V28" s="614"/>
      <c r="W28" s="614"/>
      <c r="X28" s="614"/>
      <c r="Y28" s="614"/>
      <c r="Z28" s="614"/>
      <c r="AA28" s="614"/>
      <c r="AB28" s="614"/>
      <c r="AC28" s="614"/>
      <c r="AD28" s="614"/>
      <c r="AE28" s="614"/>
      <c r="AF28" s="614"/>
      <c r="AG28" s="614"/>
      <c r="AH28" s="614"/>
      <c r="AI28" s="614"/>
      <c r="AJ28" s="614"/>
      <c r="AK28" s="614"/>
      <c r="AL28" s="614"/>
      <c r="AM28" s="614"/>
      <c r="AN28" s="614"/>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5"/>
      <c r="BO28" s="614"/>
    </row>
    <row r="29" spans="2:67" ht="15" x14ac:dyDescent="0.25">
      <c r="B29" s="613"/>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614"/>
      <c r="AA29" s="614"/>
      <c r="AB29" s="614"/>
      <c r="AC29" s="614"/>
      <c r="AD29" s="614"/>
      <c r="AE29" s="614"/>
      <c r="AF29" s="614"/>
      <c r="AG29" s="614"/>
      <c r="AH29" s="614"/>
      <c r="AI29" s="614"/>
      <c r="AJ29" s="614"/>
      <c r="AK29" s="614"/>
      <c r="AL29" s="614"/>
      <c r="AM29" s="614"/>
      <c r="AN29" s="614"/>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5"/>
      <c r="BO29" s="614"/>
    </row>
    <row r="30" spans="2:67" ht="15" x14ac:dyDescent="0.25">
      <c r="B30" s="613"/>
      <c r="C30" s="614"/>
      <c r="D30" s="614"/>
      <c r="E30" s="614"/>
      <c r="F30" s="614"/>
      <c r="G30" s="614"/>
      <c r="H30" s="614"/>
      <c r="I30" s="614"/>
      <c r="J30" s="614"/>
      <c r="K30" s="614"/>
      <c r="L30" s="614"/>
      <c r="M30" s="614"/>
      <c r="N30" s="614"/>
      <c r="O30" s="614"/>
      <c r="P30" s="614"/>
      <c r="Q30" s="614"/>
      <c r="R30" s="614"/>
      <c r="S30" s="614"/>
      <c r="T30" s="614"/>
      <c r="U30" s="614"/>
      <c r="V30" s="614"/>
      <c r="W30" s="614"/>
      <c r="X30" s="614"/>
      <c r="Y30" s="614"/>
      <c r="Z30" s="614"/>
      <c r="AA30" s="614"/>
      <c r="AB30" s="614"/>
      <c r="AC30" s="614"/>
      <c r="AD30" s="614"/>
      <c r="AE30" s="614"/>
      <c r="AF30" s="614"/>
      <c r="AG30" s="614"/>
      <c r="AH30" s="614"/>
      <c r="AI30" s="614"/>
      <c r="AJ30" s="614"/>
      <c r="AK30" s="614"/>
      <c r="AL30" s="614"/>
      <c r="AM30" s="614"/>
      <c r="AN30" s="614"/>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5"/>
      <c r="BO30" s="614"/>
    </row>
    <row r="31" spans="2:67" ht="15" x14ac:dyDescent="0.25">
      <c r="B31" s="613"/>
      <c r="C31" s="614"/>
      <c r="D31" s="614"/>
      <c r="E31" s="614"/>
      <c r="F31" s="614"/>
      <c r="G31" s="614"/>
      <c r="H31" s="614"/>
      <c r="I31" s="614"/>
      <c r="J31" s="614"/>
      <c r="K31" s="614"/>
      <c r="L31" s="614"/>
      <c r="M31" s="614"/>
      <c r="N31" s="614"/>
      <c r="O31" s="614"/>
      <c r="P31" s="614"/>
      <c r="Q31" s="614"/>
      <c r="R31" s="614"/>
      <c r="S31" s="614"/>
      <c r="T31" s="614"/>
      <c r="U31" s="614"/>
      <c r="V31" s="614"/>
      <c r="W31" s="614"/>
      <c r="X31" s="614"/>
      <c r="Y31" s="614"/>
      <c r="Z31" s="614"/>
      <c r="AA31" s="614"/>
      <c r="AB31" s="614"/>
      <c r="AC31" s="614"/>
      <c r="AD31" s="614"/>
      <c r="AE31" s="614"/>
      <c r="AF31" s="614"/>
      <c r="AG31" s="614"/>
      <c r="AH31" s="614"/>
      <c r="AI31" s="614"/>
      <c r="AJ31" s="614"/>
      <c r="AK31" s="614"/>
      <c r="AL31" s="614"/>
      <c r="AM31" s="614"/>
      <c r="AN31" s="614"/>
      <c r="AO31" s="614"/>
      <c r="AP31" s="614"/>
      <c r="AQ31" s="614"/>
      <c r="AR31" s="614"/>
      <c r="AS31" s="614"/>
      <c r="AT31" s="614"/>
      <c r="AU31" s="614"/>
      <c r="AV31" s="614"/>
      <c r="AW31" s="614"/>
      <c r="AX31" s="614"/>
      <c r="AY31" s="614"/>
      <c r="AZ31" s="614"/>
      <c r="BA31" s="614"/>
      <c r="BB31" s="614"/>
      <c r="BC31" s="614"/>
      <c r="BD31" s="614"/>
      <c r="BE31" s="614"/>
      <c r="BF31" s="614"/>
      <c r="BG31" s="614"/>
      <c r="BH31" s="614"/>
      <c r="BI31" s="614"/>
      <c r="BJ31" s="614"/>
      <c r="BK31" s="614"/>
      <c r="BL31" s="614"/>
      <c r="BM31" s="614"/>
      <c r="BN31" s="615"/>
      <c r="BO31" s="614"/>
    </row>
    <row r="32" spans="2:67" ht="15" x14ac:dyDescent="0.25">
      <c r="B32" s="613"/>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5"/>
      <c r="BO32" s="614"/>
    </row>
    <row r="33" spans="2:67" ht="15" x14ac:dyDescent="0.25">
      <c r="B33" s="613"/>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5"/>
      <c r="BO33" s="614"/>
    </row>
    <row r="34" spans="2:67" ht="15" x14ac:dyDescent="0.25">
      <c r="B34" s="613"/>
      <c r="C34" s="614"/>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5"/>
      <c r="BO34" s="614"/>
    </row>
    <row r="35" spans="2:67" ht="15" x14ac:dyDescent="0.25">
      <c r="B35" s="613"/>
      <c r="C35" s="614"/>
      <c r="D35" s="614"/>
      <c r="E35" s="614"/>
      <c r="F35" s="614"/>
      <c r="G35" s="614"/>
      <c r="H35" s="614"/>
      <c r="I35" s="614"/>
      <c r="J35" s="614"/>
      <c r="K35" s="614"/>
      <c r="L35" s="614"/>
      <c r="M35" s="614"/>
      <c r="N35" s="614"/>
      <c r="O35" s="614"/>
      <c r="P35" s="614"/>
      <c r="Q35" s="614"/>
      <c r="R35" s="614"/>
      <c r="S35" s="614"/>
      <c r="T35" s="614"/>
      <c r="U35" s="614"/>
      <c r="V35" s="614"/>
      <c r="W35" s="614"/>
      <c r="X35" s="614"/>
      <c r="Y35" s="614"/>
      <c r="Z35" s="614"/>
      <c r="AA35" s="614"/>
      <c r="AB35" s="614"/>
      <c r="AC35" s="614"/>
      <c r="AD35" s="614"/>
      <c r="AE35" s="614"/>
      <c r="AF35" s="614"/>
      <c r="AG35" s="614"/>
      <c r="AH35" s="614"/>
      <c r="AI35" s="614"/>
      <c r="AJ35" s="614"/>
      <c r="AK35" s="614"/>
      <c r="AL35" s="614"/>
      <c r="AM35" s="614"/>
      <c r="AN35" s="614"/>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5"/>
      <c r="BO35" s="614"/>
    </row>
    <row r="36" spans="2:67" ht="15" x14ac:dyDescent="0.25">
      <c r="B36" s="613"/>
      <c r="C36" s="614"/>
      <c r="D36" s="614"/>
      <c r="E36" s="614"/>
      <c r="F36" s="614"/>
      <c r="G36" s="614"/>
      <c r="H36" s="614"/>
      <c r="I36" s="614"/>
      <c r="J36" s="614"/>
      <c r="K36" s="614"/>
      <c r="L36" s="614"/>
      <c r="M36" s="614"/>
      <c r="N36" s="614"/>
      <c r="O36" s="614"/>
      <c r="P36" s="614"/>
      <c r="Q36" s="614"/>
      <c r="R36" s="614"/>
      <c r="S36" s="614"/>
      <c r="T36" s="614"/>
      <c r="U36" s="614"/>
      <c r="V36" s="614"/>
      <c r="W36" s="614"/>
      <c r="X36" s="614"/>
      <c r="Y36" s="614"/>
      <c r="Z36" s="614"/>
      <c r="AA36" s="614"/>
      <c r="AB36" s="614"/>
      <c r="AC36" s="614"/>
      <c r="AD36" s="614"/>
      <c r="AE36" s="614"/>
      <c r="AF36" s="614"/>
      <c r="AG36" s="614"/>
      <c r="AH36" s="614"/>
      <c r="AI36" s="614"/>
      <c r="AJ36" s="614"/>
      <c r="AK36" s="614"/>
      <c r="AL36" s="614"/>
      <c r="AM36" s="614"/>
      <c r="AN36" s="614"/>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5"/>
      <c r="BO36" s="614"/>
    </row>
    <row r="37" spans="2:67" ht="15" x14ac:dyDescent="0.25">
      <c r="B37" s="613"/>
      <c r="C37" s="614"/>
      <c r="D37" s="614"/>
      <c r="E37" s="614"/>
      <c r="F37" s="614"/>
      <c r="G37" s="614"/>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c r="AH37" s="614"/>
      <c r="AI37" s="614"/>
      <c r="AJ37" s="614"/>
      <c r="AK37" s="614"/>
      <c r="AL37" s="614"/>
      <c r="AM37" s="614"/>
      <c r="AN37" s="614"/>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5"/>
      <c r="BO37" s="614"/>
    </row>
    <row r="38" spans="2:67" ht="15" x14ac:dyDescent="0.25">
      <c r="B38" s="613"/>
      <c r="C38" s="614"/>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5"/>
      <c r="BO38" s="614"/>
    </row>
    <row r="39" spans="2:67" ht="15" x14ac:dyDescent="0.25">
      <c r="B39" s="613"/>
      <c r="C39" s="614"/>
      <c r="D39" s="614"/>
      <c r="E39" s="614"/>
      <c r="F39" s="614"/>
      <c r="G39" s="614"/>
      <c r="H39" s="614"/>
      <c r="I39" s="614"/>
      <c r="J39" s="614"/>
      <c r="K39" s="614"/>
      <c r="L39" s="614"/>
      <c r="M39" s="614"/>
      <c r="N39" s="614"/>
      <c r="O39" s="614"/>
      <c r="P39" s="614"/>
      <c r="Q39" s="614"/>
      <c r="R39" s="614"/>
      <c r="S39" s="614"/>
      <c r="T39" s="614"/>
      <c r="U39" s="614"/>
      <c r="V39" s="614"/>
      <c r="W39" s="614"/>
      <c r="X39" s="614"/>
      <c r="Y39" s="614"/>
      <c r="Z39" s="614"/>
      <c r="AA39" s="614"/>
      <c r="AB39" s="614"/>
      <c r="AC39" s="614"/>
      <c r="AD39" s="614"/>
      <c r="AE39" s="614"/>
      <c r="AF39" s="614"/>
      <c r="AG39" s="614"/>
      <c r="AH39" s="614"/>
      <c r="AI39" s="614"/>
      <c r="AJ39" s="614"/>
      <c r="AK39" s="614"/>
      <c r="AL39" s="614"/>
      <c r="AM39" s="614"/>
      <c r="AN39" s="614"/>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5"/>
      <c r="BO39" s="614"/>
    </row>
    <row r="40" spans="2:67" ht="51.75" customHeight="1" x14ac:dyDescent="0.25">
      <c r="B40" s="613"/>
      <c r="C40" s="614"/>
      <c r="D40" s="614"/>
      <c r="E40" s="614"/>
      <c r="F40" s="614"/>
      <c r="G40" s="614"/>
      <c r="H40" s="614"/>
      <c r="I40" s="614"/>
      <c r="J40" s="614"/>
      <c r="K40" s="614"/>
      <c r="L40" s="614"/>
      <c r="M40" s="614"/>
      <c r="N40" s="614"/>
      <c r="O40" s="614"/>
      <c r="P40" s="614"/>
      <c r="Q40" s="614"/>
      <c r="R40" s="614"/>
      <c r="S40" s="614"/>
      <c r="T40" s="614"/>
      <c r="U40" s="614"/>
      <c r="V40" s="614"/>
      <c r="W40" s="614"/>
      <c r="X40" s="614"/>
      <c r="Y40" s="614"/>
      <c r="Z40" s="614"/>
      <c r="AA40" s="614"/>
      <c r="AB40" s="614"/>
      <c r="AC40" s="614"/>
      <c r="AD40" s="614"/>
      <c r="AE40" s="614"/>
      <c r="AF40" s="614"/>
      <c r="AG40" s="614"/>
      <c r="AH40" s="614"/>
      <c r="AI40" s="614"/>
      <c r="AJ40" s="614"/>
      <c r="AK40" s="614"/>
      <c r="AL40" s="614"/>
      <c r="AM40" s="614"/>
      <c r="AN40" s="614"/>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5"/>
      <c r="BO40" s="614"/>
    </row>
    <row r="41" spans="2:67" ht="51.75" customHeight="1" x14ac:dyDescent="0.25">
      <c r="B41" s="613"/>
      <c r="C41" s="614"/>
      <c r="D41" s="614"/>
      <c r="E41" s="614"/>
      <c r="F41" s="614"/>
      <c r="G41" s="614"/>
      <c r="H41" s="614"/>
      <c r="I41" s="614"/>
      <c r="J41" s="614"/>
      <c r="K41" s="614"/>
      <c r="L41" s="614"/>
      <c r="M41" s="614"/>
      <c r="N41" s="614"/>
      <c r="O41" s="614"/>
      <c r="P41" s="614"/>
      <c r="Q41" s="614"/>
      <c r="R41" s="614"/>
      <c r="S41" s="614"/>
      <c r="T41" s="614"/>
      <c r="U41" s="614"/>
      <c r="V41" s="614"/>
      <c r="W41" s="614"/>
      <c r="X41" s="614"/>
      <c r="Y41" s="614"/>
      <c r="Z41" s="614"/>
      <c r="AA41" s="614"/>
      <c r="AB41" s="614"/>
      <c r="AC41" s="614"/>
      <c r="AD41" s="614"/>
      <c r="AE41" s="614"/>
      <c r="AF41" s="614"/>
      <c r="AG41" s="614"/>
      <c r="AH41" s="614"/>
      <c r="AI41" s="614"/>
      <c r="AJ41" s="614"/>
      <c r="AK41" s="614"/>
      <c r="AL41" s="614"/>
      <c r="AM41" s="614"/>
      <c r="AN41" s="614"/>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5"/>
      <c r="BO41" s="614"/>
    </row>
  </sheetData>
  <mergeCells count="26">
    <mergeCell ref="M2:O2"/>
    <mergeCell ref="P2:R2"/>
    <mergeCell ref="BI2:BK2"/>
    <mergeCell ref="AQ2:AS2"/>
    <mergeCell ref="AN2:AP2"/>
    <mergeCell ref="AZ2:BB2"/>
    <mergeCell ref="AK2:AM2"/>
    <mergeCell ref="AT2:AV2"/>
    <mergeCell ref="BC2:BE2"/>
    <mergeCell ref="BF2:BH2"/>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data!$A$2:$A$15</xm:f>
          </x14:formula1>
          <xm:sqref>D1:D3 D4:D1048576</xm:sqref>
        </x14:dataValidation>
        <x14:dataValidation type="list" allowBlank="1" showInputMessage="1" showErrorMessage="1">
          <x14:formula1>
            <xm:f>data!$A$2:$A$20</xm:f>
          </x14:formula1>
          <xm:sqref>C17:C1048576 C1:C12</xm:sqref>
        </x14:dataValidation>
        <x14:dataValidation type="list" allowBlank="1" showInputMessage="1" showErrorMessage="1">
          <x14:formula1>
            <xm:f>data!$A$2:$A$21</xm:f>
          </x14:formula1>
          <xm:sqref>C13</xm:sqref>
        </x14:dataValidation>
        <x14:dataValidation type="list" allowBlank="1" showInputMessage="1" showErrorMessage="1">
          <x14:formula1>
            <xm:f>data!$A$2:$A$22</xm:f>
          </x14:formula1>
          <xm:sqref>C14:C16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212"/>
  <sheetViews>
    <sheetView showGridLines="0" showZeros="0" zoomScaleNormal="100" workbookViewId="0">
      <pane xSplit="9" ySplit="5" topLeftCell="J6" activePane="bottomRight" state="frozen"/>
      <selection pane="topRight" activeCell="H1" sqref="H1"/>
      <selection pane="bottomLeft" activeCell="A6" sqref="A6"/>
      <selection pane="bottomRight" activeCell="G216" sqref="G216"/>
    </sheetView>
  </sheetViews>
  <sheetFormatPr defaultColWidth="8.85546875" defaultRowHeight="15" x14ac:dyDescent="0.25"/>
  <cols>
    <col min="1" max="1" width="1.28515625" style="578" customWidth="1"/>
    <col min="2" max="3" width="18.7109375" style="603" customWidth="1"/>
    <col min="4" max="4" width="15" style="599" customWidth="1"/>
    <col min="5" max="5" width="26.140625" style="599" customWidth="1"/>
    <col min="6" max="6" width="13" style="599" customWidth="1"/>
    <col min="7" max="7" width="14.28515625" style="599" customWidth="1"/>
    <col min="8" max="8" width="38.85546875" style="599" bestFit="1" customWidth="1"/>
    <col min="9" max="9" width="17.7109375" style="578" customWidth="1"/>
    <col min="10" max="11" width="11" style="578" customWidth="1"/>
    <col min="12" max="27" width="11" style="577" customWidth="1"/>
    <col min="28" max="28" width="22.7109375" style="577" customWidth="1"/>
    <col min="29" max="45" width="22.7109375" style="577" hidden="1" customWidth="1"/>
    <col min="46" max="46" width="22.7109375" style="577" customWidth="1"/>
    <col min="47" max="47" width="22.7109375" style="578" customWidth="1"/>
    <col min="48" max="48" width="67.28515625" style="578" bestFit="1" customWidth="1"/>
    <col min="49" max="120" width="8.85546875" style="197"/>
    <col min="121" max="16384" width="8.85546875" style="578"/>
  </cols>
  <sheetData>
    <row r="1" spans="2:119" ht="7.9" customHeight="1" x14ac:dyDescent="0.25"/>
    <row r="2" spans="2:119" ht="33" customHeight="1" x14ac:dyDescent="0.25">
      <c r="B2" s="814" t="s">
        <v>414</v>
      </c>
      <c r="C2" s="814"/>
      <c r="D2" s="814"/>
      <c r="E2" s="814"/>
      <c r="F2" s="814"/>
      <c r="G2" s="814"/>
      <c r="H2" s="814"/>
      <c r="I2" s="814"/>
      <c r="J2" s="814"/>
      <c r="K2" s="814"/>
      <c r="L2" s="814"/>
      <c r="M2" s="814"/>
      <c r="N2" s="814"/>
      <c r="O2" s="814"/>
      <c r="P2" s="814"/>
      <c r="Q2" s="814" t="s">
        <v>541</v>
      </c>
      <c r="R2" s="814"/>
      <c r="S2" s="814"/>
      <c r="T2" s="814"/>
      <c r="U2" s="814"/>
      <c r="V2" s="814"/>
      <c r="W2" s="814" t="s">
        <v>1225</v>
      </c>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604"/>
    </row>
    <row r="3" spans="2:119" ht="18" customHeight="1" x14ac:dyDescent="0.25">
      <c r="B3" s="816">
        <f>Definition!B23</f>
        <v>43160</v>
      </c>
      <c r="C3" s="816"/>
      <c r="D3" s="816"/>
      <c r="E3" s="816"/>
      <c r="F3" s="816"/>
      <c r="G3" s="816"/>
      <c r="H3" s="816"/>
      <c r="I3" s="816"/>
      <c r="J3" s="816"/>
      <c r="K3" s="816"/>
      <c r="L3" s="816"/>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604"/>
    </row>
    <row r="4" spans="2:119" ht="18" hidden="1" customHeight="1" x14ac:dyDescent="0.25">
      <c r="B4" s="815"/>
      <c r="C4" s="815"/>
      <c r="D4" s="815"/>
      <c r="E4" s="815"/>
      <c r="F4" s="579"/>
      <c r="G4" s="579"/>
      <c r="H4" s="579"/>
      <c r="I4" s="580"/>
      <c r="J4" s="580"/>
      <c r="K4" s="580"/>
      <c r="L4" s="581"/>
      <c r="M4" s="581"/>
      <c r="N4" s="581"/>
      <c r="P4" s="581"/>
      <c r="Q4" s="581"/>
      <c r="R4" s="581"/>
      <c r="S4" s="581"/>
      <c r="T4" s="581"/>
      <c r="U4" s="581"/>
      <c r="V4" s="581"/>
      <c r="W4" s="581"/>
      <c r="X4" s="581"/>
      <c r="Y4" s="581"/>
      <c r="Z4" s="581"/>
      <c r="AA4" s="581"/>
      <c r="AB4" s="581"/>
      <c r="AC4" s="581"/>
      <c r="AD4" s="581"/>
      <c r="AE4" s="581"/>
      <c r="AF4" s="582"/>
      <c r="AG4" s="581"/>
      <c r="AH4" s="581"/>
    </row>
    <row r="5" spans="2:119" s="583" customFormat="1" ht="69.75" customHeight="1" x14ac:dyDescent="0.25">
      <c r="B5" s="704" t="s">
        <v>408</v>
      </c>
      <c r="C5" s="605" t="s">
        <v>1807</v>
      </c>
      <c r="D5" s="606" t="s">
        <v>1308</v>
      </c>
      <c r="E5" s="606" t="s">
        <v>409</v>
      </c>
      <c r="F5" s="606" t="s">
        <v>392</v>
      </c>
      <c r="G5" s="606" t="s">
        <v>0</v>
      </c>
      <c r="H5" s="606" t="s">
        <v>1546</v>
      </c>
      <c r="I5" s="605" t="s">
        <v>1394</v>
      </c>
      <c r="J5" s="605" t="s">
        <v>421</v>
      </c>
      <c r="K5" s="605" t="s">
        <v>1620</v>
      </c>
      <c r="L5" s="605" t="s">
        <v>400</v>
      </c>
      <c r="M5" s="605" t="s">
        <v>422</v>
      </c>
      <c r="N5" s="605" t="s">
        <v>536</v>
      </c>
      <c r="O5" s="605" t="s">
        <v>423</v>
      </c>
      <c r="P5" s="605" t="s">
        <v>415</v>
      </c>
      <c r="Q5" s="605" t="s">
        <v>416</v>
      </c>
      <c r="R5" s="605" t="s">
        <v>1018</v>
      </c>
      <c r="S5" s="605" t="s">
        <v>525</v>
      </c>
      <c r="T5" s="605" t="s">
        <v>526</v>
      </c>
      <c r="U5" s="605" t="s">
        <v>852</v>
      </c>
      <c r="V5" s="605" t="s">
        <v>856</v>
      </c>
      <c r="W5" s="605" t="s">
        <v>860</v>
      </c>
      <c r="X5" s="605" t="s">
        <v>949</v>
      </c>
      <c r="Y5" s="605" t="s">
        <v>1075</v>
      </c>
      <c r="Z5" s="605" t="s">
        <v>1415</v>
      </c>
      <c r="AA5" s="605" t="s">
        <v>1087</v>
      </c>
      <c r="AB5" s="605" t="s">
        <v>1088</v>
      </c>
      <c r="AC5" s="605" t="s">
        <v>967</v>
      </c>
      <c r="AD5" s="605" t="s">
        <v>968</v>
      </c>
      <c r="AE5" s="605" t="s">
        <v>969</v>
      </c>
      <c r="AF5" s="605" t="s">
        <v>970</v>
      </c>
      <c r="AG5" s="605" t="s">
        <v>972</v>
      </c>
      <c r="AH5" s="605" t="s">
        <v>971</v>
      </c>
      <c r="AI5" s="605" t="s">
        <v>1019</v>
      </c>
      <c r="AJ5" s="605" t="s">
        <v>973</v>
      </c>
      <c r="AK5" s="605" t="s">
        <v>974</v>
      </c>
      <c r="AL5" s="605" t="s">
        <v>975</v>
      </c>
      <c r="AM5" s="605" t="s">
        <v>976</v>
      </c>
      <c r="AN5" s="605" t="s">
        <v>977</v>
      </c>
      <c r="AO5" s="605" t="s">
        <v>978</v>
      </c>
      <c r="AP5" s="605" t="s">
        <v>981</v>
      </c>
      <c r="AQ5" s="605" t="s">
        <v>1076</v>
      </c>
      <c r="AR5" s="605" t="s">
        <v>1171</v>
      </c>
      <c r="AS5" s="605" t="s">
        <v>1172</v>
      </c>
      <c r="AT5" s="605" t="s">
        <v>511</v>
      </c>
      <c r="AU5" s="605" t="s">
        <v>456</v>
      </c>
      <c r="AV5" s="587"/>
      <c r="AW5" s="587"/>
      <c r="AX5" s="587"/>
      <c r="AY5" s="587"/>
      <c r="AZ5" s="587"/>
      <c r="BA5" s="587"/>
      <c r="BB5" s="587"/>
      <c r="BC5" s="587"/>
      <c r="BD5" s="587"/>
      <c r="BE5" s="587"/>
      <c r="BF5" s="587"/>
      <c r="BG5" s="587"/>
      <c r="BH5" s="587"/>
      <c r="BI5" s="587"/>
      <c r="BJ5" s="587"/>
      <c r="BK5" s="587"/>
      <c r="BL5" s="587"/>
      <c r="BM5" s="587"/>
      <c r="BN5" s="587"/>
      <c r="BO5" s="587"/>
      <c r="BP5" s="587"/>
      <c r="BQ5" s="587"/>
      <c r="BR5" s="587"/>
      <c r="BS5" s="587"/>
      <c r="BT5" s="587"/>
      <c r="BU5" s="587"/>
      <c r="BV5" s="587"/>
      <c r="BW5" s="587"/>
      <c r="BX5" s="587"/>
      <c r="BY5" s="587"/>
      <c r="BZ5" s="587"/>
      <c r="CA5" s="587"/>
      <c r="CB5" s="587"/>
      <c r="CC5" s="587"/>
      <c r="CD5" s="587"/>
      <c r="CE5" s="587"/>
      <c r="CF5" s="587"/>
      <c r="CG5" s="587"/>
      <c r="CH5" s="587"/>
      <c r="CI5" s="587"/>
      <c r="CJ5" s="587"/>
      <c r="CK5" s="587"/>
      <c r="CL5" s="587"/>
      <c r="CM5" s="587"/>
      <c r="CN5" s="587"/>
      <c r="CO5" s="587"/>
      <c r="CP5" s="587"/>
      <c r="CQ5" s="587"/>
      <c r="CR5" s="587"/>
      <c r="CS5" s="587"/>
      <c r="CT5" s="587"/>
      <c r="CU5" s="587"/>
      <c r="CV5" s="587"/>
      <c r="CW5" s="587"/>
      <c r="CX5" s="587"/>
      <c r="CY5" s="587"/>
      <c r="CZ5" s="587"/>
      <c r="DA5" s="587"/>
      <c r="DB5" s="587"/>
      <c r="DC5" s="587"/>
      <c r="DD5" s="587"/>
      <c r="DE5" s="587"/>
      <c r="DF5" s="587"/>
      <c r="DG5" s="587"/>
      <c r="DH5" s="587"/>
      <c r="DI5" s="587"/>
      <c r="DJ5" s="587"/>
      <c r="DK5" s="587"/>
      <c r="DL5" s="587"/>
      <c r="DM5" s="587"/>
      <c r="DN5" s="587"/>
      <c r="DO5" s="587"/>
    </row>
    <row r="6" spans="2:119" s="583" customFormat="1" ht="18.75" hidden="1" customHeight="1" x14ac:dyDescent="0.25">
      <c r="B6" s="584">
        <v>42737</v>
      </c>
      <c r="C6" s="584" t="str">
        <f>MONTH(Table_NFI[[#This Row],[Distribution Date]]) &amp; "/" &amp; YEAR(Table_NFI[[#This Row],[Distribution Date]])</f>
        <v>1/2017</v>
      </c>
      <c r="D6" s="213" t="s">
        <v>420</v>
      </c>
      <c r="E6" s="213" t="s">
        <v>424</v>
      </c>
      <c r="F6" s="213" t="s">
        <v>378</v>
      </c>
      <c r="G6" s="213" t="s">
        <v>309</v>
      </c>
      <c r="H6" s="213" t="s">
        <v>323</v>
      </c>
      <c r="I6" s="197"/>
      <c r="J6" s="585"/>
      <c r="K6" s="585"/>
      <c r="L6" s="585"/>
      <c r="M6" s="585"/>
      <c r="N6" s="585"/>
      <c r="O6" s="585"/>
      <c r="P6" s="585"/>
      <c r="Q6" s="585"/>
      <c r="R6" s="585"/>
      <c r="S6" s="585"/>
      <c r="T6" s="585"/>
      <c r="U6" s="585"/>
      <c r="V6" s="585"/>
      <c r="W6" s="585"/>
      <c r="X6" s="585"/>
      <c r="Y6" s="585"/>
      <c r="Z6" s="585"/>
      <c r="AA6" s="585"/>
      <c r="AB6" s="585">
        <v>17</v>
      </c>
      <c r="AC6" s="586" t="e">
        <f>IF(NFI_Expiration=1,IF(#REF!&lt;VLOOKUP(L$5,NFI,5,0),1,0)*Table_NFI[[#This Row],[NFI Core Kit]],Table_NFI[NFI Core Kit])</f>
        <v>#REF!</v>
      </c>
      <c r="AD6" s="586" t="e">
        <f>IF(NFI_Expiration=1,IF(#REF!&lt;VLOOKUP(M$5,NFI,5,0),1,0)*Table_NFI[[#This Row],[Sanitary Kit]],Table_NFI[Sanitary Kit])</f>
        <v>#REF!</v>
      </c>
      <c r="AE6" s="586" t="e">
        <f>IF(NFI_Expiration=1,IF(#REF!&lt;VLOOKUP(N$5,NFI,5,0),1,0)*Table_NFI[[#This Row],[Mosquito net]],Table_NFI[Mosquito net])</f>
        <v>#REF!</v>
      </c>
      <c r="AF6" s="586"/>
      <c r="AG6" s="586"/>
      <c r="AH6" s="586"/>
      <c r="AI6" s="586"/>
      <c r="AJ6" s="586"/>
      <c r="AK6" s="586"/>
      <c r="AL6" s="586"/>
      <c r="AM6" s="586"/>
      <c r="AN6" s="586"/>
      <c r="AO6" s="586"/>
      <c r="AP6" s="586">
        <f>IF(Table_NFI[[#This Row],[Winter Clothes Adult]]+Table_NFI[[#This Row],[Winter Clothes Children]]+Table_NFI[[#This Row],[Winter Items Other]]+Table_NFI[[#This Row],[Winter Blanket]]&gt;0,1,0)</f>
        <v>0</v>
      </c>
      <c r="AQ6" s="586"/>
      <c r="AR6" s="586"/>
      <c r="AS6" s="586"/>
      <c r="AT6" s="220" t="str">
        <f>IFERROR(VLOOKUP(Table_NFI[[#This Row],[Location]],CL,2,0),"")</f>
        <v>MMR001CMP040</v>
      </c>
      <c r="AU6" s="197" t="s">
        <v>1243</v>
      </c>
      <c r="AV6" s="587"/>
      <c r="AW6" s="587"/>
      <c r="AX6" s="587"/>
      <c r="AY6" s="587"/>
      <c r="AZ6" s="587"/>
      <c r="BA6" s="587"/>
      <c r="BB6" s="587"/>
      <c r="BC6" s="587"/>
      <c r="BD6" s="587"/>
      <c r="BE6" s="587"/>
      <c r="BF6" s="587"/>
      <c r="BG6" s="587"/>
      <c r="BH6" s="587"/>
      <c r="BI6" s="587"/>
      <c r="BJ6" s="587"/>
      <c r="BK6" s="587"/>
      <c r="BL6" s="587"/>
      <c r="BM6" s="587"/>
      <c r="BN6" s="587"/>
      <c r="BO6" s="587"/>
      <c r="BP6" s="587"/>
      <c r="BQ6" s="587"/>
      <c r="BR6" s="587"/>
      <c r="BS6" s="587"/>
      <c r="BT6" s="587"/>
      <c r="BU6" s="587"/>
      <c r="BV6" s="587"/>
      <c r="BW6" s="587"/>
      <c r="BX6" s="587"/>
      <c r="BY6" s="587"/>
      <c r="BZ6" s="587"/>
      <c r="CA6" s="587"/>
      <c r="CB6" s="587"/>
      <c r="CC6" s="587"/>
      <c r="CD6" s="587"/>
      <c r="CE6" s="587"/>
      <c r="CF6" s="587"/>
      <c r="CG6" s="587"/>
      <c r="CH6" s="587"/>
      <c r="CI6" s="587"/>
      <c r="CJ6" s="587"/>
      <c r="CK6" s="587"/>
      <c r="CL6" s="587"/>
      <c r="CM6" s="587"/>
      <c r="CN6" s="587"/>
      <c r="CO6" s="587"/>
      <c r="CP6" s="587"/>
      <c r="CQ6" s="587"/>
      <c r="CR6" s="587"/>
      <c r="CS6" s="587"/>
      <c r="CT6" s="587"/>
      <c r="CU6" s="587"/>
      <c r="CV6" s="587"/>
      <c r="CW6" s="587"/>
      <c r="CX6" s="587"/>
      <c r="CY6" s="587"/>
      <c r="CZ6" s="587"/>
      <c r="DA6" s="587"/>
      <c r="DB6" s="587"/>
      <c r="DC6" s="587"/>
      <c r="DD6" s="587"/>
      <c r="DE6" s="587"/>
      <c r="DF6" s="587"/>
      <c r="DG6" s="587"/>
      <c r="DH6" s="587"/>
      <c r="DI6" s="587"/>
      <c r="DJ6" s="587"/>
      <c r="DK6" s="587"/>
      <c r="DL6" s="587"/>
      <c r="DM6" s="587"/>
      <c r="DN6" s="587"/>
      <c r="DO6" s="587"/>
    </row>
    <row r="7" spans="2:119" s="583" customFormat="1" ht="18.75" hidden="1" customHeight="1" x14ac:dyDescent="0.25">
      <c r="B7" s="584">
        <v>42745</v>
      </c>
      <c r="C7" s="584" t="str">
        <f>MONTH(Table_NFI[[#This Row],[Distribution Date]]) &amp; "/" &amp; YEAR(Table_NFI[[#This Row],[Distribution Date]])</f>
        <v>1/2017</v>
      </c>
      <c r="D7" s="213" t="s">
        <v>420</v>
      </c>
      <c r="E7" s="213" t="s">
        <v>1091</v>
      </c>
      <c r="F7" s="213" t="s">
        <v>378</v>
      </c>
      <c r="G7" s="213" t="s">
        <v>237</v>
      </c>
      <c r="H7" s="213" t="s">
        <v>254</v>
      </c>
      <c r="I7" s="197"/>
      <c r="J7" s="585"/>
      <c r="K7" s="585"/>
      <c r="L7" s="585">
        <v>1</v>
      </c>
      <c r="M7" s="585">
        <v>1</v>
      </c>
      <c r="N7" s="585">
        <v>4</v>
      </c>
      <c r="O7" s="585">
        <v>1</v>
      </c>
      <c r="P7" s="585">
        <v>4</v>
      </c>
      <c r="Q7" s="585">
        <v>1</v>
      </c>
      <c r="R7" s="585"/>
      <c r="S7" s="585">
        <v>1</v>
      </c>
      <c r="T7" s="585">
        <v>4</v>
      </c>
      <c r="U7" s="585"/>
      <c r="V7" s="585"/>
      <c r="W7" s="585"/>
      <c r="X7" s="585"/>
      <c r="Y7" s="585">
        <v>1</v>
      </c>
      <c r="Z7" s="585"/>
      <c r="AA7" s="585"/>
      <c r="AB7" s="585"/>
      <c r="AC7" s="586"/>
      <c r="AD7" s="586"/>
      <c r="AE7" s="586"/>
      <c r="AF7" s="586"/>
      <c r="AG7" s="586"/>
      <c r="AH7" s="586"/>
      <c r="AI7" s="586"/>
      <c r="AJ7" s="586"/>
      <c r="AK7" s="586"/>
      <c r="AL7" s="586"/>
      <c r="AM7" s="586"/>
      <c r="AN7" s="586"/>
      <c r="AO7" s="586"/>
      <c r="AP7" s="586"/>
      <c r="AQ7" s="586"/>
      <c r="AR7" s="586"/>
      <c r="AS7" s="586"/>
      <c r="AT7" s="220" t="str">
        <f>IFERROR(VLOOKUP(Table_NFI[[#This Row],[Location]],CL,2,0),"")</f>
        <v>MMR001CMP019</v>
      </c>
      <c r="AU7" s="197" t="s">
        <v>1243</v>
      </c>
      <c r="AV7" s="587"/>
      <c r="AW7" s="587"/>
      <c r="AX7" s="587"/>
      <c r="AY7" s="587"/>
      <c r="AZ7" s="587"/>
      <c r="BA7" s="587"/>
      <c r="BB7" s="587"/>
      <c r="BC7" s="587"/>
      <c r="BD7" s="587"/>
      <c r="BE7" s="587"/>
      <c r="BF7" s="587"/>
      <c r="BG7" s="587"/>
      <c r="BH7" s="587"/>
      <c r="BI7" s="587"/>
      <c r="BJ7" s="587"/>
      <c r="BK7" s="587"/>
      <c r="BL7" s="587"/>
      <c r="BM7" s="587"/>
      <c r="BN7" s="587"/>
      <c r="BO7" s="587"/>
      <c r="BP7" s="587"/>
      <c r="BQ7" s="587"/>
      <c r="BR7" s="587"/>
      <c r="BS7" s="587"/>
      <c r="BT7" s="587"/>
      <c r="BU7" s="587"/>
      <c r="BV7" s="587"/>
      <c r="BW7" s="587"/>
      <c r="BX7" s="587"/>
      <c r="BY7" s="587"/>
      <c r="BZ7" s="587"/>
      <c r="CA7" s="587"/>
      <c r="CB7" s="587"/>
      <c r="CC7" s="587"/>
      <c r="CD7" s="587"/>
      <c r="CE7" s="587"/>
      <c r="CF7" s="587"/>
      <c r="CG7" s="587"/>
      <c r="CH7" s="587"/>
      <c r="CI7" s="587"/>
      <c r="CJ7" s="587"/>
      <c r="CK7" s="587"/>
      <c r="CL7" s="587"/>
      <c r="CM7" s="587"/>
      <c r="CN7" s="587"/>
      <c r="CO7" s="587"/>
      <c r="CP7" s="587"/>
      <c r="CQ7" s="587"/>
      <c r="CR7" s="587"/>
      <c r="CS7" s="587"/>
      <c r="CT7" s="587"/>
      <c r="CU7" s="587"/>
      <c r="CV7" s="587"/>
      <c r="CW7" s="587"/>
      <c r="CX7" s="587"/>
      <c r="CY7" s="587"/>
      <c r="CZ7" s="587"/>
      <c r="DA7" s="587"/>
      <c r="DB7" s="587"/>
      <c r="DC7" s="587"/>
      <c r="DD7" s="587"/>
      <c r="DE7" s="587"/>
      <c r="DF7" s="587"/>
      <c r="DG7" s="587"/>
      <c r="DH7" s="587"/>
      <c r="DI7" s="587"/>
      <c r="DJ7" s="587"/>
      <c r="DK7" s="587"/>
      <c r="DL7" s="587"/>
      <c r="DM7" s="587"/>
      <c r="DN7" s="587"/>
      <c r="DO7" s="587"/>
    </row>
    <row r="8" spans="2:119" s="583" customFormat="1" ht="18.75" hidden="1" customHeight="1" x14ac:dyDescent="0.25">
      <c r="B8" s="584">
        <v>42745</v>
      </c>
      <c r="C8" s="584" t="str">
        <f>MONTH(Table_NFI[[#This Row],[Distribution Date]]) &amp; "/" &amp; YEAR(Table_NFI[[#This Row],[Distribution Date]])</f>
        <v>1/2017</v>
      </c>
      <c r="D8" s="213" t="s">
        <v>420</v>
      </c>
      <c r="E8" s="213" t="s">
        <v>1091</v>
      </c>
      <c r="F8" s="213" t="s">
        <v>378</v>
      </c>
      <c r="G8" s="213" t="s">
        <v>309</v>
      </c>
      <c r="H8" s="213" t="s">
        <v>329</v>
      </c>
      <c r="I8" s="197"/>
      <c r="J8" s="585"/>
      <c r="K8" s="585"/>
      <c r="L8" s="585">
        <v>6</v>
      </c>
      <c r="M8" s="585">
        <v>6</v>
      </c>
      <c r="N8" s="585">
        <v>10</v>
      </c>
      <c r="O8" s="585">
        <v>6</v>
      </c>
      <c r="P8" s="585">
        <v>18</v>
      </c>
      <c r="Q8" s="585">
        <v>6</v>
      </c>
      <c r="R8" s="585"/>
      <c r="S8" s="585">
        <v>6</v>
      </c>
      <c r="T8" s="585">
        <v>17</v>
      </c>
      <c r="U8" s="585"/>
      <c r="V8" s="585"/>
      <c r="W8" s="585"/>
      <c r="X8" s="585"/>
      <c r="Y8" s="585">
        <v>6</v>
      </c>
      <c r="Z8" s="585"/>
      <c r="AA8" s="585"/>
      <c r="AB8" s="585"/>
      <c r="AC8" s="586"/>
      <c r="AD8" s="586"/>
      <c r="AE8" s="586"/>
      <c r="AF8" s="586"/>
      <c r="AG8" s="586"/>
      <c r="AH8" s="586"/>
      <c r="AI8" s="586"/>
      <c r="AJ8" s="586"/>
      <c r="AK8" s="586"/>
      <c r="AL8" s="586"/>
      <c r="AM8" s="586"/>
      <c r="AN8" s="586"/>
      <c r="AO8" s="586"/>
      <c r="AP8" s="586"/>
      <c r="AQ8" s="586"/>
      <c r="AR8" s="586"/>
      <c r="AS8" s="586"/>
      <c r="AT8" s="220" t="str">
        <f>IFERROR(VLOOKUP(Table_NFI[[#This Row],[Location]],CL,2,0),"")</f>
        <v>MMR001CMP029</v>
      </c>
      <c r="AU8" s="197" t="s">
        <v>1243</v>
      </c>
      <c r="AV8" s="587"/>
      <c r="AW8" s="587"/>
      <c r="AX8" s="587"/>
      <c r="AY8" s="587"/>
      <c r="AZ8" s="587"/>
      <c r="BA8" s="587"/>
      <c r="BB8" s="587"/>
      <c r="BC8" s="587"/>
      <c r="BD8" s="587"/>
      <c r="BE8" s="587"/>
      <c r="BF8" s="587"/>
      <c r="BG8" s="587"/>
      <c r="BH8" s="587"/>
      <c r="BI8" s="587"/>
      <c r="BJ8" s="587"/>
      <c r="BK8" s="587"/>
      <c r="BL8" s="587"/>
      <c r="BM8" s="587"/>
      <c r="BN8" s="587"/>
      <c r="BO8" s="587"/>
      <c r="BP8" s="587"/>
      <c r="BQ8" s="587"/>
      <c r="BR8" s="587"/>
      <c r="BS8" s="587"/>
      <c r="BT8" s="587"/>
      <c r="BU8" s="587"/>
      <c r="BV8" s="587"/>
      <c r="BW8" s="587"/>
      <c r="BX8" s="587"/>
      <c r="BY8" s="587"/>
      <c r="BZ8" s="587"/>
      <c r="CA8" s="587"/>
      <c r="CB8" s="587"/>
      <c r="CC8" s="587"/>
      <c r="CD8" s="587"/>
      <c r="CE8" s="587"/>
      <c r="CF8" s="587"/>
      <c r="CG8" s="587"/>
      <c r="CH8" s="587"/>
      <c r="CI8" s="587"/>
      <c r="CJ8" s="587"/>
      <c r="CK8" s="587"/>
      <c r="CL8" s="587"/>
      <c r="CM8" s="587"/>
      <c r="CN8" s="587"/>
      <c r="CO8" s="587"/>
      <c r="CP8" s="587"/>
      <c r="CQ8" s="587"/>
      <c r="CR8" s="587"/>
      <c r="CS8" s="587"/>
      <c r="CT8" s="587"/>
      <c r="CU8" s="587"/>
      <c r="CV8" s="587"/>
      <c r="CW8" s="587"/>
      <c r="CX8" s="587"/>
      <c r="CY8" s="587"/>
      <c r="CZ8" s="587"/>
      <c r="DA8" s="587"/>
      <c r="DB8" s="587"/>
      <c r="DC8" s="587"/>
      <c r="DD8" s="587"/>
      <c r="DE8" s="587"/>
      <c r="DF8" s="587"/>
      <c r="DG8" s="587"/>
      <c r="DH8" s="587"/>
      <c r="DI8" s="587"/>
      <c r="DJ8" s="587"/>
      <c r="DK8" s="587"/>
      <c r="DL8" s="587"/>
      <c r="DM8" s="587"/>
      <c r="DN8" s="587"/>
      <c r="DO8" s="587"/>
    </row>
    <row r="9" spans="2:119" s="583" customFormat="1" ht="18.75" hidden="1" customHeight="1" x14ac:dyDescent="0.25">
      <c r="B9" s="584">
        <v>42750</v>
      </c>
      <c r="C9" s="584" t="str">
        <f>MONTH(Table_NFI[[#This Row],[Distribution Date]]) &amp; "/" &amp; YEAR(Table_NFI[[#This Row],[Distribution Date]])</f>
        <v>1/2017</v>
      </c>
      <c r="D9" s="213" t="s">
        <v>420</v>
      </c>
      <c r="E9" s="213" t="s">
        <v>424</v>
      </c>
      <c r="F9" s="213" t="s">
        <v>378</v>
      </c>
      <c r="G9" s="213" t="s">
        <v>151</v>
      </c>
      <c r="H9" s="213" t="s">
        <v>803</v>
      </c>
      <c r="I9" s="197"/>
      <c r="J9" s="585"/>
      <c r="K9" s="585"/>
      <c r="L9" s="585">
        <v>15</v>
      </c>
      <c r="M9" s="585">
        <v>15</v>
      </c>
      <c r="N9" s="585">
        <v>15</v>
      </c>
      <c r="O9" s="585">
        <v>15</v>
      </c>
      <c r="P9" s="585">
        <v>15</v>
      </c>
      <c r="Q9" s="585">
        <v>15</v>
      </c>
      <c r="R9" s="585"/>
      <c r="S9" s="585">
        <v>15</v>
      </c>
      <c r="T9" s="585">
        <v>30</v>
      </c>
      <c r="U9" s="585"/>
      <c r="V9" s="585"/>
      <c r="W9" s="585"/>
      <c r="X9" s="585"/>
      <c r="Y9" s="585">
        <v>15</v>
      </c>
      <c r="Z9" s="585"/>
      <c r="AA9" s="585"/>
      <c r="AB9" s="585">
        <v>15</v>
      </c>
      <c r="AC9" s="586" t="e">
        <f>IF(NFI_Expiration=1,IF(#REF!&lt;VLOOKUP(L$5,NFI,5,0),1,0)*Table_NFI[[#This Row],[NFI Core Kit]],Table_NFI[NFI Core Kit])</f>
        <v>#REF!</v>
      </c>
      <c r="AD9" s="586" t="e">
        <f>IF(NFI_Expiration=1,IF(#REF!&lt;VLOOKUP(M$5,NFI,5,0),1,0)*Table_NFI[[#This Row],[Sanitary Kit]],Table_NFI[Sanitary Kit])</f>
        <v>#REF!</v>
      </c>
      <c r="AE9" s="586" t="e">
        <f>IF(NFI_Expiration=1,IF(#REF!&lt;VLOOKUP(N$5,NFI,5,0),1,0)*Table_NFI[[#This Row],[Mosquito net]],Table_NFI[Mosquito net])</f>
        <v>#REF!</v>
      </c>
      <c r="AF9" s="586"/>
      <c r="AG9" s="586"/>
      <c r="AH9" s="586"/>
      <c r="AI9" s="586"/>
      <c r="AJ9" s="586"/>
      <c r="AK9" s="586"/>
      <c r="AL9" s="586"/>
      <c r="AM9" s="586"/>
      <c r="AN9" s="586"/>
      <c r="AO9" s="586"/>
      <c r="AP9" s="586">
        <f>IF(Table_NFI[[#This Row],[Winter Clothes Adult]]+Table_NFI[[#This Row],[Winter Clothes Children]]+Table_NFI[[#This Row],[Winter Items Other]]+Table_NFI[[#This Row],[Winter Blanket]]&gt;0,1,0)</f>
        <v>0</v>
      </c>
      <c r="AQ9" s="586"/>
      <c r="AR9" s="586"/>
      <c r="AS9" s="586"/>
      <c r="AT9" s="220" t="str">
        <f>IFERROR(VLOOKUP(Table_NFI[[#This Row],[Location]],CL,2,0),"")</f>
        <v>MMR001CMP212</v>
      </c>
      <c r="AU9" s="197" t="s">
        <v>1243</v>
      </c>
      <c r="AV9" s="587"/>
      <c r="AW9" s="587"/>
      <c r="AX9" s="587"/>
      <c r="AY9" s="587"/>
      <c r="AZ9" s="587"/>
      <c r="BA9" s="587"/>
      <c r="BB9" s="587"/>
      <c r="BC9" s="587"/>
      <c r="BD9" s="587"/>
      <c r="BE9" s="587"/>
      <c r="BF9" s="587"/>
      <c r="BG9" s="587"/>
      <c r="BH9" s="587"/>
      <c r="BI9" s="587"/>
      <c r="BJ9" s="587"/>
      <c r="BK9" s="587"/>
      <c r="BL9" s="587"/>
      <c r="BM9" s="587"/>
      <c r="BN9" s="587"/>
      <c r="BO9" s="587"/>
      <c r="BP9" s="587"/>
      <c r="BQ9" s="587"/>
      <c r="BR9" s="587"/>
      <c r="BS9" s="587"/>
      <c r="BT9" s="587"/>
      <c r="BU9" s="587"/>
      <c r="BV9" s="587"/>
      <c r="BW9" s="587"/>
      <c r="BX9" s="587"/>
      <c r="BY9" s="587"/>
      <c r="BZ9" s="587"/>
      <c r="CA9" s="587"/>
      <c r="CB9" s="587"/>
      <c r="CC9" s="587"/>
      <c r="CD9" s="587"/>
      <c r="CE9" s="587"/>
      <c r="CF9" s="587"/>
      <c r="CG9" s="587"/>
      <c r="CH9" s="587"/>
      <c r="CI9" s="587"/>
      <c r="CJ9" s="587"/>
      <c r="CK9" s="587"/>
      <c r="CL9" s="587"/>
      <c r="CM9" s="587"/>
      <c r="CN9" s="587"/>
      <c r="CO9" s="587"/>
      <c r="CP9" s="587"/>
      <c r="CQ9" s="587"/>
      <c r="CR9" s="587"/>
      <c r="CS9" s="587"/>
      <c r="CT9" s="587"/>
      <c r="CU9" s="587"/>
      <c r="CV9" s="587"/>
      <c r="CW9" s="587"/>
      <c r="CX9" s="587"/>
      <c r="CY9" s="587"/>
      <c r="CZ9" s="587"/>
      <c r="DA9" s="587"/>
      <c r="DB9" s="587"/>
      <c r="DC9" s="587"/>
      <c r="DD9" s="587"/>
      <c r="DE9" s="587"/>
      <c r="DF9" s="587"/>
      <c r="DG9" s="587"/>
      <c r="DH9" s="587"/>
      <c r="DI9" s="587"/>
      <c r="DJ9" s="587"/>
      <c r="DK9" s="587"/>
      <c r="DL9" s="587"/>
      <c r="DM9" s="587"/>
      <c r="DN9" s="587"/>
      <c r="DO9" s="587"/>
    </row>
    <row r="10" spans="2:119" s="583" customFormat="1" ht="18.75" hidden="1" customHeight="1" x14ac:dyDescent="0.25">
      <c r="B10" s="584">
        <v>42750</v>
      </c>
      <c r="C10" s="584" t="str">
        <f>MONTH(Table_NFI[[#This Row],[Distribution Date]]) &amp; "/" &amp; YEAR(Table_NFI[[#This Row],[Distribution Date]])</f>
        <v>1/2017</v>
      </c>
      <c r="D10" s="212" t="s">
        <v>1398</v>
      </c>
      <c r="E10" s="212" t="s">
        <v>1398</v>
      </c>
      <c r="F10" s="588" t="s">
        <v>378</v>
      </c>
      <c r="G10" s="213" t="s">
        <v>151</v>
      </c>
      <c r="H10" s="213" t="s">
        <v>812</v>
      </c>
      <c r="I10" s="197"/>
      <c r="J10" s="585">
        <v>15</v>
      </c>
      <c r="K10" s="585"/>
      <c r="L10" s="585"/>
      <c r="M10" s="585">
        <v>135</v>
      </c>
      <c r="N10" s="585"/>
      <c r="O10" s="585"/>
      <c r="P10" s="585"/>
      <c r="Q10" s="585"/>
      <c r="R10" s="585"/>
      <c r="S10" s="585">
        <v>15</v>
      </c>
      <c r="T10" s="585"/>
      <c r="U10" s="585"/>
      <c r="V10" s="585"/>
      <c r="W10" s="585"/>
      <c r="X10" s="585"/>
      <c r="Y10" s="585">
        <v>15</v>
      </c>
      <c r="Z10" s="585"/>
      <c r="AA10" s="585"/>
      <c r="AB10" s="585"/>
      <c r="AC10" s="586" t="e">
        <f>IF(NFI_Expiration=1,IF(#REF!&lt;VLOOKUP(L$5,NFI,5,0),1,0)*Table_NFI[[#This Row],[NFI Core Kit]],Table_NFI[NFI Core Kit])</f>
        <v>#REF!</v>
      </c>
      <c r="AD10" s="586" t="e">
        <f>IF(NFI_Expiration=1,IF(#REF!&lt;VLOOKUP(M$5,NFI,5,0),1,0)*Table_NFI[[#This Row],[Sanitary Kit]],Table_NFI[Sanitary Kit])</f>
        <v>#REF!</v>
      </c>
      <c r="AE10" s="586" t="e">
        <f>IF(NFI_Expiration=1,IF(#REF!&lt;VLOOKUP(N$5,NFI,5,0),1,0)*Table_NFI[[#This Row],[Mosquito net]],Table_NFI[Mosquito net])</f>
        <v>#REF!</v>
      </c>
      <c r="AF10" s="586"/>
      <c r="AG10" s="586"/>
      <c r="AH10" s="586"/>
      <c r="AI10" s="586"/>
      <c r="AJ10" s="586"/>
      <c r="AK10" s="586"/>
      <c r="AL10" s="586"/>
      <c r="AM10" s="586"/>
      <c r="AN10" s="586"/>
      <c r="AO10" s="586"/>
      <c r="AP10" s="586">
        <f>IF(Table_NFI[[#This Row],[Winter Clothes Adult]]+Table_NFI[[#This Row],[Winter Clothes Children]]+Table_NFI[[#This Row],[Winter Items Other]]+Table_NFI[[#This Row],[Winter Blanket]]&gt;0,1,0)</f>
        <v>0</v>
      </c>
      <c r="AQ10" s="586"/>
      <c r="AR10" s="586"/>
      <c r="AS10" s="586"/>
      <c r="AT10" s="220" t="str">
        <f>IFERROR(VLOOKUP(Table_NFI[[#This Row],[Location]],CL,2,0),"")</f>
        <v>MMR001CMP218</v>
      </c>
      <c r="AU10" s="214" t="s">
        <v>1265</v>
      </c>
      <c r="AV10" s="587"/>
      <c r="AW10" s="587"/>
      <c r="AX10" s="587"/>
      <c r="AY10" s="587"/>
      <c r="AZ10" s="587"/>
      <c r="BA10" s="587"/>
      <c r="BB10" s="587"/>
      <c r="BC10" s="587"/>
      <c r="BD10" s="587"/>
      <c r="BE10" s="587"/>
      <c r="BF10" s="587"/>
      <c r="BG10" s="587"/>
      <c r="BH10" s="587"/>
      <c r="BI10" s="587"/>
      <c r="BJ10" s="587"/>
      <c r="BK10" s="587"/>
      <c r="BL10" s="587"/>
      <c r="BM10" s="587"/>
      <c r="BN10" s="587"/>
      <c r="BO10" s="587"/>
      <c r="BP10" s="587"/>
      <c r="BQ10" s="587"/>
      <c r="BR10" s="587"/>
      <c r="BS10" s="587"/>
      <c r="BT10" s="587"/>
      <c r="BU10" s="587"/>
      <c r="BV10" s="587"/>
      <c r="BW10" s="587"/>
      <c r="BX10" s="587"/>
      <c r="BY10" s="587"/>
      <c r="BZ10" s="587"/>
      <c r="CA10" s="587"/>
      <c r="CB10" s="587"/>
      <c r="CC10" s="587"/>
      <c r="CD10" s="587"/>
      <c r="CE10" s="587"/>
      <c r="CF10" s="587"/>
      <c r="CG10" s="587"/>
      <c r="CH10" s="587"/>
      <c r="CI10" s="587"/>
      <c r="CJ10" s="587"/>
      <c r="CK10" s="587"/>
      <c r="CL10" s="587"/>
      <c r="CM10" s="587"/>
      <c r="CN10" s="587"/>
      <c r="CO10" s="587"/>
      <c r="CP10" s="587"/>
      <c r="CQ10" s="587"/>
      <c r="CR10" s="587"/>
      <c r="CS10" s="587"/>
      <c r="CT10" s="587"/>
      <c r="CU10" s="587"/>
      <c r="CV10" s="587"/>
      <c r="CW10" s="587"/>
      <c r="CX10" s="587"/>
      <c r="CY10" s="587"/>
      <c r="CZ10" s="587"/>
      <c r="DA10" s="587"/>
      <c r="DB10" s="587"/>
      <c r="DC10" s="587"/>
      <c r="DD10" s="587"/>
      <c r="DE10" s="587"/>
      <c r="DF10" s="587"/>
      <c r="DG10" s="587"/>
      <c r="DH10" s="587"/>
      <c r="DI10" s="587"/>
      <c r="DJ10" s="587"/>
      <c r="DK10" s="587"/>
      <c r="DL10" s="587"/>
      <c r="DM10" s="587"/>
      <c r="DN10" s="587"/>
      <c r="DO10" s="587"/>
    </row>
    <row r="11" spans="2:119" s="583" customFormat="1" ht="18.75" hidden="1" customHeight="1" x14ac:dyDescent="0.25">
      <c r="B11" s="584">
        <v>42753</v>
      </c>
      <c r="C11" s="584" t="str">
        <f>MONTH(Table_NFI[[#This Row],[Distribution Date]]) &amp; "/" &amp; YEAR(Table_NFI[[#This Row],[Distribution Date]])</f>
        <v>1/2017</v>
      </c>
      <c r="D11" s="212" t="s">
        <v>1398</v>
      </c>
      <c r="E11" s="212" t="s">
        <v>1398</v>
      </c>
      <c r="F11" s="588" t="s">
        <v>378</v>
      </c>
      <c r="G11" s="212" t="s">
        <v>185</v>
      </c>
      <c r="H11" s="212" t="s">
        <v>194</v>
      </c>
      <c r="I11" s="212"/>
      <c r="J11" s="585">
        <v>73</v>
      </c>
      <c r="K11" s="585"/>
      <c r="L11" s="585">
        <v>73</v>
      </c>
      <c r="M11" s="585">
        <v>657</v>
      </c>
      <c r="N11" s="585">
        <v>146</v>
      </c>
      <c r="O11" s="585"/>
      <c r="P11" s="585">
        <v>146</v>
      </c>
      <c r="Q11" s="585"/>
      <c r="R11" s="585"/>
      <c r="S11" s="585">
        <v>73</v>
      </c>
      <c r="T11" s="585">
        <v>146</v>
      </c>
      <c r="U11" s="585"/>
      <c r="V11" s="585"/>
      <c r="W11" s="585"/>
      <c r="X11" s="585"/>
      <c r="Y11" s="585">
        <v>73</v>
      </c>
      <c r="Z11" s="585"/>
      <c r="AA11" s="585"/>
      <c r="AB11" s="585"/>
      <c r="AC11" s="586" t="e">
        <f>IF(NFI_Expiration=1,IF(#REF!&lt;VLOOKUP(L$5,NFI,5,0),1,0)*Table_NFI[[#This Row],[NFI Core Kit]],Table_NFI[NFI Core Kit])</f>
        <v>#REF!</v>
      </c>
      <c r="AD11" s="586" t="e">
        <f>IF(NFI_Expiration=1,IF(#REF!&lt;VLOOKUP(M$5,NFI,5,0),1,0)*Table_NFI[[#This Row],[Sanitary Kit]],Table_NFI[Sanitary Kit])</f>
        <v>#REF!</v>
      </c>
      <c r="AE11" s="586" t="e">
        <f>IF(NFI_Expiration=1,IF(#REF!&lt;VLOOKUP(N$5,NFI,5,0),1,0)*Table_NFI[[#This Row],[Mosquito net]],Table_NFI[Mosquito net])</f>
        <v>#REF!</v>
      </c>
      <c r="AF11" s="586"/>
      <c r="AG11" s="586"/>
      <c r="AH11" s="586"/>
      <c r="AI11" s="586"/>
      <c r="AJ11" s="586"/>
      <c r="AK11" s="586"/>
      <c r="AL11" s="586"/>
      <c r="AM11" s="586"/>
      <c r="AN11" s="586"/>
      <c r="AO11" s="586"/>
      <c r="AP11" s="586">
        <f>IF(Table_NFI[[#This Row],[Winter Clothes Adult]]+Table_NFI[[#This Row],[Winter Clothes Children]]+Table_NFI[[#This Row],[Winter Items Other]]+Table_NFI[[#This Row],[Winter Blanket]]&gt;0,1,0)</f>
        <v>0</v>
      </c>
      <c r="AQ11" s="586"/>
      <c r="AR11" s="586"/>
      <c r="AS11" s="586"/>
      <c r="AT11" s="220" t="str">
        <f>IFERROR(VLOOKUP(Table_NFI[[#This Row],[Location]],CL,2,0),"")</f>
        <v>MMR001CMP122</v>
      </c>
      <c r="AU11" s="214" t="s">
        <v>1265</v>
      </c>
      <c r="AV11" s="587"/>
      <c r="AW11" s="587"/>
      <c r="AX11" s="587"/>
      <c r="AY11" s="587"/>
      <c r="AZ11" s="587"/>
      <c r="BA11" s="587"/>
      <c r="BB11" s="587"/>
      <c r="BC11" s="587"/>
      <c r="BD11" s="587"/>
      <c r="BE11" s="587"/>
      <c r="BF11" s="587"/>
      <c r="BG11" s="587"/>
      <c r="BH11" s="587"/>
      <c r="BI11" s="587"/>
      <c r="BJ11" s="587"/>
      <c r="BK11" s="587"/>
      <c r="BL11" s="587"/>
      <c r="BM11" s="587"/>
      <c r="BN11" s="587"/>
      <c r="BO11" s="587"/>
      <c r="BP11" s="587"/>
      <c r="BQ11" s="587"/>
      <c r="BR11" s="587"/>
      <c r="BS11" s="587"/>
      <c r="BT11" s="587"/>
      <c r="BU11" s="587"/>
      <c r="BV11" s="587"/>
      <c r="BW11" s="587"/>
      <c r="BX11" s="587"/>
      <c r="BY11" s="587"/>
      <c r="BZ11" s="587"/>
      <c r="CA11" s="587"/>
      <c r="CB11" s="587"/>
      <c r="CC11" s="587"/>
      <c r="CD11" s="587"/>
      <c r="CE11" s="587"/>
      <c r="CF11" s="587"/>
      <c r="CG11" s="587"/>
      <c r="CH11" s="587"/>
      <c r="CI11" s="587"/>
      <c r="CJ11" s="587"/>
      <c r="CK11" s="587"/>
      <c r="CL11" s="587"/>
      <c r="CM11" s="587"/>
      <c r="CN11" s="587"/>
      <c r="CO11" s="587"/>
      <c r="CP11" s="587"/>
      <c r="CQ11" s="587"/>
      <c r="CR11" s="587"/>
      <c r="CS11" s="587"/>
      <c r="CT11" s="587"/>
      <c r="CU11" s="587"/>
      <c r="CV11" s="587"/>
      <c r="CW11" s="587"/>
      <c r="CX11" s="587"/>
      <c r="CY11" s="587"/>
      <c r="CZ11" s="587"/>
      <c r="DA11" s="587"/>
      <c r="DB11" s="587"/>
      <c r="DC11" s="587"/>
      <c r="DD11" s="587"/>
      <c r="DE11" s="587"/>
      <c r="DF11" s="587"/>
      <c r="DG11" s="587"/>
      <c r="DH11" s="587"/>
      <c r="DI11" s="587"/>
      <c r="DJ11" s="587"/>
      <c r="DK11" s="587"/>
      <c r="DL11" s="587"/>
      <c r="DM11" s="587"/>
      <c r="DN11" s="587"/>
      <c r="DO11" s="587"/>
    </row>
    <row r="12" spans="2:119" s="583" customFormat="1" ht="18.75" hidden="1" customHeight="1" x14ac:dyDescent="0.25">
      <c r="B12" s="584">
        <v>42753</v>
      </c>
      <c r="C12" s="584" t="str">
        <f>MONTH(Table_NFI[[#This Row],[Distribution Date]]) &amp; "/" &amp; YEAR(Table_NFI[[#This Row],[Distribution Date]])</f>
        <v>1/2017</v>
      </c>
      <c r="D12" s="212" t="s">
        <v>1398</v>
      </c>
      <c r="E12" s="212" t="s">
        <v>1398</v>
      </c>
      <c r="F12" s="213" t="s">
        <v>378</v>
      </c>
      <c r="G12" s="213" t="s">
        <v>309</v>
      </c>
      <c r="H12" s="212" t="s">
        <v>351</v>
      </c>
      <c r="I12" s="212"/>
      <c r="J12" s="585">
        <v>10</v>
      </c>
      <c r="K12" s="585"/>
      <c r="L12" s="585">
        <v>10</v>
      </c>
      <c r="M12" s="585">
        <v>90</v>
      </c>
      <c r="N12" s="585">
        <v>20</v>
      </c>
      <c r="O12" s="585"/>
      <c r="P12" s="585">
        <v>20</v>
      </c>
      <c r="Q12" s="585"/>
      <c r="R12" s="585"/>
      <c r="S12" s="585">
        <v>10</v>
      </c>
      <c r="T12" s="585">
        <v>20</v>
      </c>
      <c r="U12" s="585"/>
      <c r="V12" s="585"/>
      <c r="W12" s="585"/>
      <c r="X12" s="585"/>
      <c r="Y12" s="585">
        <v>10</v>
      </c>
      <c r="Z12" s="585"/>
      <c r="AA12" s="585"/>
      <c r="AB12" s="585"/>
      <c r="AC12" s="586" t="e">
        <f>IF(NFI_Expiration=1,IF(#REF!&lt;VLOOKUP(L$5,NFI,5,0),1,0)*Table_NFI[[#This Row],[NFI Core Kit]],Table_NFI[NFI Core Kit])</f>
        <v>#REF!</v>
      </c>
      <c r="AD12" s="586" t="e">
        <f>IF(NFI_Expiration=1,IF(#REF!&lt;VLOOKUP(M$5,NFI,5,0),1,0)*Table_NFI[[#This Row],[Sanitary Kit]],Table_NFI[Sanitary Kit])</f>
        <v>#REF!</v>
      </c>
      <c r="AE12" s="586" t="e">
        <f>IF(NFI_Expiration=1,IF(#REF!&lt;VLOOKUP(N$5,NFI,5,0),1,0)*Table_NFI[[#This Row],[Mosquito net]],Table_NFI[Mosquito net])</f>
        <v>#REF!</v>
      </c>
      <c r="AF12" s="586"/>
      <c r="AG12" s="586"/>
      <c r="AH12" s="586"/>
      <c r="AI12" s="586"/>
      <c r="AJ12" s="586"/>
      <c r="AK12" s="586"/>
      <c r="AL12" s="586"/>
      <c r="AM12" s="586"/>
      <c r="AN12" s="586"/>
      <c r="AO12" s="586"/>
      <c r="AP12" s="586">
        <f>IF(Table_NFI[[#This Row],[Winter Clothes Adult]]+Table_NFI[[#This Row],[Winter Clothes Children]]+Table_NFI[[#This Row],[Winter Items Other]]+Table_NFI[[#This Row],[Winter Blanket]]&gt;0,1,0)</f>
        <v>0</v>
      </c>
      <c r="AQ12" s="586"/>
      <c r="AR12" s="586"/>
      <c r="AS12" s="586"/>
      <c r="AT12" s="220" t="str">
        <f>IFERROR(VLOOKUP(Table_NFI[[#This Row],[Location]],CL,2,0),"")</f>
        <v>MMR001CMP116</v>
      </c>
      <c r="AU12" s="214" t="s">
        <v>1265</v>
      </c>
      <c r="AV12" s="587"/>
      <c r="AW12" s="587"/>
      <c r="AX12" s="587"/>
      <c r="AY12" s="587"/>
      <c r="AZ12" s="587"/>
      <c r="BA12" s="587"/>
      <c r="BB12" s="587"/>
      <c r="BC12" s="587"/>
      <c r="BD12" s="587"/>
      <c r="BE12" s="587"/>
      <c r="BF12" s="587"/>
      <c r="BG12" s="587"/>
      <c r="BH12" s="587"/>
      <c r="BI12" s="587"/>
      <c r="BJ12" s="587"/>
      <c r="BK12" s="587"/>
      <c r="BL12" s="587"/>
      <c r="BM12" s="587"/>
      <c r="BN12" s="587"/>
      <c r="BO12" s="587"/>
      <c r="BP12" s="587"/>
      <c r="BQ12" s="587"/>
      <c r="BR12" s="587"/>
      <c r="BS12" s="587"/>
      <c r="BT12" s="587"/>
      <c r="BU12" s="587"/>
      <c r="BV12" s="587"/>
      <c r="BW12" s="587"/>
      <c r="BX12" s="587"/>
      <c r="BY12" s="587"/>
      <c r="BZ12" s="587"/>
      <c r="CA12" s="587"/>
      <c r="CB12" s="587"/>
      <c r="CC12" s="587"/>
      <c r="CD12" s="587"/>
      <c r="CE12" s="587"/>
      <c r="CF12" s="587"/>
      <c r="CG12" s="587"/>
      <c r="CH12" s="587"/>
      <c r="CI12" s="587"/>
      <c r="CJ12" s="587"/>
      <c r="CK12" s="587"/>
      <c r="CL12" s="587"/>
      <c r="CM12" s="587"/>
      <c r="CN12" s="587"/>
      <c r="CO12" s="587"/>
      <c r="CP12" s="587"/>
      <c r="CQ12" s="587"/>
      <c r="CR12" s="587"/>
      <c r="CS12" s="587"/>
      <c r="CT12" s="587"/>
      <c r="CU12" s="587"/>
      <c r="CV12" s="587"/>
      <c r="CW12" s="587"/>
      <c r="CX12" s="587"/>
      <c r="CY12" s="587"/>
      <c r="CZ12" s="587"/>
      <c r="DA12" s="587"/>
      <c r="DB12" s="587"/>
      <c r="DC12" s="587"/>
      <c r="DD12" s="587"/>
      <c r="DE12" s="587"/>
      <c r="DF12" s="587"/>
      <c r="DG12" s="587"/>
      <c r="DH12" s="587"/>
      <c r="DI12" s="587"/>
      <c r="DJ12" s="587"/>
      <c r="DK12" s="587"/>
      <c r="DL12" s="587"/>
      <c r="DM12" s="587"/>
      <c r="DN12" s="587"/>
      <c r="DO12" s="587"/>
    </row>
    <row r="13" spans="2:119" s="583" customFormat="1" ht="18.75" hidden="1" customHeight="1" x14ac:dyDescent="0.25">
      <c r="B13" s="584">
        <v>42754</v>
      </c>
      <c r="C13" s="584" t="str">
        <f>MONTH(Table_NFI[[#This Row],[Distribution Date]]) &amp; "/" &amp; YEAR(Table_NFI[[#This Row],[Distribution Date]])</f>
        <v>1/2017</v>
      </c>
      <c r="D13" s="213" t="s">
        <v>420</v>
      </c>
      <c r="E13" s="213" t="s">
        <v>1091</v>
      </c>
      <c r="F13" s="213" t="s">
        <v>378</v>
      </c>
      <c r="G13" s="213" t="s">
        <v>309</v>
      </c>
      <c r="H13" s="213" t="s">
        <v>329</v>
      </c>
      <c r="I13" s="197"/>
      <c r="J13" s="585"/>
      <c r="K13" s="585"/>
      <c r="L13" s="585">
        <v>9</v>
      </c>
      <c r="M13" s="585">
        <v>9</v>
      </c>
      <c r="N13" s="585">
        <v>35</v>
      </c>
      <c r="O13" s="585">
        <v>9</v>
      </c>
      <c r="P13" s="585">
        <v>35</v>
      </c>
      <c r="Q13" s="585">
        <v>9</v>
      </c>
      <c r="R13" s="585"/>
      <c r="S13" s="585">
        <v>9</v>
      </c>
      <c r="T13" s="585">
        <v>35</v>
      </c>
      <c r="U13" s="585"/>
      <c r="V13" s="585"/>
      <c r="W13" s="585"/>
      <c r="X13" s="585"/>
      <c r="Y13" s="585">
        <v>9</v>
      </c>
      <c r="Z13" s="585"/>
      <c r="AA13" s="585"/>
      <c r="AB13" s="585">
        <v>9</v>
      </c>
      <c r="AC13" s="586" t="e">
        <f>IF(NFI_Expiration=1,IF(#REF!&lt;VLOOKUP(L$5,NFI,5,0),1,0)*Table_NFI[[#This Row],[NFI Core Kit]],Table_NFI[NFI Core Kit])</f>
        <v>#REF!</v>
      </c>
      <c r="AD13" s="586" t="e">
        <f>IF(NFI_Expiration=1,IF(#REF!&lt;VLOOKUP(M$5,NFI,5,0),1,0)*Table_NFI[[#This Row],[Sanitary Kit]],Table_NFI[Sanitary Kit])</f>
        <v>#REF!</v>
      </c>
      <c r="AE13" s="586" t="e">
        <f>IF(NFI_Expiration=1,IF(#REF!&lt;VLOOKUP(N$5,NFI,5,0),1,0)*Table_NFI[[#This Row],[Mosquito net]],Table_NFI[Mosquito net])</f>
        <v>#REF!</v>
      </c>
      <c r="AF13" s="586"/>
      <c r="AG13" s="586"/>
      <c r="AH13" s="586"/>
      <c r="AI13" s="586"/>
      <c r="AJ13" s="586"/>
      <c r="AK13" s="586"/>
      <c r="AL13" s="586"/>
      <c r="AM13" s="586"/>
      <c r="AN13" s="586"/>
      <c r="AO13" s="586"/>
      <c r="AP13" s="586">
        <f>IF(Table_NFI[[#This Row],[Winter Clothes Adult]]+Table_NFI[[#This Row],[Winter Clothes Children]]+Table_NFI[[#This Row],[Winter Items Other]]+Table_NFI[[#This Row],[Winter Blanket]]&gt;0,1,0)</f>
        <v>0</v>
      </c>
      <c r="AQ13" s="586"/>
      <c r="AR13" s="586"/>
      <c r="AS13" s="586"/>
      <c r="AT13" s="220" t="str">
        <f>IFERROR(VLOOKUP(Table_NFI[[#This Row],[Location]],CL,2,0),"")</f>
        <v>MMR001CMP029</v>
      </c>
      <c r="AU13" s="197" t="s">
        <v>1243</v>
      </c>
      <c r="AV13" s="587"/>
      <c r="AW13" s="587"/>
      <c r="AX13" s="587"/>
      <c r="AY13" s="587"/>
      <c r="AZ13" s="587"/>
      <c r="BA13" s="587"/>
      <c r="BB13" s="587"/>
      <c r="BC13" s="587"/>
      <c r="BD13" s="587"/>
      <c r="BE13" s="587"/>
      <c r="BF13" s="587"/>
      <c r="BG13" s="587"/>
      <c r="BH13" s="587"/>
      <c r="BI13" s="587"/>
      <c r="BJ13" s="587"/>
      <c r="BK13" s="587"/>
      <c r="BL13" s="587"/>
      <c r="BM13" s="587"/>
      <c r="BN13" s="587"/>
      <c r="BO13" s="587"/>
      <c r="BP13" s="587"/>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587"/>
      <c r="CU13" s="587"/>
      <c r="CV13" s="587"/>
      <c r="CW13" s="587"/>
      <c r="CX13" s="587"/>
      <c r="CY13" s="587"/>
      <c r="CZ13" s="587"/>
      <c r="DA13" s="587"/>
      <c r="DB13" s="587"/>
      <c r="DC13" s="587"/>
      <c r="DD13" s="587"/>
      <c r="DE13" s="587"/>
      <c r="DF13" s="587"/>
      <c r="DG13" s="587"/>
      <c r="DH13" s="587"/>
      <c r="DI13" s="587"/>
      <c r="DJ13" s="587"/>
      <c r="DK13" s="587"/>
      <c r="DL13" s="587"/>
      <c r="DM13" s="587"/>
      <c r="DN13" s="587"/>
      <c r="DO13" s="587"/>
    </row>
    <row r="14" spans="2:119" s="583" customFormat="1" ht="18.75" hidden="1" customHeight="1" x14ac:dyDescent="0.25">
      <c r="B14" s="584">
        <v>42755</v>
      </c>
      <c r="C14" s="584" t="str">
        <f>MONTH(Table_NFI[[#This Row],[Distribution Date]]) &amp; "/" &amp; YEAR(Table_NFI[[#This Row],[Distribution Date]])</f>
        <v>1/2017</v>
      </c>
      <c r="D14" s="213" t="s">
        <v>420</v>
      </c>
      <c r="E14" s="213" t="s">
        <v>462</v>
      </c>
      <c r="F14" s="213" t="s">
        <v>378</v>
      </c>
      <c r="G14" s="213" t="s">
        <v>309</v>
      </c>
      <c r="H14" s="213" t="s">
        <v>327</v>
      </c>
      <c r="I14" s="197"/>
      <c r="J14" s="585"/>
      <c r="K14" s="585"/>
      <c r="L14" s="585">
        <v>5</v>
      </c>
      <c r="M14" s="585">
        <v>5</v>
      </c>
      <c r="N14" s="585">
        <v>21</v>
      </c>
      <c r="O14" s="585">
        <v>5</v>
      </c>
      <c r="P14" s="585">
        <v>21</v>
      </c>
      <c r="Q14" s="585">
        <v>5</v>
      </c>
      <c r="R14" s="585"/>
      <c r="S14" s="585">
        <v>5</v>
      </c>
      <c r="T14" s="585">
        <v>21</v>
      </c>
      <c r="U14" s="585"/>
      <c r="V14" s="585"/>
      <c r="W14" s="585"/>
      <c r="X14" s="585"/>
      <c r="Y14" s="585">
        <v>5</v>
      </c>
      <c r="Z14" s="585"/>
      <c r="AA14" s="585"/>
      <c r="AB14" s="585"/>
      <c r="AC14" s="586" t="e">
        <f>IF(NFI_Expiration=1,IF(#REF!&lt;VLOOKUP(L$5,NFI,5,0),1,0)*Table_NFI[[#This Row],[NFI Core Kit]],Table_NFI[NFI Core Kit])</f>
        <v>#REF!</v>
      </c>
      <c r="AD14" s="586" t="e">
        <f>IF(NFI_Expiration=1,IF(#REF!&lt;VLOOKUP(M$5,NFI,5,0),1,0)*Table_NFI[[#This Row],[Sanitary Kit]],Table_NFI[Sanitary Kit])</f>
        <v>#REF!</v>
      </c>
      <c r="AE14" s="586" t="e">
        <f>IF(NFI_Expiration=1,IF(#REF!&lt;VLOOKUP(N$5,NFI,5,0),1,0)*Table_NFI[[#This Row],[Mosquito net]],Table_NFI[Mosquito net])</f>
        <v>#REF!</v>
      </c>
      <c r="AF14" s="586"/>
      <c r="AG14" s="586"/>
      <c r="AH14" s="586"/>
      <c r="AI14" s="586"/>
      <c r="AJ14" s="586"/>
      <c r="AK14" s="586"/>
      <c r="AL14" s="586"/>
      <c r="AM14" s="586"/>
      <c r="AN14" s="586"/>
      <c r="AO14" s="586"/>
      <c r="AP14" s="586">
        <f>IF(Table_NFI[[#This Row],[Winter Clothes Adult]]+Table_NFI[[#This Row],[Winter Clothes Children]]+Table_NFI[[#This Row],[Winter Items Other]]+Table_NFI[[#This Row],[Winter Blanket]]&gt;0,1,0)</f>
        <v>0</v>
      </c>
      <c r="AQ14" s="586"/>
      <c r="AR14" s="586"/>
      <c r="AS14" s="586"/>
      <c r="AT14" s="220" t="str">
        <f>IFERROR(VLOOKUP(Table_NFI[[#This Row],[Location]],CL,2,0),"")</f>
        <v>MMR001CMP031</v>
      </c>
      <c r="AU14" s="197" t="s">
        <v>1243</v>
      </c>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row>
    <row r="15" spans="2:119" s="583" customFormat="1" ht="18.75" hidden="1" customHeight="1" x14ac:dyDescent="0.25">
      <c r="B15" s="584">
        <v>42755</v>
      </c>
      <c r="C15" s="584" t="str">
        <f>MONTH(Table_NFI[[#This Row],[Distribution Date]]) &amp; "/" &amp; YEAR(Table_NFI[[#This Row],[Distribution Date]])</f>
        <v>1/2017</v>
      </c>
      <c r="D15" s="213" t="s">
        <v>420</v>
      </c>
      <c r="E15" s="213" t="s">
        <v>462</v>
      </c>
      <c r="F15" s="213" t="s">
        <v>378</v>
      </c>
      <c r="G15" s="213" t="s">
        <v>309</v>
      </c>
      <c r="H15" s="213" t="s">
        <v>349</v>
      </c>
      <c r="I15" s="197"/>
      <c r="J15" s="585"/>
      <c r="K15" s="585"/>
      <c r="L15" s="585">
        <v>6</v>
      </c>
      <c r="M15" s="585">
        <v>6</v>
      </c>
      <c r="N15" s="585">
        <v>13</v>
      </c>
      <c r="O15" s="585">
        <v>6</v>
      </c>
      <c r="P15" s="585">
        <v>13</v>
      </c>
      <c r="Q15" s="585">
        <v>6</v>
      </c>
      <c r="R15" s="585"/>
      <c r="S15" s="585">
        <v>6</v>
      </c>
      <c r="T15" s="585">
        <v>13</v>
      </c>
      <c r="U15" s="585"/>
      <c r="V15" s="585"/>
      <c r="W15" s="585"/>
      <c r="X15" s="585"/>
      <c r="Y15" s="585">
        <v>6</v>
      </c>
      <c r="Z15" s="585"/>
      <c r="AA15" s="585"/>
      <c r="AB15" s="585"/>
      <c r="AC15" s="586" t="e">
        <f>IF(NFI_Expiration=1,IF(#REF!&lt;VLOOKUP(L$5,NFI,5,0),1,0)*Table_NFI[[#This Row],[NFI Core Kit]],Table_NFI[NFI Core Kit])</f>
        <v>#REF!</v>
      </c>
      <c r="AD15" s="586" t="e">
        <f>IF(NFI_Expiration=1,IF(#REF!&lt;VLOOKUP(M$5,NFI,5,0),1,0)*Table_NFI[[#This Row],[Sanitary Kit]],Table_NFI[Sanitary Kit])</f>
        <v>#REF!</v>
      </c>
      <c r="AE15" s="586" t="e">
        <f>IF(NFI_Expiration=1,IF(#REF!&lt;VLOOKUP(N$5,NFI,5,0),1,0)*Table_NFI[[#This Row],[Mosquito net]],Table_NFI[Mosquito net])</f>
        <v>#REF!</v>
      </c>
      <c r="AF15" s="586"/>
      <c r="AG15" s="586"/>
      <c r="AH15" s="586"/>
      <c r="AI15" s="586"/>
      <c r="AJ15" s="586"/>
      <c r="AK15" s="586"/>
      <c r="AL15" s="586"/>
      <c r="AM15" s="586"/>
      <c r="AN15" s="586"/>
      <c r="AO15" s="586"/>
      <c r="AP15" s="586">
        <f>IF(Table_NFI[[#This Row],[Winter Clothes Adult]]+Table_NFI[[#This Row],[Winter Clothes Children]]+Table_NFI[[#This Row],[Winter Items Other]]+Table_NFI[[#This Row],[Winter Blanket]]&gt;0,1,0)</f>
        <v>0</v>
      </c>
      <c r="AQ15" s="586"/>
      <c r="AR15" s="586"/>
      <c r="AS15" s="586"/>
      <c r="AT15" s="220" t="str">
        <f>IFERROR(VLOOKUP(Table_NFI[[#This Row],[Location]],CL,2,0),"")</f>
        <v>MMR001CMP026</v>
      </c>
      <c r="AU15" s="197" t="s">
        <v>1243</v>
      </c>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row>
    <row r="16" spans="2:119" s="583" customFormat="1" ht="18.75" hidden="1" customHeight="1" x14ac:dyDescent="0.25">
      <c r="B16" s="584">
        <v>42755</v>
      </c>
      <c r="C16" s="584" t="str">
        <f>MONTH(Table_NFI[[#This Row],[Distribution Date]]) &amp; "/" &amp; YEAR(Table_NFI[[#This Row],[Distribution Date]])</f>
        <v>1/2017</v>
      </c>
      <c r="D16" s="213" t="s">
        <v>420</v>
      </c>
      <c r="E16" s="213" t="s">
        <v>462</v>
      </c>
      <c r="F16" s="213" t="s">
        <v>378</v>
      </c>
      <c r="G16" s="213" t="s">
        <v>309</v>
      </c>
      <c r="H16" s="213" t="s">
        <v>317</v>
      </c>
      <c r="I16" s="197"/>
      <c r="J16" s="585"/>
      <c r="K16" s="585"/>
      <c r="L16" s="585">
        <v>9</v>
      </c>
      <c r="M16" s="585">
        <v>9</v>
      </c>
      <c r="N16" s="585">
        <v>19</v>
      </c>
      <c r="O16" s="585">
        <v>9</v>
      </c>
      <c r="P16" s="585">
        <v>19</v>
      </c>
      <c r="Q16" s="585">
        <v>9</v>
      </c>
      <c r="R16" s="585"/>
      <c r="S16" s="585">
        <v>9</v>
      </c>
      <c r="T16" s="585">
        <v>19</v>
      </c>
      <c r="U16" s="585"/>
      <c r="V16" s="585"/>
      <c r="W16" s="585"/>
      <c r="X16" s="585"/>
      <c r="Y16" s="585">
        <v>9</v>
      </c>
      <c r="Z16" s="585"/>
      <c r="AA16" s="585"/>
      <c r="AB16" s="585">
        <v>10</v>
      </c>
      <c r="AC16" s="586" t="e">
        <f>IF(NFI_Expiration=1,IF(#REF!&lt;VLOOKUP(L$5,NFI,5,0),1,0)*Table_NFI[[#This Row],[NFI Core Kit]],Table_NFI[NFI Core Kit])</f>
        <v>#REF!</v>
      </c>
      <c r="AD16" s="586" t="e">
        <f>IF(NFI_Expiration=1,IF(#REF!&lt;VLOOKUP(M$5,NFI,5,0),1,0)*Table_NFI[[#This Row],[Sanitary Kit]],Table_NFI[Sanitary Kit])</f>
        <v>#REF!</v>
      </c>
      <c r="AE16" s="586" t="e">
        <f>IF(NFI_Expiration=1,IF(#REF!&lt;VLOOKUP(N$5,NFI,5,0),1,0)*Table_NFI[[#This Row],[Mosquito net]],Table_NFI[Mosquito net])</f>
        <v>#REF!</v>
      </c>
      <c r="AF16" s="586"/>
      <c r="AG16" s="586"/>
      <c r="AH16" s="586"/>
      <c r="AI16" s="586"/>
      <c r="AJ16" s="586"/>
      <c r="AK16" s="586"/>
      <c r="AL16" s="586"/>
      <c r="AM16" s="586"/>
      <c r="AN16" s="586"/>
      <c r="AO16" s="586"/>
      <c r="AP16" s="586">
        <f>IF(Table_NFI[[#This Row],[Winter Clothes Adult]]+Table_NFI[[#This Row],[Winter Clothes Children]]+Table_NFI[[#This Row],[Winter Items Other]]+Table_NFI[[#This Row],[Winter Blanket]]&gt;0,1,0)</f>
        <v>0</v>
      </c>
      <c r="AQ16" s="586"/>
      <c r="AR16" s="586"/>
      <c r="AS16" s="586"/>
      <c r="AT16" s="220" t="str">
        <f>IFERROR(VLOOKUP(Table_NFI[[#This Row],[Location]],CL,2,0),"")</f>
        <v>MMR001CMP032</v>
      </c>
      <c r="AU16" s="197" t="s">
        <v>1243</v>
      </c>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row>
    <row r="17" spans="2:119" s="583" customFormat="1" ht="18.75" hidden="1" customHeight="1" x14ac:dyDescent="0.25">
      <c r="B17" s="584">
        <v>42755</v>
      </c>
      <c r="C17" s="584" t="str">
        <f>MONTH(Table_NFI[[#This Row],[Distribution Date]]) &amp; "/" &amp; YEAR(Table_NFI[[#This Row],[Distribution Date]])</f>
        <v>1/2017</v>
      </c>
      <c r="D17" s="213" t="s">
        <v>420</v>
      </c>
      <c r="E17" s="213" t="s">
        <v>462</v>
      </c>
      <c r="F17" s="213" t="s">
        <v>378</v>
      </c>
      <c r="G17" s="213" t="s">
        <v>309</v>
      </c>
      <c r="H17" s="213" t="s">
        <v>315</v>
      </c>
      <c r="I17" s="197"/>
      <c r="J17" s="585"/>
      <c r="K17" s="585"/>
      <c r="L17" s="585">
        <v>6</v>
      </c>
      <c r="M17" s="585">
        <v>6</v>
      </c>
      <c r="N17" s="585">
        <v>17</v>
      </c>
      <c r="O17" s="585">
        <v>6</v>
      </c>
      <c r="P17" s="585">
        <v>17</v>
      </c>
      <c r="Q17" s="585">
        <v>6</v>
      </c>
      <c r="R17" s="585"/>
      <c r="S17" s="585">
        <v>6</v>
      </c>
      <c r="T17" s="585">
        <v>17</v>
      </c>
      <c r="U17" s="585"/>
      <c r="V17" s="585"/>
      <c r="W17" s="585"/>
      <c r="X17" s="585"/>
      <c r="Y17" s="585">
        <v>6</v>
      </c>
      <c r="Z17" s="585"/>
      <c r="AA17" s="585"/>
      <c r="AB17" s="585"/>
      <c r="AC17" s="586" t="e">
        <f>IF(NFI_Expiration=1,IF(#REF!&lt;VLOOKUP(L$5,NFI,5,0),1,0)*Table_NFI[[#This Row],[NFI Core Kit]],Table_NFI[NFI Core Kit])</f>
        <v>#REF!</v>
      </c>
      <c r="AD17" s="586" t="e">
        <f>IF(NFI_Expiration=1,IF(#REF!&lt;VLOOKUP(M$5,NFI,5,0),1,0)*Table_NFI[[#This Row],[Sanitary Kit]],Table_NFI[Sanitary Kit])</f>
        <v>#REF!</v>
      </c>
      <c r="AE17" s="586" t="e">
        <f>IF(NFI_Expiration=1,IF(#REF!&lt;VLOOKUP(N$5,NFI,5,0),1,0)*Table_NFI[[#This Row],[Mosquito net]],Table_NFI[Mosquito net])</f>
        <v>#REF!</v>
      </c>
      <c r="AF17" s="586"/>
      <c r="AG17" s="586"/>
      <c r="AH17" s="586"/>
      <c r="AI17" s="586"/>
      <c r="AJ17" s="586"/>
      <c r="AK17" s="586"/>
      <c r="AL17" s="586"/>
      <c r="AM17" s="586"/>
      <c r="AN17" s="586"/>
      <c r="AO17" s="586"/>
      <c r="AP17" s="586">
        <f>IF(Table_NFI[[#This Row],[Winter Clothes Adult]]+Table_NFI[[#This Row],[Winter Clothes Children]]+Table_NFI[[#This Row],[Winter Items Other]]+Table_NFI[[#This Row],[Winter Blanket]]&gt;0,1,0)</f>
        <v>0</v>
      </c>
      <c r="AQ17" s="586"/>
      <c r="AR17" s="586"/>
      <c r="AS17" s="586"/>
      <c r="AT17" s="220" t="str">
        <f>IFERROR(VLOOKUP(Table_NFI[[#This Row],[Location]],CL,2,0),"")</f>
        <v>MMR001CMP038</v>
      </c>
      <c r="AU17" s="197" t="s">
        <v>1243</v>
      </c>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row>
    <row r="18" spans="2:119" s="583" customFormat="1" ht="18.75" hidden="1" customHeight="1" x14ac:dyDescent="0.25">
      <c r="B18" s="584">
        <v>42755</v>
      </c>
      <c r="C18" s="584" t="str">
        <f>MONTH(Table_NFI[[#This Row],[Distribution Date]]) &amp; "/" &amp; YEAR(Table_NFI[[#This Row],[Distribution Date]])</f>
        <v>1/2017</v>
      </c>
      <c r="D18" s="213" t="s">
        <v>420</v>
      </c>
      <c r="E18" s="213" t="s">
        <v>462</v>
      </c>
      <c r="F18" s="213" t="s">
        <v>378</v>
      </c>
      <c r="G18" s="213" t="s">
        <v>309</v>
      </c>
      <c r="H18" s="213" t="s">
        <v>347</v>
      </c>
      <c r="I18" s="197"/>
      <c r="J18" s="585"/>
      <c r="K18" s="585"/>
      <c r="L18" s="585">
        <v>1</v>
      </c>
      <c r="M18" s="585">
        <v>1</v>
      </c>
      <c r="N18" s="585">
        <v>4</v>
      </c>
      <c r="O18" s="585">
        <v>1</v>
      </c>
      <c r="P18" s="585">
        <v>4</v>
      </c>
      <c r="Q18" s="585">
        <v>1</v>
      </c>
      <c r="R18" s="585"/>
      <c r="S18" s="585">
        <v>1</v>
      </c>
      <c r="T18" s="585">
        <v>4</v>
      </c>
      <c r="U18" s="585"/>
      <c r="V18" s="585"/>
      <c r="W18" s="585"/>
      <c r="X18" s="585"/>
      <c r="Y18" s="585">
        <v>1</v>
      </c>
      <c r="Z18" s="585"/>
      <c r="AA18" s="585"/>
      <c r="AB18" s="585"/>
      <c r="AC18" s="586" t="e">
        <f>IF(NFI_Expiration=1,IF(#REF!&lt;VLOOKUP(L$5,NFI,5,0),1,0)*Table_NFI[[#This Row],[NFI Core Kit]],Table_NFI[NFI Core Kit])</f>
        <v>#REF!</v>
      </c>
      <c r="AD18" s="586" t="e">
        <f>IF(NFI_Expiration=1,IF(#REF!&lt;VLOOKUP(M$5,NFI,5,0),1,0)*Table_NFI[[#This Row],[Sanitary Kit]],Table_NFI[Sanitary Kit])</f>
        <v>#REF!</v>
      </c>
      <c r="AE18" s="586" t="e">
        <f>IF(NFI_Expiration=1,IF(#REF!&lt;VLOOKUP(N$5,NFI,5,0),1,0)*Table_NFI[[#This Row],[Mosquito net]],Table_NFI[Mosquito net])</f>
        <v>#REF!</v>
      </c>
      <c r="AF18" s="586"/>
      <c r="AG18" s="586"/>
      <c r="AH18" s="586"/>
      <c r="AI18" s="586"/>
      <c r="AJ18" s="586"/>
      <c r="AK18" s="586"/>
      <c r="AL18" s="586"/>
      <c r="AM18" s="586"/>
      <c r="AN18" s="586"/>
      <c r="AO18" s="586"/>
      <c r="AP18" s="586">
        <f>IF(Table_NFI[[#This Row],[Winter Clothes Adult]]+Table_NFI[[#This Row],[Winter Clothes Children]]+Table_NFI[[#This Row],[Winter Items Other]]+Table_NFI[[#This Row],[Winter Blanket]]&gt;0,1,0)</f>
        <v>0</v>
      </c>
      <c r="AQ18" s="586"/>
      <c r="AR18" s="586"/>
      <c r="AS18" s="586"/>
      <c r="AT18" s="220" t="str">
        <f>IFERROR(VLOOKUP(Table_NFI[[#This Row],[Location]],CL,2,0),"")</f>
        <v>MMR001CMP037</v>
      </c>
      <c r="AU18" s="197" t="s">
        <v>1243</v>
      </c>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row>
    <row r="19" spans="2:119" s="583" customFormat="1" ht="18.75" hidden="1" customHeight="1" x14ac:dyDescent="0.25">
      <c r="B19" s="584">
        <v>42755</v>
      </c>
      <c r="C19" s="584" t="str">
        <f>MONTH(Table_NFI[[#This Row],[Distribution Date]]) &amp; "/" &amp; YEAR(Table_NFI[[#This Row],[Distribution Date]])</f>
        <v>1/2017</v>
      </c>
      <c r="D19" s="213" t="s">
        <v>420</v>
      </c>
      <c r="E19" s="213" t="s">
        <v>424</v>
      </c>
      <c r="F19" s="213" t="s">
        <v>378</v>
      </c>
      <c r="G19" s="213" t="s">
        <v>151</v>
      </c>
      <c r="H19" s="213" t="s">
        <v>803</v>
      </c>
      <c r="I19" s="197"/>
      <c r="J19" s="585"/>
      <c r="K19" s="585"/>
      <c r="L19" s="585">
        <v>11</v>
      </c>
      <c r="M19" s="585">
        <v>11</v>
      </c>
      <c r="N19" s="585">
        <v>32</v>
      </c>
      <c r="O19" s="585">
        <v>11</v>
      </c>
      <c r="P19" s="585">
        <v>32</v>
      </c>
      <c r="Q19" s="585">
        <v>11</v>
      </c>
      <c r="R19" s="585"/>
      <c r="S19" s="585">
        <v>11</v>
      </c>
      <c r="T19" s="585">
        <v>52</v>
      </c>
      <c r="U19" s="585"/>
      <c r="V19" s="585"/>
      <c r="W19" s="585"/>
      <c r="X19" s="585"/>
      <c r="Y19" s="585">
        <v>11</v>
      </c>
      <c r="Z19" s="585"/>
      <c r="AA19" s="585"/>
      <c r="AB19" s="585">
        <v>11</v>
      </c>
      <c r="AC19" s="586" t="e">
        <f>IF(NFI_Expiration=1,IF(#REF!&lt;VLOOKUP(L$5,NFI,5,0),1,0)*Table_NFI[[#This Row],[NFI Core Kit]],Table_NFI[NFI Core Kit])</f>
        <v>#REF!</v>
      </c>
      <c r="AD19" s="586" t="e">
        <f>IF(NFI_Expiration=1,IF(#REF!&lt;VLOOKUP(M$5,NFI,5,0),1,0)*Table_NFI[[#This Row],[Sanitary Kit]],Table_NFI[Sanitary Kit])</f>
        <v>#REF!</v>
      </c>
      <c r="AE19" s="586" t="e">
        <f>IF(NFI_Expiration=1,IF(#REF!&lt;VLOOKUP(N$5,NFI,5,0),1,0)*Table_NFI[[#This Row],[Mosquito net]],Table_NFI[Mosquito net])</f>
        <v>#REF!</v>
      </c>
      <c r="AF19" s="586"/>
      <c r="AG19" s="586"/>
      <c r="AH19" s="586"/>
      <c r="AI19" s="586"/>
      <c r="AJ19" s="586"/>
      <c r="AK19" s="586"/>
      <c r="AL19" s="586"/>
      <c r="AM19" s="586"/>
      <c r="AN19" s="586"/>
      <c r="AO19" s="586"/>
      <c r="AP19" s="586">
        <f>IF(Table_NFI[[#This Row],[Winter Clothes Adult]]+Table_NFI[[#This Row],[Winter Clothes Children]]+Table_NFI[[#This Row],[Winter Items Other]]+Table_NFI[[#This Row],[Winter Blanket]]&gt;0,1,0)</f>
        <v>0</v>
      </c>
      <c r="AQ19" s="586"/>
      <c r="AR19" s="586"/>
      <c r="AS19" s="586"/>
      <c r="AT19" s="220" t="str">
        <f>IFERROR(VLOOKUP(Table_NFI[[#This Row],[Location]],CL,2,0),"")</f>
        <v>MMR001CMP212</v>
      </c>
      <c r="AU19" s="197" t="s">
        <v>1243</v>
      </c>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row>
    <row r="20" spans="2:119" s="583" customFormat="1" ht="18.75" hidden="1" customHeight="1" x14ac:dyDescent="0.25">
      <c r="B20" s="584">
        <v>42758</v>
      </c>
      <c r="C20" s="584" t="str">
        <f>MONTH(Table_NFI[[#This Row],[Distribution Date]]) &amp; "/" &amp; YEAR(Table_NFI[[#This Row],[Distribution Date]])</f>
        <v>1/2017</v>
      </c>
      <c r="D20" s="212" t="s">
        <v>1398</v>
      </c>
      <c r="E20" s="212" t="s">
        <v>1398</v>
      </c>
      <c r="F20" s="213" t="s">
        <v>378</v>
      </c>
      <c r="G20" s="213" t="s">
        <v>309</v>
      </c>
      <c r="H20" s="213" t="s">
        <v>196</v>
      </c>
      <c r="I20" s="197"/>
      <c r="J20" s="585">
        <v>38</v>
      </c>
      <c r="K20" s="585"/>
      <c r="L20" s="585">
        <v>38</v>
      </c>
      <c r="M20" s="585">
        <v>342</v>
      </c>
      <c r="N20" s="585">
        <v>76</v>
      </c>
      <c r="O20" s="585"/>
      <c r="P20" s="585">
        <v>76</v>
      </c>
      <c r="Q20" s="585"/>
      <c r="R20" s="585"/>
      <c r="S20" s="585">
        <v>38</v>
      </c>
      <c r="T20" s="585">
        <v>76</v>
      </c>
      <c r="U20" s="585"/>
      <c r="V20" s="585"/>
      <c r="W20" s="585"/>
      <c r="X20" s="585"/>
      <c r="Y20" s="585">
        <v>38</v>
      </c>
      <c r="Z20" s="585"/>
      <c r="AA20" s="585"/>
      <c r="AB20" s="585"/>
      <c r="AC20" s="586"/>
      <c r="AD20" s="586"/>
      <c r="AE20" s="586"/>
      <c r="AF20" s="586"/>
      <c r="AG20" s="586"/>
      <c r="AH20" s="586"/>
      <c r="AI20" s="586"/>
      <c r="AJ20" s="586"/>
      <c r="AK20" s="586"/>
      <c r="AL20" s="586"/>
      <c r="AM20" s="586"/>
      <c r="AN20" s="586"/>
      <c r="AO20" s="586"/>
      <c r="AP20" s="586">
        <f>IF(Table_NFI[[#This Row],[Winter Clothes Adult]]+Table_NFI[[#This Row],[Winter Clothes Children]]+Table_NFI[[#This Row],[Winter Items Other]]+Table_NFI[[#This Row],[Winter Blanket]]&gt;0,1,0)</f>
        <v>0</v>
      </c>
      <c r="AQ20" s="586"/>
      <c r="AR20" s="586"/>
      <c r="AS20" s="586"/>
      <c r="AT20" s="220" t="str">
        <f>IFERROR(VLOOKUP(Table_NFI[[#This Row],[Location]],CL,2,0),"")</f>
        <v>MMR001CMP121</v>
      </c>
      <c r="AU20" s="214" t="s">
        <v>1265</v>
      </c>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row>
    <row r="21" spans="2:119" s="583" customFormat="1" ht="18.75" hidden="1" customHeight="1" x14ac:dyDescent="0.25">
      <c r="B21" s="584">
        <v>42758</v>
      </c>
      <c r="C21" s="584" t="str">
        <f>MONTH(Table_NFI[[#This Row],[Distribution Date]]) &amp; "/" &amp; YEAR(Table_NFI[[#This Row],[Distribution Date]])</f>
        <v>1/2017</v>
      </c>
      <c r="D21" s="213" t="s">
        <v>420</v>
      </c>
      <c r="E21" s="588" t="s">
        <v>1629</v>
      </c>
      <c r="F21" s="213" t="s">
        <v>378</v>
      </c>
      <c r="G21" s="213" t="s">
        <v>151</v>
      </c>
      <c r="H21" s="213" t="s">
        <v>802</v>
      </c>
      <c r="I21" s="197"/>
      <c r="J21" s="585"/>
      <c r="K21" s="585"/>
      <c r="L21" s="585">
        <v>24</v>
      </c>
      <c r="M21" s="585">
        <v>25</v>
      </c>
      <c r="N21" s="585">
        <v>45</v>
      </c>
      <c r="O21" s="585">
        <v>25</v>
      </c>
      <c r="P21" s="585">
        <v>45</v>
      </c>
      <c r="Q21" s="585">
        <v>25</v>
      </c>
      <c r="R21" s="585"/>
      <c r="S21" s="585">
        <v>25</v>
      </c>
      <c r="T21" s="585">
        <v>83</v>
      </c>
      <c r="U21" s="585"/>
      <c r="V21" s="585"/>
      <c r="W21" s="585"/>
      <c r="X21" s="585"/>
      <c r="Y21" s="585">
        <v>25</v>
      </c>
      <c r="Z21" s="585"/>
      <c r="AA21" s="585"/>
      <c r="AB21" s="585"/>
      <c r="AC21" s="586"/>
      <c r="AD21" s="586"/>
      <c r="AE21" s="586"/>
      <c r="AF21" s="586"/>
      <c r="AG21" s="586"/>
      <c r="AH21" s="586"/>
      <c r="AI21" s="586"/>
      <c r="AJ21" s="586"/>
      <c r="AK21" s="586"/>
      <c r="AL21" s="586"/>
      <c r="AM21" s="586"/>
      <c r="AN21" s="586"/>
      <c r="AO21" s="586"/>
      <c r="AP21" s="586">
        <f>IF(Table_NFI[[#This Row],[Winter Clothes Adult]]+Table_NFI[[#This Row],[Winter Clothes Children]]+Table_NFI[[#This Row],[Winter Items Other]]+Table_NFI[[#This Row],[Winter Blanket]]&gt;0,1,0)</f>
        <v>0</v>
      </c>
      <c r="AQ21" s="586"/>
      <c r="AR21" s="586"/>
      <c r="AS21" s="586"/>
      <c r="AT21" s="220" t="str">
        <f>IFERROR(VLOOKUP(Table_NFI[[#This Row],[Location]],CL,2,0),"")</f>
        <v>MMR001CMP213</v>
      </c>
      <c r="AU21" s="197" t="s">
        <v>1240</v>
      </c>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row>
    <row r="22" spans="2:119" s="583" customFormat="1" ht="18.75" hidden="1" customHeight="1" x14ac:dyDescent="0.25">
      <c r="B22" s="584">
        <v>42758</v>
      </c>
      <c r="C22" s="584" t="str">
        <f>MONTH(Table_NFI[[#This Row],[Distribution Date]]) &amp; "/" &amp; YEAR(Table_NFI[[#This Row],[Distribution Date]])</f>
        <v>1/2017</v>
      </c>
      <c r="D22" s="213" t="s">
        <v>420</v>
      </c>
      <c r="E22" s="588" t="s">
        <v>1629</v>
      </c>
      <c r="F22" s="213" t="s">
        <v>378</v>
      </c>
      <c r="G22" s="213" t="s">
        <v>151</v>
      </c>
      <c r="H22" s="213" t="s">
        <v>802</v>
      </c>
      <c r="I22" s="197"/>
      <c r="J22" s="585"/>
      <c r="K22" s="585"/>
      <c r="L22" s="585">
        <v>24</v>
      </c>
      <c r="M22" s="585">
        <v>25</v>
      </c>
      <c r="N22" s="585">
        <v>45</v>
      </c>
      <c r="O22" s="585">
        <v>25</v>
      </c>
      <c r="P22" s="585">
        <v>45</v>
      </c>
      <c r="Q22" s="585">
        <v>25</v>
      </c>
      <c r="R22" s="585"/>
      <c r="S22" s="585">
        <v>25</v>
      </c>
      <c r="T22" s="585">
        <v>83</v>
      </c>
      <c r="U22" s="585"/>
      <c r="V22" s="585"/>
      <c r="W22" s="585"/>
      <c r="X22" s="585"/>
      <c r="Y22" s="585"/>
      <c r="Z22" s="585"/>
      <c r="AA22" s="585"/>
      <c r="AB22" s="585"/>
      <c r="AC22" s="586"/>
      <c r="AD22" s="586"/>
      <c r="AE22" s="586"/>
      <c r="AF22" s="586"/>
      <c r="AG22" s="586"/>
      <c r="AH22" s="586"/>
      <c r="AI22" s="586"/>
      <c r="AJ22" s="586"/>
      <c r="AK22" s="586"/>
      <c r="AL22" s="586"/>
      <c r="AM22" s="586"/>
      <c r="AN22" s="586"/>
      <c r="AO22" s="586"/>
      <c r="AP22" s="586">
        <f>IF(Table_NFI[[#This Row],[Winter Clothes Adult]]+Table_NFI[[#This Row],[Winter Clothes Children]]+Table_NFI[[#This Row],[Winter Items Other]]+Table_NFI[[#This Row],[Winter Blanket]]&gt;0,1,0)</f>
        <v>0</v>
      </c>
      <c r="AQ22" s="586"/>
      <c r="AR22" s="586"/>
      <c r="AS22" s="586"/>
      <c r="AT22" s="220" t="str">
        <f>IFERROR(VLOOKUP(Table_NFI[[#This Row],[Location]],CL,2,0),"")</f>
        <v>MMR001CMP213</v>
      </c>
      <c r="AU22" s="197" t="s">
        <v>1240</v>
      </c>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row>
    <row r="23" spans="2:119" s="583" customFormat="1" ht="18.75" hidden="1" customHeight="1" x14ac:dyDescent="0.25">
      <c r="B23" s="584">
        <v>42761</v>
      </c>
      <c r="C23" s="584" t="str">
        <f>MONTH(Table_NFI[[#This Row],[Distribution Date]]) &amp; "/" &amp; YEAR(Table_NFI[[#This Row],[Distribution Date]])</f>
        <v>1/2017</v>
      </c>
      <c r="D23" s="213" t="s">
        <v>420</v>
      </c>
      <c r="E23" s="213" t="s">
        <v>424</v>
      </c>
      <c r="F23" s="213" t="s">
        <v>378</v>
      </c>
      <c r="G23" s="213" t="s">
        <v>309</v>
      </c>
      <c r="H23" s="213" t="s">
        <v>323</v>
      </c>
      <c r="I23" s="197"/>
      <c r="J23" s="585"/>
      <c r="K23" s="585"/>
      <c r="L23" s="585">
        <v>6</v>
      </c>
      <c r="M23" s="585">
        <v>6</v>
      </c>
      <c r="N23" s="585">
        <v>18</v>
      </c>
      <c r="O23" s="585">
        <v>6</v>
      </c>
      <c r="P23" s="585">
        <v>24</v>
      </c>
      <c r="Q23" s="585">
        <v>6</v>
      </c>
      <c r="R23" s="585"/>
      <c r="S23" s="585">
        <v>6</v>
      </c>
      <c r="T23" s="585">
        <v>24</v>
      </c>
      <c r="U23" s="585"/>
      <c r="V23" s="585"/>
      <c r="W23" s="585"/>
      <c r="X23" s="585"/>
      <c r="Y23" s="585">
        <v>6</v>
      </c>
      <c r="Z23" s="585"/>
      <c r="AA23" s="585"/>
      <c r="AB23" s="585">
        <v>6</v>
      </c>
      <c r="AC23" s="586"/>
      <c r="AD23" s="586"/>
      <c r="AE23" s="586"/>
      <c r="AF23" s="586"/>
      <c r="AG23" s="586"/>
      <c r="AH23" s="586"/>
      <c r="AI23" s="586"/>
      <c r="AJ23" s="586"/>
      <c r="AK23" s="586"/>
      <c r="AL23" s="586"/>
      <c r="AM23" s="586"/>
      <c r="AN23" s="586"/>
      <c r="AO23" s="586"/>
      <c r="AP23" s="586">
        <f>IF(Table_NFI[[#This Row],[Winter Clothes Adult]]+Table_NFI[[#This Row],[Winter Clothes Children]]+Table_NFI[[#This Row],[Winter Items Other]]+Table_NFI[[#This Row],[Winter Blanket]]&gt;0,1,0)</f>
        <v>0</v>
      </c>
      <c r="AQ23" s="586"/>
      <c r="AR23" s="586"/>
      <c r="AS23" s="586"/>
      <c r="AT23" s="220" t="str">
        <f>IFERROR(VLOOKUP(Table_NFI[[#This Row],[Location]],CL,2,0),"")</f>
        <v>MMR001CMP040</v>
      </c>
      <c r="AU23" s="197" t="s">
        <v>1243</v>
      </c>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row>
    <row r="24" spans="2:119" s="583" customFormat="1" ht="18.75" hidden="1" customHeight="1" x14ac:dyDescent="0.25">
      <c r="B24" s="584">
        <v>42763</v>
      </c>
      <c r="C24" s="584" t="str">
        <f>MONTH(Table_NFI[[#This Row],[Distribution Date]]) &amp; "/" &amp; YEAR(Table_NFI[[#This Row],[Distribution Date]])</f>
        <v>1/2017</v>
      </c>
      <c r="D24" s="213" t="s">
        <v>420</v>
      </c>
      <c r="E24" s="213" t="s">
        <v>1091</v>
      </c>
      <c r="F24" s="213" t="s">
        <v>378</v>
      </c>
      <c r="G24" s="213" t="s">
        <v>309</v>
      </c>
      <c r="H24" s="213" t="s">
        <v>329</v>
      </c>
      <c r="I24" s="197"/>
      <c r="J24" s="585"/>
      <c r="K24" s="585"/>
      <c r="L24" s="585"/>
      <c r="M24" s="585"/>
      <c r="N24" s="585"/>
      <c r="O24" s="585"/>
      <c r="P24" s="585"/>
      <c r="Q24" s="585"/>
      <c r="R24" s="585"/>
      <c r="S24" s="585"/>
      <c r="T24" s="585"/>
      <c r="U24" s="585"/>
      <c r="V24" s="585"/>
      <c r="W24" s="585"/>
      <c r="X24" s="585"/>
      <c r="Y24" s="585"/>
      <c r="Z24" s="585"/>
      <c r="AA24" s="585"/>
      <c r="AB24" s="585">
        <v>10</v>
      </c>
      <c r="AC24" s="586"/>
      <c r="AD24" s="586"/>
      <c r="AE24" s="586"/>
      <c r="AF24" s="586"/>
      <c r="AG24" s="586"/>
      <c r="AH24" s="586"/>
      <c r="AI24" s="586"/>
      <c r="AJ24" s="586"/>
      <c r="AK24" s="586"/>
      <c r="AL24" s="586"/>
      <c r="AM24" s="586"/>
      <c r="AN24" s="586"/>
      <c r="AO24" s="586"/>
      <c r="AP24" s="586">
        <f>IF(Table_NFI[[#This Row],[Winter Clothes Adult]]+Table_NFI[[#This Row],[Winter Clothes Children]]+Table_NFI[[#This Row],[Winter Items Other]]+Table_NFI[[#This Row],[Winter Blanket]]&gt;0,1,0)</f>
        <v>0</v>
      </c>
      <c r="AQ24" s="586"/>
      <c r="AR24" s="586"/>
      <c r="AS24" s="586"/>
      <c r="AT24" s="220" t="str">
        <f>IFERROR(VLOOKUP(Table_NFI[[#This Row],[Location]],CL,2,0),"")</f>
        <v>MMR001CMP029</v>
      </c>
      <c r="AU24" s="197" t="s">
        <v>1243</v>
      </c>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row>
    <row r="25" spans="2:119" s="583" customFormat="1" ht="18.75" hidden="1" customHeight="1" x14ac:dyDescent="0.25">
      <c r="B25" s="584">
        <v>42766</v>
      </c>
      <c r="C25" s="584" t="str">
        <f>MONTH(Table_NFI[[#This Row],[Distribution Date]]) &amp; "/" &amp; YEAR(Table_NFI[[#This Row],[Distribution Date]])</f>
        <v>1/2017</v>
      </c>
      <c r="D25" s="213" t="s">
        <v>420</v>
      </c>
      <c r="E25" s="213" t="s">
        <v>1091</v>
      </c>
      <c r="F25" s="213" t="s">
        <v>378</v>
      </c>
      <c r="G25" s="213" t="s">
        <v>237</v>
      </c>
      <c r="H25" s="213" t="s">
        <v>272</v>
      </c>
      <c r="I25" s="197"/>
      <c r="J25" s="585"/>
      <c r="K25" s="585"/>
      <c r="L25" s="585">
        <v>1</v>
      </c>
      <c r="M25" s="585">
        <v>1</v>
      </c>
      <c r="N25" s="585">
        <v>3</v>
      </c>
      <c r="O25" s="585">
        <v>1</v>
      </c>
      <c r="P25" s="585">
        <v>3</v>
      </c>
      <c r="Q25" s="585">
        <v>1</v>
      </c>
      <c r="R25" s="585"/>
      <c r="S25" s="585">
        <v>1</v>
      </c>
      <c r="T25" s="585">
        <v>3</v>
      </c>
      <c r="U25" s="585"/>
      <c r="V25" s="585"/>
      <c r="W25" s="585"/>
      <c r="X25" s="585"/>
      <c r="Y25" s="585">
        <v>1</v>
      </c>
      <c r="Z25" s="585"/>
      <c r="AA25" s="585"/>
      <c r="AB25" s="585"/>
      <c r="AC25" s="586"/>
      <c r="AD25" s="586"/>
      <c r="AE25" s="586"/>
      <c r="AF25" s="586"/>
      <c r="AG25" s="586"/>
      <c r="AH25" s="586"/>
      <c r="AI25" s="586"/>
      <c r="AJ25" s="586"/>
      <c r="AK25" s="586"/>
      <c r="AL25" s="586"/>
      <c r="AM25" s="586"/>
      <c r="AN25" s="586"/>
      <c r="AO25" s="586"/>
      <c r="AP25" s="586">
        <f>IF(Table_NFI[[#This Row],[Winter Clothes Adult]]+Table_NFI[[#This Row],[Winter Clothes Children]]+Table_NFI[[#This Row],[Winter Items Other]]+Table_NFI[[#This Row],[Winter Blanket]]&gt;0,1,0)</f>
        <v>0</v>
      </c>
      <c r="AQ25" s="586"/>
      <c r="AR25" s="586"/>
      <c r="AS25" s="586"/>
      <c r="AT25" s="220" t="str">
        <f>IFERROR(VLOOKUP(Table_NFI[[#This Row],[Location]],CL,2,0),"")</f>
        <v>MMR001CMP162</v>
      </c>
      <c r="AU25" s="197" t="s">
        <v>1241</v>
      </c>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row>
    <row r="26" spans="2:119" s="583" customFormat="1" ht="18.75" hidden="1" customHeight="1" x14ac:dyDescent="0.25">
      <c r="B26" s="584">
        <v>42766</v>
      </c>
      <c r="C26" s="584" t="str">
        <f>MONTH(Table_NFI[[#This Row],[Distribution Date]]) &amp; "/" &amp; YEAR(Table_NFI[[#This Row],[Distribution Date]])</f>
        <v>1/2017</v>
      </c>
      <c r="D26" s="213" t="s">
        <v>420</v>
      </c>
      <c r="E26" s="213" t="s">
        <v>1091</v>
      </c>
      <c r="F26" s="213" t="s">
        <v>378</v>
      </c>
      <c r="G26" s="213" t="s">
        <v>309</v>
      </c>
      <c r="H26" s="213" t="s">
        <v>329</v>
      </c>
      <c r="I26" s="197"/>
      <c r="J26" s="585"/>
      <c r="K26" s="585"/>
      <c r="L26" s="585">
        <v>22</v>
      </c>
      <c r="M26" s="585">
        <v>22</v>
      </c>
      <c r="N26" s="585">
        <v>76</v>
      </c>
      <c r="O26" s="585">
        <v>22</v>
      </c>
      <c r="P26" s="585">
        <v>76</v>
      </c>
      <c r="Q26" s="585">
        <v>22</v>
      </c>
      <c r="R26" s="585"/>
      <c r="S26" s="585">
        <v>22</v>
      </c>
      <c r="T26" s="585">
        <v>76</v>
      </c>
      <c r="U26" s="585"/>
      <c r="V26" s="585"/>
      <c r="W26" s="585"/>
      <c r="X26" s="585"/>
      <c r="Y26" s="585">
        <v>22</v>
      </c>
      <c r="Z26" s="585"/>
      <c r="AA26" s="585"/>
      <c r="AB26" s="585"/>
      <c r="AC26" s="586"/>
      <c r="AD26" s="586"/>
      <c r="AE26" s="586"/>
      <c r="AF26" s="586"/>
      <c r="AG26" s="586"/>
      <c r="AH26" s="586"/>
      <c r="AI26" s="586"/>
      <c r="AJ26" s="586"/>
      <c r="AK26" s="586"/>
      <c r="AL26" s="586"/>
      <c r="AM26" s="586"/>
      <c r="AN26" s="586"/>
      <c r="AO26" s="586"/>
      <c r="AP26" s="586">
        <f>IF(Table_NFI[[#This Row],[Winter Clothes Adult]]+Table_NFI[[#This Row],[Winter Clothes Children]]+Table_NFI[[#This Row],[Winter Items Other]]+Table_NFI[[#This Row],[Winter Blanket]]&gt;0,1,0)</f>
        <v>0</v>
      </c>
      <c r="AQ26" s="586"/>
      <c r="AR26" s="586"/>
      <c r="AS26" s="586"/>
      <c r="AT26" s="220" t="str">
        <f>IFERROR(VLOOKUP(Table_NFI[[#This Row],[Location]],CL,2,0),"")</f>
        <v>MMR001CMP029</v>
      </c>
      <c r="AU26" s="197" t="s">
        <v>1243</v>
      </c>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row>
    <row r="27" spans="2:119" s="583" customFormat="1" ht="18.75" hidden="1" customHeight="1" x14ac:dyDescent="0.25">
      <c r="B27" s="584">
        <v>42767</v>
      </c>
      <c r="C27" s="584" t="str">
        <f>MONTH(Table_NFI[[#This Row],[Distribution Date]]) &amp; "/" &amp; YEAR(Table_NFI[[#This Row],[Distribution Date]])</f>
        <v>2/2017</v>
      </c>
      <c r="D27" s="213" t="s">
        <v>420</v>
      </c>
      <c r="E27" s="213" t="s">
        <v>424</v>
      </c>
      <c r="F27" s="213" t="s">
        <v>378</v>
      </c>
      <c r="G27" s="213" t="s">
        <v>301</v>
      </c>
      <c r="H27" s="213" t="s">
        <v>305</v>
      </c>
      <c r="I27" s="197"/>
      <c r="J27" s="585"/>
      <c r="K27" s="585"/>
      <c r="L27" s="585"/>
      <c r="M27" s="585">
        <v>50</v>
      </c>
      <c r="N27" s="585"/>
      <c r="O27" s="585"/>
      <c r="P27" s="585"/>
      <c r="Q27" s="585"/>
      <c r="R27" s="585"/>
      <c r="S27" s="585"/>
      <c r="T27" s="585"/>
      <c r="U27" s="585"/>
      <c r="V27" s="585"/>
      <c r="W27" s="585"/>
      <c r="X27" s="585"/>
      <c r="Y27" s="585"/>
      <c r="Z27" s="585"/>
      <c r="AA27" s="585"/>
      <c r="AB27" s="585"/>
      <c r="AC27" s="586"/>
      <c r="AD27" s="586"/>
      <c r="AE27" s="586"/>
      <c r="AF27" s="586"/>
      <c r="AG27" s="586"/>
      <c r="AH27" s="586"/>
      <c r="AI27" s="586"/>
      <c r="AJ27" s="586"/>
      <c r="AK27" s="586"/>
      <c r="AL27" s="586"/>
      <c r="AM27" s="586"/>
      <c r="AN27" s="586"/>
      <c r="AO27" s="586"/>
      <c r="AP27" s="586">
        <f>IF(Table_NFI[[#This Row],[Winter Clothes Adult]]+Table_NFI[[#This Row],[Winter Clothes Children]]+Table_NFI[[#This Row],[Winter Items Other]]+Table_NFI[[#This Row],[Winter Blanket]]&gt;0,1,0)</f>
        <v>0</v>
      </c>
      <c r="AQ27" s="586"/>
      <c r="AR27" s="586"/>
      <c r="AS27" s="586"/>
      <c r="AT27" s="220" t="str">
        <f>IFERROR(VLOOKUP(Table_NFI[[#This Row],[Location]],CL,2,0),"")</f>
        <v>MMR001CMP067</v>
      </c>
      <c r="AU27" s="197" t="s">
        <v>1243</v>
      </c>
      <c r="AV27" s="587"/>
      <c r="AW27" s="587"/>
      <c r="AX27" s="587"/>
      <c r="AY27" s="587"/>
      <c r="AZ27" s="587"/>
      <c r="BA27" s="587"/>
      <c r="BB27" s="587"/>
      <c r="BC27" s="587"/>
      <c r="BD27" s="587"/>
      <c r="BE27" s="587"/>
      <c r="BF27" s="587"/>
      <c r="BG27" s="587"/>
      <c r="BH27" s="587"/>
      <c r="BI27" s="587"/>
      <c r="BJ27" s="587"/>
      <c r="BK27" s="587"/>
      <c r="BL27" s="587"/>
      <c r="BM27" s="587"/>
      <c r="BN27" s="587"/>
      <c r="BO27" s="587"/>
      <c r="BP27" s="587"/>
      <c r="BQ27" s="587"/>
      <c r="BR27" s="587"/>
      <c r="BS27" s="587"/>
      <c r="BT27" s="587"/>
      <c r="BU27" s="587"/>
      <c r="BV27" s="587"/>
      <c r="BW27" s="587"/>
      <c r="BX27" s="587"/>
      <c r="BY27" s="587"/>
      <c r="BZ27" s="587"/>
      <c r="CA27" s="587"/>
      <c r="CB27" s="587"/>
      <c r="CC27" s="587"/>
      <c r="CD27" s="587"/>
      <c r="CE27" s="587"/>
      <c r="CF27" s="587"/>
      <c r="CG27" s="587"/>
      <c r="CH27" s="587"/>
      <c r="CI27" s="587"/>
      <c r="CJ27" s="587"/>
      <c r="CK27" s="587"/>
      <c r="CL27" s="587"/>
      <c r="CM27" s="587"/>
      <c r="CN27" s="587"/>
      <c r="CO27" s="587"/>
      <c r="CP27" s="587"/>
      <c r="CQ27" s="587"/>
      <c r="CR27" s="587"/>
      <c r="CS27" s="587"/>
      <c r="CT27" s="587"/>
      <c r="CU27" s="587"/>
      <c r="CV27" s="587"/>
      <c r="CW27" s="587"/>
      <c r="CX27" s="587"/>
      <c r="CY27" s="587"/>
      <c r="CZ27" s="587"/>
      <c r="DA27" s="587"/>
      <c r="DB27" s="587"/>
      <c r="DC27" s="587"/>
      <c r="DD27" s="587"/>
      <c r="DE27" s="587"/>
      <c r="DF27" s="587"/>
      <c r="DG27" s="587"/>
      <c r="DH27" s="587"/>
      <c r="DI27" s="587"/>
      <c r="DJ27" s="587"/>
      <c r="DK27" s="587"/>
      <c r="DL27" s="587"/>
      <c r="DM27" s="587"/>
      <c r="DN27" s="587"/>
      <c r="DO27" s="587"/>
    </row>
    <row r="28" spans="2:119" s="583" customFormat="1" ht="18.75" hidden="1" customHeight="1" x14ac:dyDescent="0.25">
      <c r="B28" s="584">
        <v>42768</v>
      </c>
      <c r="C28" s="584" t="str">
        <f>MONTH(Table_NFI[[#This Row],[Distribution Date]]) &amp; "/" &amp; YEAR(Table_NFI[[#This Row],[Distribution Date]])</f>
        <v>2/2017</v>
      </c>
      <c r="D28" s="213" t="s">
        <v>420</v>
      </c>
      <c r="E28" s="588" t="s">
        <v>1629</v>
      </c>
      <c r="F28" s="213" t="s">
        <v>378</v>
      </c>
      <c r="G28" s="213" t="s">
        <v>151</v>
      </c>
      <c r="H28" s="213" t="s">
        <v>849</v>
      </c>
      <c r="I28" s="197"/>
      <c r="J28" s="585"/>
      <c r="K28" s="585"/>
      <c r="L28" s="585">
        <v>25</v>
      </c>
      <c r="M28" s="585">
        <v>25</v>
      </c>
      <c r="N28" s="585">
        <v>25</v>
      </c>
      <c r="O28" s="585">
        <v>25</v>
      </c>
      <c r="P28" s="585">
        <v>45</v>
      </c>
      <c r="Q28" s="585">
        <v>25</v>
      </c>
      <c r="R28" s="585"/>
      <c r="S28" s="585">
        <v>25</v>
      </c>
      <c r="T28" s="585">
        <v>83</v>
      </c>
      <c r="U28" s="585"/>
      <c r="V28" s="585"/>
      <c r="W28" s="585"/>
      <c r="X28" s="585"/>
      <c r="Y28" s="585">
        <v>25</v>
      </c>
      <c r="Z28" s="585"/>
      <c r="AA28" s="585"/>
      <c r="AB28" s="585"/>
      <c r="AC28" s="586"/>
      <c r="AD28" s="586"/>
      <c r="AE28" s="586"/>
      <c r="AF28" s="586"/>
      <c r="AG28" s="586"/>
      <c r="AH28" s="586"/>
      <c r="AI28" s="586"/>
      <c r="AJ28" s="586"/>
      <c r="AK28" s="586"/>
      <c r="AL28" s="586"/>
      <c r="AM28" s="586"/>
      <c r="AN28" s="586"/>
      <c r="AO28" s="586"/>
      <c r="AP28" s="586">
        <f>IF(Table_NFI[[#This Row],[Winter Clothes Adult]]+Table_NFI[[#This Row],[Winter Clothes Children]]+Table_NFI[[#This Row],[Winter Items Other]]+Table_NFI[[#This Row],[Winter Blanket]]&gt;0,1,0)</f>
        <v>0</v>
      </c>
      <c r="AQ28" s="586"/>
      <c r="AR28" s="586"/>
      <c r="AS28" s="586"/>
      <c r="AT28" s="220" t="str">
        <f>IFERROR(VLOOKUP(Table_NFI[[#This Row],[Location]],CL,2,0),"")</f>
        <v>MMR001CMP223</v>
      </c>
      <c r="AU28" s="197" t="s">
        <v>1243</v>
      </c>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row>
    <row r="29" spans="2:119" s="583" customFormat="1" ht="18.75" hidden="1" customHeight="1" x14ac:dyDescent="0.25">
      <c r="B29" s="584">
        <v>42775</v>
      </c>
      <c r="C29" s="584" t="str">
        <f>MONTH(Table_NFI[[#This Row],[Distribution Date]]) &amp; "/" &amp; YEAR(Table_NFI[[#This Row],[Distribution Date]])</f>
        <v>2/2017</v>
      </c>
      <c r="D29" s="213" t="s">
        <v>420</v>
      </c>
      <c r="E29" s="213" t="s">
        <v>424</v>
      </c>
      <c r="F29" s="213" t="s">
        <v>378</v>
      </c>
      <c r="G29" s="213" t="s">
        <v>309</v>
      </c>
      <c r="H29" s="213" t="s">
        <v>323</v>
      </c>
      <c r="I29" s="197"/>
      <c r="J29" s="585"/>
      <c r="K29" s="585"/>
      <c r="L29" s="585">
        <v>17</v>
      </c>
      <c r="M29" s="585">
        <v>17</v>
      </c>
      <c r="N29" s="585">
        <v>114</v>
      </c>
      <c r="O29" s="585">
        <v>17</v>
      </c>
      <c r="P29" s="585">
        <v>174</v>
      </c>
      <c r="Q29" s="585">
        <v>17</v>
      </c>
      <c r="R29" s="585"/>
      <c r="S29" s="585">
        <v>17</v>
      </c>
      <c r="T29" s="585">
        <v>188</v>
      </c>
      <c r="U29" s="585"/>
      <c r="V29" s="585"/>
      <c r="W29" s="585"/>
      <c r="X29" s="585"/>
      <c r="Y29" s="585">
        <v>17</v>
      </c>
      <c r="Z29" s="585"/>
      <c r="AA29" s="585"/>
      <c r="AB29" s="585">
        <v>49</v>
      </c>
      <c r="AC29" s="586"/>
      <c r="AD29" s="586"/>
      <c r="AE29" s="586"/>
      <c r="AF29" s="586"/>
      <c r="AG29" s="586"/>
      <c r="AH29" s="586"/>
      <c r="AI29" s="586"/>
      <c r="AJ29" s="586"/>
      <c r="AK29" s="586"/>
      <c r="AL29" s="586"/>
      <c r="AM29" s="586"/>
      <c r="AN29" s="586"/>
      <c r="AO29" s="586"/>
      <c r="AP29" s="586">
        <f>IF(Table_NFI[[#This Row],[Winter Clothes Adult]]+Table_NFI[[#This Row],[Winter Clothes Children]]+Table_NFI[[#This Row],[Winter Items Other]]+Table_NFI[[#This Row],[Winter Blanket]]&gt;0,1,0)</f>
        <v>0</v>
      </c>
      <c r="AQ29" s="586"/>
      <c r="AR29" s="586"/>
      <c r="AS29" s="586"/>
      <c r="AT29" s="220" t="str">
        <f>IFERROR(VLOOKUP(Table_NFI[[#This Row],[Location]],CL,2,0),"")</f>
        <v>MMR001CMP040</v>
      </c>
      <c r="AU29" s="197" t="s">
        <v>1243</v>
      </c>
      <c r="AV29" s="587"/>
      <c r="AW29" s="587"/>
      <c r="AX29" s="587"/>
      <c r="AY29" s="587"/>
      <c r="AZ29" s="587"/>
      <c r="BA29" s="587"/>
      <c r="BB29" s="587"/>
      <c r="BC29" s="587"/>
      <c r="BD29" s="587"/>
      <c r="BE29" s="587"/>
      <c r="BF29" s="587"/>
      <c r="BG29" s="587"/>
      <c r="BH29" s="587"/>
      <c r="BI29" s="587"/>
      <c r="BJ29" s="587"/>
      <c r="BK29" s="587"/>
      <c r="BL29" s="587"/>
      <c r="BM29" s="587"/>
      <c r="BN29" s="587"/>
      <c r="BO29" s="587"/>
      <c r="BP29" s="587"/>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587"/>
      <c r="CU29" s="587"/>
      <c r="CV29" s="587"/>
      <c r="CW29" s="587"/>
      <c r="CX29" s="587"/>
      <c r="CY29" s="587"/>
      <c r="CZ29" s="587"/>
      <c r="DA29" s="587"/>
      <c r="DB29" s="587"/>
      <c r="DC29" s="587"/>
      <c r="DD29" s="587"/>
      <c r="DE29" s="587"/>
      <c r="DF29" s="587"/>
      <c r="DG29" s="587"/>
      <c r="DH29" s="587"/>
      <c r="DI29" s="587"/>
      <c r="DJ29" s="587"/>
      <c r="DK29" s="587"/>
      <c r="DL29" s="587"/>
      <c r="DM29" s="587"/>
      <c r="DN29" s="587"/>
      <c r="DO29" s="587"/>
    </row>
    <row r="30" spans="2:119" s="583" customFormat="1" ht="18.75" hidden="1" customHeight="1" x14ac:dyDescent="0.25">
      <c r="B30" s="584">
        <v>42776</v>
      </c>
      <c r="C30" s="584" t="str">
        <f>MONTH(Table_NFI[[#This Row],[Distribution Date]]) &amp; "/" &amp; YEAR(Table_NFI[[#This Row],[Distribution Date]])</f>
        <v>2/2017</v>
      </c>
      <c r="D30" s="213" t="s">
        <v>420</v>
      </c>
      <c r="E30" s="213" t="s">
        <v>424</v>
      </c>
      <c r="F30" s="213" t="s">
        <v>378</v>
      </c>
      <c r="G30" s="213" t="s">
        <v>237</v>
      </c>
      <c r="H30" s="213" t="s">
        <v>278</v>
      </c>
      <c r="I30" s="197"/>
      <c r="J30" s="585"/>
      <c r="K30" s="585"/>
      <c r="L30" s="585">
        <v>4</v>
      </c>
      <c r="M30" s="585">
        <v>4</v>
      </c>
      <c r="N30" s="585">
        <v>10</v>
      </c>
      <c r="O30" s="585">
        <v>4</v>
      </c>
      <c r="P30" s="585">
        <v>14</v>
      </c>
      <c r="Q30" s="585">
        <v>4</v>
      </c>
      <c r="R30" s="585"/>
      <c r="S30" s="585">
        <v>4</v>
      </c>
      <c r="T30" s="585">
        <v>14</v>
      </c>
      <c r="U30" s="585"/>
      <c r="V30" s="585"/>
      <c r="W30" s="585"/>
      <c r="X30" s="585"/>
      <c r="Y30" s="585">
        <v>4</v>
      </c>
      <c r="Z30" s="585"/>
      <c r="AA30" s="585"/>
      <c r="AB30" s="585"/>
      <c r="AC30" s="586"/>
      <c r="AD30" s="586"/>
      <c r="AE30" s="586"/>
      <c r="AF30" s="586"/>
      <c r="AG30" s="586"/>
      <c r="AH30" s="586"/>
      <c r="AI30" s="586"/>
      <c r="AJ30" s="586"/>
      <c r="AK30" s="586"/>
      <c r="AL30" s="586"/>
      <c r="AM30" s="586"/>
      <c r="AN30" s="586"/>
      <c r="AO30" s="586"/>
      <c r="AP30" s="586">
        <f>IF(Table_NFI[[#This Row],[Winter Clothes Adult]]+Table_NFI[[#This Row],[Winter Clothes Children]]+Table_NFI[[#This Row],[Winter Items Other]]+Table_NFI[[#This Row],[Winter Blanket]]&gt;0,1,0)</f>
        <v>0</v>
      </c>
      <c r="AQ30" s="586"/>
      <c r="AR30" s="586"/>
      <c r="AS30" s="586"/>
      <c r="AT30" s="220" t="str">
        <f>IFERROR(VLOOKUP(Table_NFI[[#This Row],[Location]],CL,2,0),"")</f>
        <v>MMR001CMP007</v>
      </c>
      <c r="AU30" s="197" t="s">
        <v>1243</v>
      </c>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row>
    <row r="31" spans="2:119" s="583" customFormat="1" ht="18.75" hidden="1" customHeight="1" x14ac:dyDescent="0.25">
      <c r="B31" s="584">
        <v>42776</v>
      </c>
      <c r="C31" s="584" t="str">
        <f>MONTH(Table_NFI[[#This Row],[Distribution Date]]) &amp; "/" &amp; YEAR(Table_NFI[[#This Row],[Distribution Date]])</f>
        <v>2/2017</v>
      </c>
      <c r="D31" s="213" t="s">
        <v>420</v>
      </c>
      <c r="E31" s="213" t="s">
        <v>424</v>
      </c>
      <c r="F31" s="213" t="s">
        <v>378</v>
      </c>
      <c r="G31" s="213" t="s">
        <v>237</v>
      </c>
      <c r="H31" s="213" t="s">
        <v>268</v>
      </c>
      <c r="I31" s="197"/>
      <c r="J31" s="585"/>
      <c r="K31" s="585"/>
      <c r="L31" s="585">
        <v>4</v>
      </c>
      <c r="M31" s="585">
        <v>4</v>
      </c>
      <c r="N31" s="585">
        <v>8</v>
      </c>
      <c r="O31" s="585">
        <v>4</v>
      </c>
      <c r="P31" s="585">
        <v>11</v>
      </c>
      <c r="Q31" s="585">
        <v>4</v>
      </c>
      <c r="R31" s="585"/>
      <c r="S31" s="585">
        <v>4</v>
      </c>
      <c r="T31" s="585">
        <v>11</v>
      </c>
      <c r="U31" s="585"/>
      <c r="V31" s="585"/>
      <c r="W31" s="585"/>
      <c r="X31" s="585"/>
      <c r="Y31" s="585">
        <v>4</v>
      </c>
      <c r="Z31" s="585"/>
      <c r="AA31" s="585"/>
      <c r="AB31" s="585"/>
      <c r="AC31" s="586"/>
      <c r="AD31" s="586"/>
      <c r="AE31" s="586"/>
      <c r="AF31" s="586"/>
      <c r="AG31" s="586"/>
      <c r="AH31" s="586"/>
      <c r="AI31" s="586"/>
      <c r="AJ31" s="586"/>
      <c r="AK31" s="586"/>
      <c r="AL31" s="586"/>
      <c r="AM31" s="586"/>
      <c r="AN31" s="586"/>
      <c r="AO31" s="586"/>
      <c r="AP31" s="586">
        <f>IF(Table_NFI[[#This Row],[Winter Clothes Adult]]+Table_NFI[[#This Row],[Winter Clothes Children]]+Table_NFI[[#This Row],[Winter Items Other]]+Table_NFI[[#This Row],[Winter Blanket]]&gt;0,1,0)</f>
        <v>0</v>
      </c>
      <c r="AQ31" s="586"/>
      <c r="AR31" s="586"/>
      <c r="AS31" s="586"/>
      <c r="AT31" s="220" t="str">
        <f>IFERROR(VLOOKUP(Table_NFI[[#This Row],[Location]],CL,2,0),"")</f>
        <v>MMR001CMP002</v>
      </c>
      <c r="AU31" s="197" t="s">
        <v>1243</v>
      </c>
      <c r="AV31" s="587"/>
      <c r="AW31" s="587"/>
      <c r="AX31" s="587"/>
      <c r="AY31" s="587"/>
      <c r="AZ31" s="587"/>
      <c r="BA31" s="587"/>
      <c r="BB31" s="587"/>
      <c r="BC31" s="587"/>
      <c r="BD31" s="587"/>
      <c r="BE31" s="587"/>
      <c r="BF31" s="587"/>
      <c r="BG31" s="587"/>
      <c r="BH31" s="587"/>
      <c r="BI31" s="587"/>
      <c r="BJ31" s="587"/>
      <c r="BK31" s="587"/>
      <c r="BL31" s="587"/>
      <c r="BM31" s="587"/>
      <c r="BN31" s="587"/>
      <c r="BO31" s="587"/>
      <c r="BP31" s="587"/>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587"/>
      <c r="CU31" s="587"/>
      <c r="CV31" s="587"/>
      <c r="CW31" s="587"/>
      <c r="CX31" s="587"/>
      <c r="CY31" s="587"/>
      <c r="CZ31" s="587"/>
      <c r="DA31" s="587"/>
      <c r="DB31" s="587"/>
      <c r="DC31" s="587"/>
      <c r="DD31" s="587"/>
      <c r="DE31" s="587"/>
      <c r="DF31" s="587"/>
      <c r="DG31" s="587"/>
      <c r="DH31" s="587"/>
      <c r="DI31" s="587"/>
      <c r="DJ31" s="587"/>
      <c r="DK31" s="587"/>
      <c r="DL31" s="587"/>
      <c r="DM31" s="587"/>
      <c r="DN31" s="587"/>
      <c r="DO31" s="587"/>
    </row>
    <row r="32" spans="2:119" s="583" customFormat="1" ht="18.75" hidden="1" customHeight="1" x14ac:dyDescent="0.25">
      <c r="B32" s="584">
        <v>42776</v>
      </c>
      <c r="C32" s="584" t="str">
        <f>MONTH(Table_NFI[[#This Row],[Distribution Date]]) &amp; "/" &amp; YEAR(Table_NFI[[#This Row],[Distribution Date]])</f>
        <v>2/2017</v>
      </c>
      <c r="D32" s="213" t="s">
        <v>420</v>
      </c>
      <c r="E32" s="213" t="s">
        <v>424</v>
      </c>
      <c r="F32" s="213" t="s">
        <v>378</v>
      </c>
      <c r="G32" s="213" t="s">
        <v>237</v>
      </c>
      <c r="H32" s="213" t="s">
        <v>250</v>
      </c>
      <c r="I32" s="197"/>
      <c r="J32" s="585"/>
      <c r="K32" s="585"/>
      <c r="L32" s="585">
        <v>1</v>
      </c>
      <c r="M32" s="585">
        <v>1</v>
      </c>
      <c r="N32" s="585">
        <v>2</v>
      </c>
      <c r="O32" s="585">
        <v>1</v>
      </c>
      <c r="P32" s="585">
        <v>3</v>
      </c>
      <c r="Q32" s="585">
        <v>1</v>
      </c>
      <c r="R32" s="585"/>
      <c r="S32" s="585">
        <v>1</v>
      </c>
      <c r="T32" s="585">
        <v>3</v>
      </c>
      <c r="U32" s="585"/>
      <c r="V32" s="585"/>
      <c r="W32" s="585"/>
      <c r="X32" s="585"/>
      <c r="Y32" s="585">
        <v>1</v>
      </c>
      <c r="Z32" s="585"/>
      <c r="AA32" s="585"/>
      <c r="AB32" s="585"/>
      <c r="AC32" s="586"/>
      <c r="AD32" s="586"/>
      <c r="AE32" s="586"/>
      <c r="AF32" s="586"/>
      <c r="AG32" s="586"/>
      <c r="AH32" s="586"/>
      <c r="AI32" s="586"/>
      <c r="AJ32" s="586"/>
      <c r="AK32" s="586"/>
      <c r="AL32" s="586"/>
      <c r="AM32" s="586"/>
      <c r="AN32" s="586"/>
      <c r="AO32" s="586"/>
      <c r="AP32" s="586">
        <f>IF(Table_NFI[[#This Row],[Winter Clothes Adult]]+Table_NFI[[#This Row],[Winter Clothes Children]]+Table_NFI[[#This Row],[Winter Items Other]]+Table_NFI[[#This Row],[Winter Blanket]]&gt;0,1,0)</f>
        <v>0</v>
      </c>
      <c r="AQ32" s="586"/>
      <c r="AR32" s="586"/>
      <c r="AS32" s="586"/>
      <c r="AT32" s="220" t="str">
        <f>IFERROR(VLOOKUP(Table_NFI[[#This Row],[Location]],CL,2,0),"")</f>
        <v>MMR001CMP003</v>
      </c>
      <c r="AU32" s="197" t="s">
        <v>1243</v>
      </c>
      <c r="AV32" s="587"/>
      <c r="AW32" s="587"/>
      <c r="AX32" s="587"/>
      <c r="AY32" s="587"/>
      <c r="AZ32" s="587"/>
      <c r="BA32" s="587"/>
      <c r="BB32" s="587"/>
      <c r="BC32" s="587"/>
      <c r="BD32" s="587"/>
      <c r="BE32" s="587"/>
      <c r="BF32" s="587"/>
      <c r="BG32" s="587"/>
      <c r="BH32" s="587"/>
      <c r="BI32" s="587"/>
      <c r="BJ32" s="587"/>
      <c r="BK32" s="587"/>
      <c r="BL32" s="587"/>
      <c r="BM32" s="587"/>
      <c r="BN32" s="587"/>
      <c r="BO32" s="587"/>
      <c r="BP32" s="587"/>
      <c r="BQ32" s="587"/>
      <c r="BR32" s="587"/>
      <c r="BS32" s="587"/>
      <c r="BT32" s="587"/>
      <c r="BU32" s="587"/>
      <c r="BV32" s="587"/>
      <c r="BW32" s="587"/>
      <c r="BX32" s="587"/>
      <c r="BY32" s="587"/>
      <c r="BZ32" s="587"/>
      <c r="CA32" s="587"/>
      <c r="CB32" s="587"/>
      <c r="CC32" s="587"/>
      <c r="CD32" s="587"/>
      <c r="CE32" s="587"/>
      <c r="CF32" s="587"/>
      <c r="CG32" s="587"/>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row>
    <row r="33" spans="2:119" s="583" customFormat="1" ht="18.75" hidden="1" customHeight="1" x14ac:dyDescent="0.25">
      <c r="B33" s="584">
        <v>42776</v>
      </c>
      <c r="C33" s="584" t="str">
        <f>MONTH(Table_NFI[[#This Row],[Distribution Date]]) &amp; "/" &amp; YEAR(Table_NFI[[#This Row],[Distribution Date]])</f>
        <v>2/2017</v>
      </c>
      <c r="D33" s="213" t="s">
        <v>420</v>
      </c>
      <c r="E33" s="213" t="s">
        <v>424</v>
      </c>
      <c r="F33" s="213" t="s">
        <v>378</v>
      </c>
      <c r="G33" s="213" t="s">
        <v>237</v>
      </c>
      <c r="H33" s="213" t="s">
        <v>274</v>
      </c>
      <c r="I33" s="197"/>
      <c r="J33" s="585"/>
      <c r="K33" s="585"/>
      <c r="L33" s="585">
        <v>1</v>
      </c>
      <c r="M33" s="585">
        <v>1</v>
      </c>
      <c r="N33" s="585">
        <v>3</v>
      </c>
      <c r="O33" s="585">
        <v>1</v>
      </c>
      <c r="P33" s="585">
        <v>4</v>
      </c>
      <c r="Q33" s="585">
        <v>1</v>
      </c>
      <c r="R33" s="585"/>
      <c r="S33" s="585">
        <v>1</v>
      </c>
      <c r="T33" s="585">
        <v>4</v>
      </c>
      <c r="U33" s="585"/>
      <c r="V33" s="585"/>
      <c r="W33" s="585"/>
      <c r="X33" s="585"/>
      <c r="Y33" s="585">
        <v>1</v>
      </c>
      <c r="Z33" s="585"/>
      <c r="AA33" s="585"/>
      <c r="AB33" s="585"/>
      <c r="AC33" s="586"/>
      <c r="AD33" s="586"/>
      <c r="AE33" s="586"/>
      <c r="AF33" s="586"/>
      <c r="AG33" s="586"/>
      <c r="AH33" s="586"/>
      <c r="AI33" s="586"/>
      <c r="AJ33" s="586"/>
      <c r="AK33" s="586"/>
      <c r="AL33" s="586"/>
      <c r="AM33" s="586"/>
      <c r="AN33" s="586"/>
      <c r="AO33" s="586"/>
      <c r="AP33" s="586">
        <f>IF(Table_NFI[[#This Row],[Winter Clothes Adult]]+Table_NFI[[#This Row],[Winter Clothes Children]]+Table_NFI[[#This Row],[Winter Items Other]]+Table_NFI[[#This Row],[Winter Blanket]]&gt;0,1,0)</f>
        <v>0</v>
      </c>
      <c r="AQ33" s="586"/>
      <c r="AR33" s="586"/>
      <c r="AS33" s="586"/>
      <c r="AT33" s="220" t="str">
        <f>IFERROR(VLOOKUP(Table_NFI[[#This Row],[Location]],CL,2,0),"")</f>
        <v>MMR001CMP005</v>
      </c>
      <c r="AU33" s="197" t="s">
        <v>1243</v>
      </c>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c r="CF33" s="587"/>
      <c r="CG33" s="587"/>
      <c r="CH33" s="587"/>
      <c r="CI33" s="587"/>
      <c r="CJ33" s="587"/>
      <c r="CK33" s="587"/>
      <c r="CL33" s="587"/>
      <c r="CM33" s="587"/>
      <c r="CN33" s="587"/>
      <c r="CO33" s="587"/>
      <c r="CP33" s="587"/>
      <c r="CQ33" s="587"/>
      <c r="CR33" s="587"/>
      <c r="CS33" s="587"/>
      <c r="CT33" s="587"/>
      <c r="CU33" s="587"/>
      <c r="CV33" s="587"/>
      <c r="CW33" s="587"/>
      <c r="CX33" s="587"/>
      <c r="CY33" s="587"/>
      <c r="CZ33" s="587"/>
      <c r="DA33" s="587"/>
      <c r="DB33" s="587"/>
      <c r="DC33" s="587"/>
      <c r="DD33" s="587"/>
      <c r="DE33" s="587"/>
      <c r="DF33" s="587"/>
      <c r="DG33" s="587"/>
      <c r="DH33" s="587"/>
      <c r="DI33" s="587"/>
      <c r="DJ33" s="587"/>
      <c r="DK33" s="587"/>
      <c r="DL33" s="587"/>
      <c r="DM33" s="587"/>
      <c r="DN33" s="587"/>
      <c r="DO33" s="587"/>
    </row>
    <row r="34" spans="2:119" s="583" customFormat="1" ht="18.75" hidden="1" customHeight="1" x14ac:dyDescent="0.25">
      <c r="B34" s="584">
        <v>42776</v>
      </c>
      <c r="C34" s="584" t="str">
        <f>MONTH(Table_NFI[[#This Row],[Distribution Date]]) &amp; "/" &amp; YEAR(Table_NFI[[#This Row],[Distribution Date]])</f>
        <v>2/2017</v>
      </c>
      <c r="D34" s="213" t="s">
        <v>420</v>
      </c>
      <c r="E34" s="213" t="s">
        <v>462</v>
      </c>
      <c r="F34" s="213" t="s">
        <v>378</v>
      </c>
      <c r="G34" s="213" t="s">
        <v>5</v>
      </c>
      <c r="H34" s="213" t="s">
        <v>8</v>
      </c>
      <c r="I34" s="197"/>
      <c r="J34" s="585"/>
      <c r="K34" s="585"/>
      <c r="L34" s="585"/>
      <c r="M34" s="585"/>
      <c r="N34" s="585"/>
      <c r="O34" s="585">
        <v>8</v>
      </c>
      <c r="P34" s="585"/>
      <c r="Q34" s="585"/>
      <c r="R34" s="585"/>
      <c r="S34" s="585"/>
      <c r="T34" s="585"/>
      <c r="U34" s="585"/>
      <c r="V34" s="585"/>
      <c r="W34" s="585"/>
      <c r="X34" s="585"/>
      <c r="Y34" s="585"/>
      <c r="Z34" s="585"/>
      <c r="AA34" s="585"/>
      <c r="AB34" s="585"/>
      <c r="AC34" s="586"/>
      <c r="AD34" s="586"/>
      <c r="AE34" s="586"/>
      <c r="AF34" s="586"/>
      <c r="AG34" s="586"/>
      <c r="AH34" s="586"/>
      <c r="AI34" s="586"/>
      <c r="AJ34" s="586"/>
      <c r="AK34" s="586"/>
      <c r="AL34" s="586"/>
      <c r="AM34" s="586"/>
      <c r="AN34" s="586"/>
      <c r="AO34" s="586"/>
      <c r="AP34" s="586">
        <f>IF(Table_NFI[[#This Row],[Winter Clothes Adult]]+Table_NFI[[#This Row],[Winter Clothes Children]]+Table_NFI[[#This Row],[Winter Items Other]]+Table_NFI[[#This Row],[Winter Blanket]]&gt;0,1,0)</f>
        <v>0</v>
      </c>
      <c r="AQ34" s="586"/>
      <c r="AR34" s="586"/>
      <c r="AS34" s="586"/>
      <c r="AT34" s="220" t="str">
        <f>IFERROR(VLOOKUP(Table_NFI[[#This Row],[Location]],CL,2,0),"")</f>
        <v>MMR001CMP051</v>
      </c>
      <c r="AU34" s="197" t="s">
        <v>1243</v>
      </c>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7"/>
      <c r="CS34" s="587"/>
      <c r="CT34" s="587"/>
      <c r="CU34" s="587"/>
      <c r="CV34" s="587"/>
      <c r="CW34" s="587"/>
      <c r="CX34" s="587"/>
      <c r="CY34" s="587"/>
      <c r="CZ34" s="587"/>
      <c r="DA34" s="587"/>
      <c r="DB34" s="587"/>
      <c r="DC34" s="587"/>
      <c r="DD34" s="587"/>
      <c r="DE34" s="587"/>
      <c r="DF34" s="587"/>
      <c r="DG34" s="587"/>
      <c r="DH34" s="587"/>
      <c r="DI34" s="587"/>
      <c r="DJ34" s="587"/>
      <c r="DK34" s="587"/>
      <c r="DL34" s="587"/>
      <c r="DM34" s="587"/>
      <c r="DN34" s="587"/>
      <c r="DO34" s="587"/>
    </row>
    <row r="35" spans="2:119" s="583" customFormat="1" ht="18.75" hidden="1" customHeight="1" x14ac:dyDescent="0.25">
      <c r="B35" s="584">
        <v>42779</v>
      </c>
      <c r="C35" s="584" t="str">
        <f>MONTH(Table_NFI[[#This Row],[Distribution Date]]) &amp; "/" &amp; YEAR(Table_NFI[[#This Row],[Distribution Date]])</f>
        <v>2/2017</v>
      </c>
      <c r="D35" s="213" t="s">
        <v>420</v>
      </c>
      <c r="E35" s="213" t="s">
        <v>424</v>
      </c>
      <c r="F35" s="213" t="s">
        <v>378</v>
      </c>
      <c r="G35" s="213" t="s">
        <v>237</v>
      </c>
      <c r="H35" s="213" t="s">
        <v>240</v>
      </c>
      <c r="I35" s="197"/>
      <c r="J35" s="585"/>
      <c r="K35" s="585"/>
      <c r="L35" s="585">
        <v>3</v>
      </c>
      <c r="M35" s="585">
        <v>3</v>
      </c>
      <c r="N35" s="585">
        <v>5</v>
      </c>
      <c r="O35" s="585">
        <v>3</v>
      </c>
      <c r="P35" s="585">
        <v>8</v>
      </c>
      <c r="Q35" s="585">
        <v>3</v>
      </c>
      <c r="R35" s="585"/>
      <c r="S35" s="585">
        <v>3</v>
      </c>
      <c r="T35" s="585">
        <v>8</v>
      </c>
      <c r="U35" s="585"/>
      <c r="V35" s="585"/>
      <c r="W35" s="585"/>
      <c r="X35" s="585"/>
      <c r="Y35" s="585">
        <v>3</v>
      </c>
      <c r="Z35" s="585"/>
      <c r="AA35" s="585"/>
      <c r="AB35" s="585"/>
      <c r="AC35" s="586"/>
      <c r="AD35" s="586"/>
      <c r="AE35" s="586"/>
      <c r="AF35" s="586"/>
      <c r="AG35" s="586"/>
      <c r="AH35" s="586"/>
      <c r="AI35" s="586"/>
      <c r="AJ35" s="586"/>
      <c r="AK35" s="586"/>
      <c r="AL35" s="586"/>
      <c r="AM35" s="586"/>
      <c r="AN35" s="586"/>
      <c r="AO35" s="586"/>
      <c r="AP35" s="586">
        <f>IF(Table_NFI[[#This Row],[Winter Clothes Adult]]+Table_NFI[[#This Row],[Winter Clothes Children]]+Table_NFI[[#This Row],[Winter Items Other]]+Table_NFI[[#This Row],[Winter Blanket]]&gt;0,1,0)</f>
        <v>0</v>
      </c>
      <c r="AQ35" s="586"/>
      <c r="AR35" s="586"/>
      <c r="AS35" s="586"/>
      <c r="AT35" s="220" t="str">
        <f>IFERROR(VLOOKUP(Table_NFI[[#This Row],[Location]],CL,2,0),"")</f>
        <v>MMR001CMP015</v>
      </c>
      <c r="AU35" s="197" t="s">
        <v>1243</v>
      </c>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7"/>
      <c r="CJ35" s="587"/>
      <c r="CK35" s="587"/>
      <c r="CL35" s="587"/>
      <c r="CM35" s="587"/>
      <c r="CN35" s="587"/>
      <c r="CO35" s="587"/>
      <c r="CP35" s="587"/>
      <c r="CQ35" s="587"/>
      <c r="CR35" s="587"/>
      <c r="CS35" s="587"/>
      <c r="CT35" s="587"/>
      <c r="CU35" s="587"/>
      <c r="CV35" s="587"/>
      <c r="CW35" s="587"/>
      <c r="CX35" s="587"/>
      <c r="CY35" s="587"/>
      <c r="CZ35" s="587"/>
      <c r="DA35" s="587"/>
      <c r="DB35" s="587"/>
      <c r="DC35" s="587"/>
      <c r="DD35" s="587"/>
      <c r="DE35" s="587"/>
      <c r="DF35" s="587"/>
      <c r="DG35" s="587"/>
      <c r="DH35" s="587"/>
      <c r="DI35" s="587"/>
      <c r="DJ35" s="587"/>
      <c r="DK35" s="587"/>
      <c r="DL35" s="587"/>
      <c r="DM35" s="587"/>
      <c r="DN35" s="587"/>
      <c r="DO35" s="587"/>
    </row>
    <row r="36" spans="2:119" s="583" customFormat="1" ht="18.75" hidden="1" customHeight="1" x14ac:dyDescent="0.25">
      <c r="B36" s="584">
        <v>42779</v>
      </c>
      <c r="C36" s="584" t="str">
        <f>MONTH(Table_NFI[[#This Row],[Distribution Date]]) &amp; "/" &amp; YEAR(Table_NFI[[#This Row],[Distribution Date]])</f>
        <v>2/2017</v>
      </c>
      <c r="D36" s="213" t="s">
        <v>420</v>
      </c>
      <c r="E36" s="213" t="s">
        <v>424</v>
      </c>
      <c r="F36" s="213" t="s">
        <v>378</v>
      </c>
      <c r="G36" s="213" t="s">
        <v>237</v>
      </c>
      <c r="H36" s="213" t="s">
        <v>252</v>
      </c>
      <c r="I36" s="197"/>
      <c r="J36" s="585"/>
      <c r="K36" s="585"/>
      <c r="L36" s="585">
        <v>1</v>
      </c>
      <c r="M36" s="585">
        <v>1</v>
      </c>
      <c r="N36" s="585">
        <v>2</v>
      </c>
      <c r="O36" s="585">
        <v>1</v>
      </c>
      <c r="P36" s="585">
        <v>3</v>
      </c>
      <c r="Q36" s="585">
        <v>1</v>
      </c>
      <c r="R36" s="585"/>
      <c r="S36" s="585">
        <v>1</v>
      </c>
      <c r="T36" s="585">
        <v>3</v>
      </c>
      <c r="U36" s="585"/>
      <c r="V36" s="585"/>
      <c r="W36" s="585"/>
      <c r="X36" s="585"/>
      <c r="Y36" s="585">
        <v>1</v>
      </c>
      <c r="Z36" s="585"/>
      <c r="AA36" s="585"/>
      <c r="AB36" s="585"/>
      <c r="AC36" s="586"/>
      <c r="AD36" s="586"/>
      <c r="AE36" s="586"/>
      <c r="AF36" s="586"/>
      <c r="AG36" s="586"/>
      <c r="AH36" s="586"/>
      <c r="AI36" s="586"/>
      <c r="AJ36" s="586"/>
      <c r="AK36" s="586"/>
      <c r="AL36" s="586"/>
      <c r="AM36" s="586"/>
      <c r="AN36" s="586"/>
      <c r="AO36" s="586"/>
      <c r="AP36" s="586">
        <f>IF(Table_NFI[[#This Row],[Winter Clothes Adult]]+Table_NFI[[#This Row],[Winter Clothes Children]]+Table_NFI[[#This Row],[Winter Items Other]]+Table_NFI[[#This Row],[Winter Blanket]]&gt;0,1,0)</f>
        <v>0</v>
      </c>
      <c r="AQ36" s="586"/>
      <c r="AR36" s="586"/>
      <c r="AS36" s="586"/>
      <c r="AT36" s="220" t="str">
        <f>IFERROR(VLOOKUP(Table_NFI[[#This Row],[Location]],CL,2,0),"")</f>
        <v>MMR001CMP018</v>
      </c>
      <c r="AU36" s="197" t="s">
        <v>1243</v>
      </c>
      <c r="AV36" s="587"/>
      <c r="AW36" s="587"/>
      <c r="AX36" s="587"/>
      <c r="AY36" s="587"/>
      <c r="AZ36" s="587"/>
      <c r="BA36" s="587"/>
      <c r="BB36" s="587"/>
      <c r="BC36" s="587"/>
      <c r="BD36" s="587"/>
      <c r="BE36" s="587"/>
      <c r="BF36" s="587"/>
      <c r="BG36" s="587"/>
      <c r="BH36" s="587"/>
      <c r="BI36" s="587"/>
      <c r="BJ36" s="587"/>
      <c r="BK36" s="587"/>
      <c r="BL36" s="587"/>
      <c r="BM36" s="587"/>
      <c r="BN36" s="587"/>
      <c r="BO36" s="587"/>
      <c r="BP36" s="587"/>
      <c r="BQ36" s="587"/>
      <c r="BR36" s="587"/>
      <c r="BS36" s="587"/>
      <c r="BT36" s="587"/>
      <c r="BU36" s="587"/>
      <c r="BV36" s="587"/>
      <c r="BW36" s="587"/>
      <c r="BX36" s="587"/>
      <c r="BY36" s="587"/>
      <c r="BZ36" s="587"/>
      <c r="CA36" s="587"/>
      <c r="CB36" s="587"/>
      <c r="CC36" s="587"/>
      <c r="CD36" s="587"/>
      <c r="CE36" s="587"/>
      <c r="CF36" s="587"/>
      <c r="CG36" s="587"/>
      <c r="CH36" s="587"/>
      <c r="CI36" s="587"/>
      <c r="CJ36" s="587"/>
      <c r="CK36" s="587"/>
      <c r="CL36" s="587"/>
      <c r="CM36" s="587"/>
      <c r="CN36" s="587"/>
      <c r="CO36" s="587"/>
      <c r="CP36" s="587"/>
      <c r="CQ36" s="587"/>
      <c r="CR36" s="587"/>
      <c r="CS36" s="587"/>
      <c r="CT36" s="587"/>
      <c r="CU36" s="587"/>
      <c r="CV36" s="587"/>
      <c r="CW36" s="587"/>
      <c r="CX36" s="587"/>
      <c r="CY36" s="587"/>
      <c r="CZ36" s="587"/>
      <c r="DA36" s="587"/>
      <c r="DB36" s="587"/>
      <c r="DC36" s="587"/>
      <c r="DD36" s="587"/>
      <c r="DE36" s="587"/>
      <c r="DF36" s="587"/>
      <c r="DG36" s="587"/>
      <c r="DH36" s="587"/>
      <c r="DI36" s="587"/>
      <c r="DJ36" s="587"/>
      <c r="DK36" s="587"/>
      <c r="DL36" s="587"/>
      <c r="DM36" s="587"/>
      <c r="DN36" s="587"/>
      <c r="DO36" s="587"/>
    </row>
    <row r="37" spans="2:119" s="583" customFormat="1" ht="18.75" hidden="1" customHeight="1" x14ac:dyDescent="0.25">
      <c r="B37" s="584">
        <v>42779</v>
      </c>
      <c r="C37" s="584" t="str">
        <f>MONTH(Table_NFI[[#This Row],[Distribution Date]]) &amp; "/" &amp; YEAR(Table_NFI[[#This Row],[Distribution Date]])</f>
        <v>2/2017</v>
      </c>
      <c r="D37" s="213" t="s">
        <v>420</v>
      </c>
      <c r="E37" s="213" t="s">
        <v>424</v>
      </c>
      <c r="F37" s="213" t="s">
        <v>378</v>
      </c>
      <c r="G37" s="213" t="s">
        <v>237</v>
      </c>
      <c r="H37" s="213" t="s">
        <v>256</v>
      </c>
      <c r="I37" s="197"/>
      <c r="J37" s="585"/>
      <c r="K37" s="585"/>
      <c r="L37" s="585">
        <v>3</v>
      </c>
      <c r="M37" s="585">
        <v>3</v>
      </c>
      <c r="N37" s="585">
        <v>9</v>
      </c>
      <c r="O37" s="585">
        <v>3</v>
      </c>
      <c r="P37" s="585">
        <v>17</v>
      </c>
      <c r="Q37" s="585">
        <v>3</v>
      </c>
      <c r="R37" s="585"/>
      <c r="S37" s="585">
        <v>3</v>
      </c>
      <c r="T37" s="585">
        <v>17</v>
      </c>
      <c r="U37" s="585"/>
      <c r="V37" s="585"/>
      <c r="W37" s="585"/>
      <c r="X37" s="585"/>
      <c r="Y37" s="585">
        <v>3</v>
      </c>
      <c r="Z37" s="585"/>
      <c r="AA37" s="585"/>
      <c r="AB37" s="585"/>
      <c r="AC37" s="586"/>
      <c r="AD37" s="586"/>
      <c r="AE37" s="586"/>
      <c r="AF37" s="586"/>
      <c r="AG37" s="586"/>
      <c r="AH37" s="586"/>
      <c r="AI37" s="586"/>
      <c r="AJ37" s="586"/>
      <c r="AK37" s="586"/>
      <c r="AL37" s="586"/>
      <c r="AM37" s="586"/>
      <c r="AN37" s="586"/>
      <c r="AO37" s="586"/>
      <c r="AP37" s="586">
        <f>IF(Table_NFI[[#This Row],[Winter Clothes Adult]]+Table_NFI[[#This Row],[Winter Clothes Children]]+Table_NFI[[#This Row],[Winter Items Other]]+Table_NFI[[#This Row],[Winter Blanket]]&gt;0,1,0)</f>
        <v>0</v>
      </c>
      <c r="AQ37" s="586"/>
      <c r="AR37" s="586"/>
      <c r="AS37" s="586"/>
      <c r="AT37" s="220" t="str">
        <f>IFERROR(VLOOKUP(Table_NFI[[#This Row],[Location]],CL,2,0),"")</f>
        <v>MMR001CMP013</v>
      </c>
      <c r="AU37" s="197" t="s">
        <v>1243</v>
      </c>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row>
    <row r="38" spans="2:119" s="583" customFormat="1" ht="18.75" hidden="1" customHeight="1" x14ac:dyDescent="0.25">
      <c r="B38" s="584">
        <v>42779</v>
      </c>
      <c r="C38" s="584" t="str">
        <f>MONTH(Table_NFI[[#This Row],[Distribution Date]]) &amp; "/" &amp; YEAR(Table_NFI[[#This Row],[Distribution Date]])</f>
        <v>2/2017</v>
      </c>
      <c r="D38" s="213" t="s">
        <v>420</v>
      </c>
      <c r="E38" s="213" t="s">
        <v>424</v>
      </c>
      <c r="F38" s="213" t="s">
        <v>378</v>
      </c>
      <c r="G38" s="213" t="s">
        <v>237</v>
      </c>
      <c r="H38" s="213" t="s">
        <v>260</v>
      </c>
      <c r="I38" s="197"/>
      <c r="J38" s="585"/>
      <c r="K38" s="585"/>
      <c r="L38" s="585">
        <v>1</v>
      </c>
      <c r="M38" s="585">
        <v>1</v>
      </c>
      <c r="N38" s="585">
        <v>2</v>
      </c>
      <c r="O38" s="585">
        <v>1</v>
      </c>
      <c r="P38" s="585">
        <v>3</v>
      </c>
      <c r="Q38" s="585">
        <v>1</v>
      </c>
      <c r="R38" s="585"/>
      <c r="S38" s="585">
        <v>1</v>
      </c>
      <c r="T38" s="585">
        <v>3</v>
      </c>
      <c r="U38" s="585"/>
      <c r="V38" s="585"/>
      <c r="W38" s="585"/>
      <c r="X38" s="585"/>
      <c r="Y38" s="585">
        <v>1</v>
      </c>
      <c r="Z38" s="585"/>
      <c r="AA38" s="585"/>
      <c r="AB38" s="585"/>
      <c r="AC38" s="586"/>
      <c r="AD38" s="586"/>
      <c r="AE38" s="586"/>
      <c r="AF38" s="586"/>
      <c r="AG38" s="586"/>
      <c r="AH38" s="586"/>
      <c r="AI38" s="586"/>
      <c r="AJ38" s="586"/>
      <c r="AK38" s="586"/>
      <c r="AL38" s="586"/>
      <c r="AM38" s="586"/>
      <c r="AN38" s="586"/>
      <c r="AO38" s="586"/>
      <c r="AP38" s="586">
        <f>IF(Table_NFI[[#This Row],[Winter Clothes Adult]]+Table_NFI[[#This Row],[Winter Clothes Children]]+Table_NFI[[#This Row],[Winter Items Other]]+Table_NFI[[#This Row],[Winter Blanket]]&gt;0,1,0)</f>
        <v>0</v>
      </c>
      <c r="AQ38" s="586"/>
      <c r="AR38" s="586"/>
      <c r="AS38" s="586"/>
      <c r="AT38" s="220" t="str">
        <f>IFERROR(VLOOKUP(Table_NFI[[#This Row],[Location]],CL,2,0),"")</f>
        <v>MMR001CMP008</v>
      </c>
      <c r="AU38" s="197" t="s">
        <v>1243</v>
      </c>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587"/>
      <c r="CB38" s="587"/>
      <c r="CC38" s="587"/>
      <c r="CD38" s="587"/>
      <c r="CE38" s="587"/>
      <c r="CF38" s="587"/>
      <c r="CG38" s="587"/>
      <c r="CH38" s="587"/>
      <c r="CI38" s="587"/>
      <c r="CJ38" s="587"/>
      <c r="CK38" s="587"/>
      <c r="CL38" s="587"/>
      <c r="CM38" s="587"/>
      <c r="CN38" s="587"/>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row>
    <row r="39" spans="2:119" s="583" customFormat="1" ht="18.75" hidden="1" customHeight="1" x14ac:dyDescent="0.25">
      <c r="B39" s="584">
        <v>42779</v>
      </c>
      <c r="C39" s="584" t="str">
        <f>MONTH(Table_NFI[[#This Row],[Distribution Date]]) &amp; "/" &amp; YEAR(Table_NFI[[#This Row],[Distribution Date]])</f>
        <v>2/2017</v>
      </c>
      <c r="D39" s="213" t="s">
        <v>420</v>
      </c>
      <c r="E39" s="213" t="s">
        <v>424</v>
      </c>
      <c r="F39" s="213" t="s">
        <v>378</v>
      </c>
      <c r="G39" s="213" t="s">
        <v>237</v>
      </c>
      <c r="H39" s="213" t="s">
        <v>258</v>
      </c>
      <c r="I39" s="197"/>
      <c r="J39" s="585"/>
      <c r="K39" s="585"/>
      <c r="L39" s="585">
        <v>1</v>
      </c>
      <c r="M39" s="585">
        <v>1</v>
      </c>
      <c r="N39" s="585">
        <v>2</v>
      </c>
      <c r="O39" s="585">
        <v>1</v>
      </c>
      <c r="P39" s="585">
        <v>3</v>
      </c>
      <c r="Q39" s="585">
        <v>1</v>
      </c>
      <c r="R39" s="585"/>
      <c r="S39" s="585">
        <v>1</v>
      </c>
      <c r="T39" s="585">
        <v>3</v>
      </c>
      <c r="U39" s="585"/>
      <c r="V39" s="585"/>
      <c r="W39" s="585"/>
      <c r="X39" s="585"/>
      <c r="Y39" s="585">
        <v>1</v>
      </c>
      <c r="Z39" s="585"/>
      <c r="AA39" s="585"/>
      <c r="AB39" s="585"/>
      <c r="AC39" s="586"/>
      <c r="AD39" s="586"/>
      <c r="AE39" s="586"/>
      <c r="AF39" s="586"/>
      <c r="AG39" s="586"/>
      <c r="AH39" s="586"/>
      <c r="AI39" s="586"/>
      <c r="AJ39" s="586"/>
      <c r="AK39" s="586"/>
      <c r="AL39" s="586"/>
      <c r="AM39" s="586"/>
      <c r="AN39" s="586"/>
      <c r="AO39" s="586"/>
      <c r="AP39" s="586">
        <f>IF(Table_NFI[[#This Row],[Winter Clothes Adult]]+Table_NFI[[#This Row],[Winter Clothes Children]]+Table_NFI[[#This Row],[Winter Items Other]]+Table_NFI[[#This Row],[Winter Blanket]]&gt;0,1,0)</f>
        <v>0</v>
      </c>
      <c r="AQ39" s="586"/>
      <c r="AR39" s="586"/>
      <c r="AS39" s="586"/>
      <c r="AT39" s="220" t="str">
        <f>IFERROR(VLOOKUP(Table_NFI[[#This Row],[Location]],CL,2,0),"")</f>
        <v>MMR001CMP016</v>
      </c>
      <c r="AU39" s="197" t="s">
        <v>1243</v>
      </c>
      <c r="AV39" s="587"/>
      <c r="AW39" s="587"/>
      <c r="AX39" s="587"/>
      <c r="AY39" s="587"/>
      <c r="AZ39" s="587"/>
      <c r="BA39" s="587"/>
      <c r="BB39" s="587"/>
      <c r="BC39" s="587"/>
      <c r="BD39" s="587"/>
      <c r="BE39" s="587"/>
      <c r="BF39" s="587"/>
      <c r="BG39" s="587"/>
      <c r="BH39" s="587"/>
      <c r="BI39" s="587"/>
      <c r="BJ39" s="587"/>
      <c r="BK39" s="587"/>
      <c r="BL39" s="587"/>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7"/>
      <c r="CI39" s="587"/>
      <c r="CJ39" s="587"/>
      <c r="CK39" s="587"/>
      <c r="CL39" s="587"/>
      <c r="CM39" s="587"/>
      <c r="CN39" s="587"/>
      <c r="CO39" s="587"/>
      <c r="CP39" s="587"/>
      <c r="CQ39" s="587"/>
      <c r="CR39" s="587"/>
      <c r="CS39" s="587"/>
      <c r="CT39" s="587"/>
      <c r="CU39" s="587"/>
      <c r="CV39" s="587"/>
      <c r="CW39" s="587"/>
      <c r="CX39" s="587"/>
      <c r="CY39" s="587"/>
      <c r="CZ39" s="587"/>
      <c r="DA39" s="587"/>
      <c r="DB39" s="587"/>
      <c r="DC39" s="587"/>
      <c r="DD39" s="587"/>
      <c r="DE39" s="587"/>
      <c r="DF39" s="587"/>
      <c r="DG39" s="587"/>
      <c r="DH39" s="587"/>
      <c r="DI39" s="587"/>
      <c r="DJ39" s="587"/>
      <c r="DK39" s="587"/>
      <c r="DL39" s="587"/>
      <c r="DM39" s="587"/>
      <c r="DN39" s="587"/>
      <c r="DO39" s="587"/>
    </row>
    <row r="40" spans="2:119" s="583" customFormat="1" ht="18.75" hidden="1" customHeight="1" x14ac:dyDescent="0.25">
      <c r="B40" s="584">
        <v>42780</v>
      </c>
      <c r="C40" s="584" t="str">
        <f>MONTH(Table_NFI[[#This Row],[Distribution Date]]) &amp; "/" &amp; YEAR(Table_NFI[[#This Row],[Distribution Date]])</f>
        <v>2/2017</v>
      </c>
      <c r="D40" s="213" t="s">
        <v>420</v>
      </c>
      <c r="E40" s="213" t="s">
        <v>424</v>
      </c>
      <c r="F40" s="213" t="s">
        <v>378</v>
      </c>
      <c r="G40" s="213" t="s">
        <v>151</v>
      </c>
      <c r="H40" s="213" t="s">
        <v>812</v>
      </c>
      <c r="I40" s="197"/>
      <c r="J40" s="585"/>
      <c r="K40" s="585"/>
      <c r="L40" s="585">
        <v>4</v>
      </c>
      <c r="M40" s="585">
        <v>4</v>
      </c>
      <c r="N40" s="585">
        <v>7</v>
      </c>
      <c r="O40" s="585">
        <v>4</v>
      </c>
      <c r="P40" s="585">
        <v>7</v>
      </c>
      <c r="Q40" s="585">
        <v>4</v>
      </c>
      <c r="R40" s="585"/>
      <c r="S40" s="585">
        <v>4</v>
      </c>
      <c r="T40" s="585">
        <v>14</v>
      </c>
      <c r="U40" s="585"/>
      <c r="V40" s="585"/>
      <c r="W40" s="585"/>
      <c r="X40" s="585"/>
      <c r="Y40" s="585">
        <v>4</v>
      </c>
      <c r="Z40" s="585"/>
      <c r="AA40" s="585"/>
      <c r="AB40" s="585"/>
      <c r="AC40" s="586"/>
      <c r="AD40" s="586"/>
      <c r="AE40" s="586"/>
      <c r="AF40" s="586"/>
      <c r="AG40" s="586"/>
      <c r="AH40" s="586"/>
      <c r="AI40" s="586"/>
      <c r="AJ40" s="586"/>
      <c r="AK40" s="586"/>
      <c r="AL40" s="586"/>
      <c r="AM40" s="586"/>
      <c r="AN40" s="586"/>
      <c r="AO40" s="586"/>
      <c r="AP40" s="586">
        <f>IF(Table_NFI[[#This Row],[Winter Clothes Adult]]+Table_NFI[[#This Row],[Winter Clothes Children]]+Table_NFI[[#This Row],[Winter Items Other]]+Table_NFI[[#This Row],[Winter Blanket]]&gt;0,1,0)</f>
        <v>0</v>
      </c>
      <c r="AQ40" s="586"/>
      <c r="AR40" s="586"/>
      <c r="AS40" s="586"/>
      <c r="AT40" s="220" t="str">
        <f>IFERROR(VLOOKUP(Table_NFI[[#This Row],[Location]],CL,2,0),"")</f>
        <v>MMR001CMP218</v>
      </c>
      <c r="AU40" s="197" t="s">
        <v>1243</v>
      </c>
      <c r="AV40" s="587"/>
      <c r="AW40" s="587"/>
      <c r="AX40" s="587"/>
      <c r="AY40" s="587"/>
      <c r="AZ40" s="587"/>
      <c r="BA40" s="587"/>
      <c r="BB40" s="587"/>
      <c r="BC40" s="587"/>
      <c r="BD40" s="587"/>
      <c r="BE40" s="587"/>
      <c r="BF40" s="587"/>
      <c r="BG40" s="587"/>
      <c r="BH40" s="587"/>
      <c r="BI40" s="587"/>
      <c r="BJ40" s="587"/>
      <c r="BK40" s="587"/>
      <c r="BL40" s="587"/>
      <c r="BM40" s="587"/>
      <c r="BN40" s="587"/>
      <c r="BO40" s="587"/>
      <c r="BP40" s="587"/>
      <c r="BQ40" s="587"/>
      <c r="BR40" s="587"/>
      <c r="BS40" s="587"/>
      <c r="BT40" s="587"/>
      <c r="BU40" s="587"/>
      <c r="BV40" s="587"/>
      <c r="BW40" s="587"/>
      <c r="BX40" s="587"/>
      <c r="BY40" s="587"/>
      <c r="BZ40" s="587"/>
      <c r="CA40" s="587"/>
      <c r="CB40" s="587"/>
      <c r="CC40" s="587"/>
      <c r="CD40" s="587"/>
      <c r="CE40" s="587"/>
      <c r="CF40" s="587"/>
      <c r="CG40" s="587"/>
      <c r="CH40" s="587"/>
      <c r="CI40" s="587"/>
      <c r="CJ40" s="587"/>
      <c r="CK40" s="587"/>
      <c r="CL40" s="587"/>
      <c r="CM40" s="587"/>
      <c r="CN40" s="587"/>
      <c r="CO40" s="587"/>
      <c r="CP40" s="587"/>
      <c r="CQ40" s="587"/>
      <c r="CR40" s="587"/>
      <c r="CS40" s="587"/>
      <c r="CT40" s="587"/>
      <c r="CU40" s="587"/>
      <c r="CV40" s="587"/>
      <c r="CW40" s="587"/>
      <c r="CX40" s="587"/>
      <c r="CY40" s="587"/>
      <c r="CZ40" s="587"/>
      <c r="DA40" s="587"/>
      <c r="DB40" s="587"/>
      <c r="DC40" s="587"/>
      <c r="DD40" s="587"/>
      <c r="DE40" s="587"/>
      <c r="DF40" s="587"/>
      <c r="DG40" s="587"/>
      <c r="DH40" s="587"/>
      <c r="DI40" s="587"/>
      <c r="DJ40" s="587"/>
      <c r="DK40" s="587"/>
      <c r="DL40" s="587"/>
      <c r="DM40" s="587"/>
      <c r="DN40" s="587"/>
      <c r="DO40" s="587"/>
    </row>
    <row r="41" spans="2:119" s="583" customFormat="1" ht="18.75" hidden="1" customHeight="1" x14ac:dyDescent="0.25">
      <c r="B41" s="584">
        <v>42780</v>
      </c>
      <c r="C41" s="584" t="str">
        <f>MONTH(Table_NFI[[#This Row],[Distribution Date]]) &amp; "/" &amp; YEAR(Table_NFI[[#This Row],[Distribution Date]])</f>
        <v>2/2017</v>
      </c>
      <c r="D41" s="212" t="s">
        <v>1398</v>
      </c>
      <c r="E41" s="212" t="s">
        <v>1398</v>
      </c>
      <c r="F41" s="588" t="s">
        <v>378</v>
      </c>
      <c r="G41" s="213" t="s">
        <v>151</v>
      </c>
      <c r="H41" s="213" t="s">
        <v>812</v>
      </c>
      <c r="I41" s="197"/>
      <c r="J41" s="585">
        <v>2</v>
      </c>
      <c r="K41" s="585"/>
      <c r="L41" s="585"/>
      <c r="M41" s="585">
        <v>18</v>
      </c>
      <c r="N41" s="585"/>
      <c r="O41" s="585"/>
      <c r="P41" s="585"/>
      <c r="Q41" s="585"/>
      <c r="R41" s="585"/>
      <c r="S41" s="585">
        <v>2</v>
      </c>
      <c r="T41" s="585"/>
      <c r="U41" s="585"/>
      <c r="V41" s="585"/>
      <c r="W41" s="585"/>
      <c r="X41" s="585"/>
      <c r="Y41" s="585">
        <v>2</v>
      </c>
      <c r="Z41" s="585"/>
      <c r="AA41" s="585"/>
      <c r="AB41" s="585"/>
      <c r="AC41" s="586"/>
      <c r="AD41" s="586"/>
      <c r="AE41" s="586"/>
      <c r="AF41" s="586"/>
      <c r="AG41" s="586"/>
      <c r="AH41" s="586"/>
      <c r="AI41" s="586"/>
      <c r="AJ41" s="586"/>
      <c r="AK41" s="586"/>
      <c r="AL41" s="586"/>
      <c r="AM41" s="586"/>
      <c r="AN41" s="586"/>
      <c r="AO41" s="586"/>
      <c r="AP41" s="586">
        <f>IF(Table_NFI[[#This Row],[Winter Clothes Adult]]+Table_NFI[[#This Row],[Winter Clothes Children]]+Table_NFI[[#This Row],[Winter Items Other]]+Table_NFI[[#This Row],[Winter Blanket]]&gt;0,1,0)</f>
        <v>0</v>
      </c>
      <c r="AQ41" s="586"/>
      <c r="AR41" s="586"/>
      <c r="AS41" s="586"/>
      <c r="AT41" s="220" t="str">
        <f>IFERROR(VLOOKUP(Table_NFI[[#This Row],[Location]],CL,2,0),"")</f>
        <v>MMR001CMP218</v>
      </c>
      <c r="AU41" s="197" t="s">
        <v>1266</v>
      </c>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row>
    <row r="42" spans="2:119" s="583" customFormat="1" ht="18.75" hidden="1" customHeight="1" x14ac:dyDescent="0.25">
      <c r="B42" s="584">
        <v>42780</v>
      </c>
      <c r="C42" s="584" t="str">
        <f>MONTH(Table_NFI[[#This Row],[Distribution Date]]) &amp; "/" &amp; YEAR(Table_NFI[[#This Row],[Distribution Date]])</f>
        <v>2/2017</v>
      </c>
      <c r="D42" s="213" t="s">
        <v>420</v>
      </c>
      <c r="E42" s="588" t="s">
        <v>1629</v>
      </c>
      <c r="F42" s="213" t="s">
        <v>378</v>
      </c>
      <c r="G42" s="213" t="s">
        <v>151</v>
      </c>
      <c r="H42" s="213" t="s">
        <v>849</v>
      </c>
      <c r="I42" s="197"/>
      <c r="J42" s="585"/>
      <c r="K42" s="585"/>
      <c r="L42" s="585">
        <v>1</v>
      </c>
      <c r="M42" s="585">
        <v>1</v>
      </c>
      <c r="N42" s="585">
        <v>2</v>
      </c>
      <c r="O42" s="585">
        <v>1</v>
      </c>
      <c r="P42" s="585">
        <v>2</v>
      </c>
      <c r="Q42" s="585">
        <v>1</v>
      </c>
      <c r="R42" s="585"/>
      <c r="S42" s="585">
        <v>1</v>
      </c>
      <c r="T42" s="585">
        <v>3</v>
      </c>
      <c r="U42" s="585"/>
      <c r="V42" s="585"/>
      <c r="W42" s="585"/>
      <c r="X42" s="585"/>
      <c r="Y42" s="585">
        <v>1</v>
      </c>
      <c r="Z42" s="585"/>
      <c r="AA42" s="585"/>
      <c r="AB42" s="585"/>
      <c r="AC42" s="586"/>
      <c r="AD42" s="586"/>
      <c r="AE42" s="586"/>
      <c r="AF42" s="586"/>
      <c r="AG42" s="586"/>
      <c r="AH42" s="586"/>
      <c r="AI42" s="586"/>
      <c r="AJ42" s="586"/>
      <c r="AK42" s="586"/>
      <c r="AL42" s="586"/>
      <c r="AM42" s="586"/>
      <c r="AN42" s="586"/>
      <c r="AO42" s="586"/>
      <c r="AP42" s="586">
        <f>IF(Table_NFI[[#This Row],[Winter Clothes Adult]]+Table_NFI[[#This Row],[Winter Clothes Children]]+Table_NFI[[#This Row],[Winter Items Other]]+Table_NFI[[#This Row],[Winter Blanket]]&gt;0,1,0)</f>
        <v>0</v>
      </c>
      <c r="AQ42" s="586"/>
      <c r="AR42" s="586"/>
      <c r="AS42" s="586"/>
      <c r="AT42" s="220" t="str">
        <f>IFERROR(VLOOKUP(Table_NFI[[#This Row],[Location]],CL,2,0),"")</f>
        <v>MMR001CMP223</v>
      </c>
      <c r="AU42" s="197" t="s">
        <v>1243</v>
      </c>
      <c r="AV42" s="587"/>
      <c r="AW42" s="587"/>
      <c r="AX42" s="587"/>
      <c r="AY42" s="587"/>
      <c r="AZ42" s="587"/>
      <c r="BA42" s="587"/>
      <c r="BB42" s="587"/>
      <c r="BC42" s="587"/>
      <c r="BD42" s="587"/>
      <c r="BE42" s="587"/>
      <c r="BF42" s="587"/>
      <c r="BG42" s="587"/>
      <c r="BH42" s="587"/>
      <c r="BI42" s="587"/>
      <c r="BJ42" s="587"/>
      <c r="BK42" s="587"/>
      <c r="BL42" s="587"/>
      <c r="BM42" s="587"/>
      <c r="BN42" s="587"/>
      <c r="BO42" s="587"/>
      <c r="BP42" s="587"/>
      <c r="BQ42" s="587"/>
      <c r="BR42" s="587"/>
      <c r="BS42" s="587"/>
      <c r="BT42" s="587"/>
      <c r="BU42" s="587"/>
      <c r="BV42" s="587"/>
      <c r="BW42" s="587"/>
      <c r="BX42" s="587"/>
      <c r="BY42" s="587"/>
      <c r="BZ42" s="587"/>
      <c r="CA42" s="587"/>
      <c r="CB42" s="587"/>
      <c r="CC42" s="587"/>
      <c r="CD42" s="587"/>
      <c r="CE42" s="587"/>
      <c r="CF42" s="587"/>
      <c r="CG42" s="587"/>
      <c r="CH42" s="587"/>
      <c r="CI42" s="587"/>
      <c r="CJ42" s="587"/>
      <c r="CK42" s="587"/>
      <c r="CL42" s="587"/>
      <c r="CM42" s="587"/>
      <c r="CN42" s="587"/>
      <c r="CO42" s="587"/>
      <c r="CP42" s="587"/>
      <c r="CQ42" s="587"/>
      <c r="CR42" s="587"/>
      <c r="CS42" s="587"/>
      <c r="CT42" s="587"/>
      <c r="CU42" s="587"/>
      <c r="CV42" s="587"/>
      <c r="CW42" s="587"/>
      <c r="CX42" s="587"/>
      <c r="CY42" s="587"/>
      <c r="CZ42" s="587"/>
      <c r="DA42" s="587"/>
      <c r="DB42" s="587"/>
      <c r="DC42" s="587"/>
      <c r="DD42" s="587"/>
      <c r="DE42" s="587"/>
      <c r="DF42" s="587"/>
      <c r="DG42" s="587"/>
      <c r="DH42" s="587"/>
      <c r="DI42" s="587"/>
      <c r="DJ42" s="587"/>
      <c r="DK42" s="587"/>
      <c r="DL42" s="587"/>
      <c r="DM42" s="587"/>
      <c r="DN42" s="587"/>
      <c r="DO42" s="587"/>
    </row>
    <row r="43" spans="2:119" s="583" customFormat="1" ht="18.75" hidden="1" customHeight="1" x14ac:dyDescent="0.25">
      <c r="B43" s="584">
        <v>42782</v>
      </c>
      <c r="C43" s="584" t="str">
        <f>MONTH(Table_NFI[[#This Row],[Distribution Date]]) &amp; "/" &amp; YEAR(Table_NFI[[#This Row],[Distribution Date]])</f>
        <v>2/2017</v>
      </c>
      <c r="D43" s="213" t="s">
        <v>420</v>
      </c>
      <c r="E43" s="213" t="s">
        <v>424</v>
      </c>
      <c r="F43" s="213" t="s">
        <v>378</v>
      </c>
      <c r="G43" s="213" t="s">
        <v>480</v>
      </c>
      <c r="H43" s="213" t="s">
        <v>1162</v>
      </c>
      <c r="I43" s="197"/>
      <c r="J43" s="585"/>
      <c r="K43" s="585"/>
      <c r="L43" s="585"/>
      <c r="M43" s="585"/>
      <c r="N43" s="585"/>
      <c r="O43" s="585"/>
      <c r="P43" s="585"/>
      <c r="Q43" s="585"/>
      <c r="R43" s="585"/>
      <c r="S43" s="585"/>
      <c r="T43" s="585"/>
      <c r="U43" s="585">
        <v>62</v>
      </c>
      <c r="V43" s="585">
        <v>33</v>
      </c>
      <c r="W43" s="585"/>
      <c r="X43" s="585"/>
      <c r="Y43" s="585"/>
      <c r="Z43" s="585"/>
      <c r="AA43" s="585"/>
      <c r="AB43" s="585"/>
      <c r="AC43" s="586"/>
      <c r="AD43" s="586"/>
      <c r="AE43" s="586"/>
      <c r="AF43" s="586"/>
      <c r="AG43" s="586"/>
      <c r="AH43" s="586"/>
      <c r="AI43" s="586"/>
      <c r="AJ43" s="586"/>
      <c r="AK43" s="586"/>
      <c r="AL43" s="586"/>
      <c r="AM43" s="586"/>
      <c r="AN43" s="586"/>
      <c r="AO43" s="586"/>
      <c r="AP43" s="586">
        <f>IF(Table_NFI[[#This Row],[Winter Clothes Adult]]+Table_NFI[[#This Row],[Winter Clothes Children]]+Table_NFI[[#This Row],[Winter Items Other]]+Table_NFI[[#This Row],[Winter Blanket]]&gt;0,1,0)</f>
        <v>1</v>
      </c>
      <c r="AQ43" s="586"/>
      <c r="AR43" s="586"/>
      <c r="AS43" s="586"/>
      <c r="AT43" s="220" t="str">
        <f>IFERROR(VLOOKUP(Table_NFI[[#This Row],[Location]],CL,2,0),"")</f>
        <v>MMR001CMP244</v>
      </c>
      <c r="AU43" s="197" t="s">
        <v>1243</v>
      </c>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row>
    <row r="44" spans="2:119" s="583" customFormat="1" ht="18.75" hidden="1" customHeight="1" x14ac:dyDescent="0.25">
      <c r="B44" s="584">
        <v>42795</v>
      </c>
      <c r="C44" s="584" t="str">
        <f>MONTH(Table_NFI[[#This Row],[Distribution Date]]) &amp; "/" &amp; YEAR(Table_NFI[[#This Row],[Distribution Date]])</f>
        <v>3/2017</v>
      </c>
      <c r="D44" s="212" t="s">
        <v>1398</v>
      </c>
      <c r="E44" s="212" t="s">
        <v>1398</v>
      </c>
      <c r="F44" s="213" t="s">
        <v>378</v>
      </c>
      <c r="G44" s="213" t="s">
        <v>309</v>
      </c>
      <c r="H44" s="213" t="s">
        <v>1262</v>
      </c>
      <c r="I44" s="197"/>
      <c r="J44" s="585">
        <v>55</v>
      </c>
      <c r="K44" s="585"/>
      <c r="L44" s="585"/>
      <c r="M44" s="585">
        <v>495</v>
      </c>
      <c r="N44" s="585"/>
      <c r="O44" s="585"/>
      <c r="P44" s="585"/>
      <c r="Q44" s="585"/>
      <c r="R44" s="585"/>
      <c r="S44" s="585">
        <v>55</v>
      </c>
      <c r="T44" s="585"/>
      <c r="U44" s="585"/>
      <c r="V44" s="585"/>
      <c r="W44" s="585"/>
      <c r="X44" s="585"/>
      <c r="Y44" s="585">
        <v>55</v>
      </c>
      <c r="Z44" s="585"/>
      <c r="AA44" s="585"/>
      <c r="AB44" s="585"/>
      <c r="AC44" s="586"/>
      <c r="AD44" s="586"/>
      <c r="AE44" s="586"/>
      <c r="AF44" s="586"/>
      <c r="AG44" s="586"/>
      <c r="AH44" s="586"/>
      <c r="AI44" s="586"/>
      <c r="AJ44" s="586"/>
      <c r="AK44" s="586"/>
      <c r="AL44" s="586"/>
      <c r="AM44" s="586"/>
      <c r="AN44" s="586"/>
      <c r="AO44" s="586"/>
      <c r="AP44" s="586">
        <f>IF(Table_NFI[[#This Row],[Winter Clothes Adult]]+Table_NFI[[#This Row],[Winter Clothes Children]]+Table_NFI[[#This Row],[Winter Items Other]]+Table_NFI[[#This Row],[Winter Blanket]]&gt;0,1,0)</f>
        <v>0</v>
      </c>
      <c r="AQ44" s="586"/>
      <c r="AR44" s="586"/>
      <c r="AS44" s="586"/>
      <c r="AT44" s="220" t="str">
        <f>IFERROR(VLOOKUP(Table_NFI[[#This Row],[Location]],CL,2,0),"")</f>
        <v>MMR001CMP248</v>
      </c>
      <c r="AU44" s="197" t="s">
        <v>1265</v>
      </c>
      <c r="AV44" s="587"/>
      <c r="AW44" s="587"/>
      <c r="AX44" s="587"/>
      <c r="AY44" s="587"/>
      <c r="AZ44" s="587"/>
      <c r="BA44" s="587"/>
      <c r="BB44" s="587"/>
      <c r="BC44" s="587"/>
      <c r="BD44" s="587"/>
      <c r="BE44" s="587"/>
      <c r="BF44" s="587"/>
      <c r="BG44" s="587"/>
      <c r="BH44" s="587"/>
      <c r="BI44" s="587"/>
      <c r="BJ44" s="587"/>
      <c r="BK44" s="587"/>
      <c r="BL44" s="587"/>
      <c r="BM44" s="587"/>
      <c r="BN44" s="587"/>
      <c r="BO44" s="587"/>
      <c r="BP44" s="587"/>
      <c r="BQ44" s="587"/>
      <c r="BR44" s="587"/>
      <c r="BS44" s="587"/>
      <c r="BT44" s="587"/>
      <c r="BU44" s="587"/>
      <c r="BV44" s="587"/>
      <c r="BW44" s="587"/>
      <c r="BX44" s="587"/>
      <c r="BY44" s="587"/>
      <c r="BZ44" s="587"/>
      <c r="CA44" s="587"/>
      <c r="CB44" s="587"/>
      <c r="CC44" s="587"/>
      <c r="CD44" s="587"/>
      <c r="CE44" s="587"/>
      <c r="CF44" s="587"/>
      <c r="CG44" s="587"/>
      <c r="CH44" s="587"/>
      <c r="CI44" s="587"/>
      <c r="CJ44" s="587"/>
      <c r="CK44" s="587"/>
      <c r="CL44" s="587"/>
      <c r="CM44" s="587"/>
      <c r="CN44" s="587"/>
      <c r="CO44" s="587"/>
      <c r="CP44" s="587"/>
      <c r="CQ44" s="587"/>
      <c r="CR44" s="587"/>
      <c r="CS44" s="587"/>
      <c r="CT44" s="587"/>
      <c r="CU44" s="587"/>
      <c r="CV44" s="587"/>
      <c r="CW44" s="587"/>
      <c r="CX44" s="587"/>
      <c r="CY44" s="587"/>
      <c r="CZ44" s="587"/>
      <c r="DA44" s="587"/>
      <c r="DB44" s="587"/>
      <c r="DC44" s="587"/>
      <c r="DD44" s="587"/>
      <c r="DE44" s="587"/>
      <c r="DF44" s="587"/>
      <c r="DG44" s="587"/>
      <c r="DH44" s="587"/>
      <c r="DI44" s="587"/>
      <c r="DJ44" s="587"/>
      <c r="DK44" s="587"/>
      <c r="DL44" s="587"/>
      <c r="DM44" s="587"/>
      <c r="DN44" s="587"/>
      <c r="DO44" s="587"/>
    </row>
    <row r="45" spans="2:119" s="583" customFormat="1" ht="18.75" hidden="1" customHeight="1" x14ac:dyDescent="0.25">
      <c r="B45" s="584">
        <v>42795</v>
      </c>
      <c r="C45" s="584" t="str">
        <f>MONTH(Table_NFI[[#This Row],[Distribution Date]]) &amp; "/" &amp; YEAR(Table_NFI[[#This Row],[Distribution Date]])</f>
        <v>3/2017</v>
      </c>
      <c r="D45" s="212" t="s">
        <v>1398</v>
      </c>
      <c r="E45" s="212" t="s">
        <v>1398</v>
      </c>
      <c r="F45" s="213" t="s">
        <v>378</v>
      </c>
      <c r="G45" s="213" t="s">
        <v>309</v>
      </c>
      <c r="H45" s="213" t="s">
        <v>1267</v>
      </c>
      <c r="I45" s="197"/>
      <c r="J45" s="585">
        <v>91</v>
      </c>
      <c r="K45" s="585"/>
      <c r="L45" s="585">
        <v>92</v>
      </c>
      <c r="M45" s="585">
        <v>546</v>
      </c>
      <c r="N45" s="585">
        <v>184</v>
      </c>
      <c r="O45" s="585">
        <v>170</v>
      </c>
      <c r="P45" s="585">
        <v>184</v>
      </c>
      <c r="Q45" s="585"/>
      <c r="R45" s="585"/>
      <c r="S45" s="585">
        <v>91</v>
      </c>
      <c r="T45" s="585">
        <v>184</v>
      </c>
      <c r="U45" s="585"/>
      <c r="V45" s="585"/>
      <c r="W45" s="585"/>
      <c r="X45" s="585"/>
      <c r="Y45" s="585">
        <v>91</v>
      </c>
      <c r="Z45" s="585"/>
      <c r="AA45" s="585">
        <v>85</v>
      </c>
      <c r="AB45" s="585"/>
      <c r="AC45" s="586"/>
      <c r="AD45" s="586"/>
      <c r="AE45" s="586"/>
      <c r="AF45" s="586"/>
      <c r="AG45" s="586"/>
      <c r="AH45" s="586"/>
      <c r="AI45" s="586"/>
      <c r="AJ45" s="586"/>
      <c r="AK45" s="586"/>
      <c r="AL45" s="586"/>
      <c r="AM45" s="586"/>
      <c r="AN45" s="586"/>
      <c r="AO45" s="586"/>
      <c r="AP45" s="586">
        <f>IF(Table_NFI[[#This Row],[Winter Clothes Adult]]+Table_NFI[[#This Row],[Winter Clothes Children]]+Table_NFI[[#This Row],[Winter Items Other]]+Table_NFI[[#This Row],[Winter Blanket]]&gt;0,1,0)</f>
        <v>0</v>
      </c>
      <c r="AQ45" s="586"/>
      <c r="AR45" s="586"/>
      <c r="AS45" s="586"/>
      <c r="AT45" s="220" t="str">
        <f>IFERROR(VLOOKUP(Table_NFI[[#This Row],[Location]],CL,2,0),"")</f>
        <v>MMR001CMP258</v>
      </c>
      <c r="AU45" s="197" t="s">
        <v>1270</v>
      </c>
      <c r="AV45" s="587"/>
      <c r="AW45" s="587"/>
      <c r="AX45" s="587"/>
      <c r="AY45" s="587"/>
      <c r="AZ45" s="587"/>
      <c r="BA45" s="587"/>
      <c r="BB45" s="587"/>
      <c r="BC45" s="587"/>
      <c r="BD45" s="587"/>
      <c r="BE45" s="587"/>
      <c r="BF45" s="587"/>
      <c r="BG45" s="587"/>
      <c r="BH45" s="587"/>
      <c r="BI45" s="587"/>
      <c r="BJ45" s="587"/>
      <c r="BK45" s="587"/>
      <c r="BL45" s="587"/>
      <c r="BM45" s="587"/>
      <c r="BN45" s="587"/>
      <c r="BO45" s="587"/>
      <c r="BP45" s="587"/>
      <c r="BQ45" s="587"/>
      <c r="BR45" s="587"/>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row>
    <row r="46" spans="2:119" s="583" customFormat="1" ht="18.75" hidden="1" customHeight="1" x14ac:dyDescent="0.25">
      <c r="B46" s="584">
        <v>42808</v>
      </c>
      <c r="C46" s="584" t="str">
        <f>MONTH(Table_NFI[[#This Row],[Distribution Date]]) &amp; "/" &amp; YEAR(Table_NFI[[#This Row],[Distribution Date]])</f>
        <v>3/2017</v>
      </c>
      <c r="D46" s="212" t="s">
        <v>1398</v>
      </c>
      <c r="E46" s="212" t="s">
        <v>1398</v>
      </c>
      <c r="F46" s="588" t="s">
        <v>378</v>
      </c>
      <c r="G46" s="212" t="s">
        <v>185</v>
      </c>
      <c r="H46" s="213" t="s">
        <v>194</v>
      </c>
      <c r="I46" s="197"/>
      <c r="J46" s="585"/>
      <c r="K46" s="585"/>
      <c r="L46" s="585">
        <v>8</v>
      </c>
      <c r="M46" s="585"/>
      <c r="N46" s="585">
        <v>16</v>
      </c>
      <c r="O46" s="585"/>
      <c r="P46" s="585">
        <v>16</v>
      </c>
      <c r="Q46" s="585"/>
      <c r="R46" s="585"/>
      <c r="S46" s="585"/>
      <c r="T46" s="585">
        <v>16</v>
      </c>
      <c r="U46" s="585"/>
      <c r="V46" s="585"/>
      <c r="W46" s="585"/>
      <c r="X46" s="585"/>
      <c r="Y46" s="585"/>
      <c r="Z46" s="585"/>
      <c r="AA46" s="585"/>
      <c r="AB46" s="585"/>
      <c r="AC46" s="586"/>
      <c r="AD46" s="586"/>
      <c r="AE46" s="586"/>
      <c r="AF46" s="586"/>
      <c r="AG46" s="586"/>
      <c r="AH46" s="586"/>
      <c r="AI46" s="586"/>
      <c r="AJ46" s="586"/>
      <c r="AK46" s="586"/>
      <c r="AL46" s="586"/>
      <c r="AM46" s="586"/>
      <c r="AN46" s="586"/>
      <c r="AO46" s="586"/>
      <c r="AP46" s="586">
        <f>IF(Table_NFI[[#This Row],[Winter Clothes Adult]]+Table_NFI[[#This Row],[Winter Clothes Children]]+Table_NFI[[#This Row],[Winter Items Other]]+Table_NFI[[#This Row],[Winter Blanket]]&gt;0,1,0)</f>
        <v>0</v>
      </c>
      <c r="AQ46" s="586"/>
      <c r="AR46" s="586"/>
      <c r="AS46" s="586"/>
      <c r="AT46" s="220" t="str">
        <f>IFERROR(VLOOKUP(Table_NFI[[#This Row],[Location]],CL,2,0),"")</f>
        <v>MMR001CMP122</v>
      </c>
      <c r="AU46" s="197" t="s">
        <v>1265</v>
      </c>
      <c r="AV46" s="587"/>
      <c r="AW46" s="587"/>
      <c r="AX46" s="587"/>
      <c r="AY46" s="587"/>
      <c r="AZ46" s="587"/>
      <c r="BA46" s="587"/>
      <c r="BB46" s="587"/>
      <c r="BC46" s="587"/>
      <c r="BD46" s="587"/>
      <c r="BE46" s="587"/>
      <c r="BF46" s="587"/>
      <c r="BG46" s="587"/>
      <c r="BH46" s="587"/>
      <c r="BI46" s="587"/>
      <c r="BJ46" s="587"/>
      <c r="BK46" s="587"/>
      <c r="BL46" s="587"/>
      <c r="BM46" s="587"/>
      <c r="BN46" s="587"/>
      <c r="BO46" s="587"/>
      <c r="BP46" s="587"/>
      <c r="BQ46" s="587"/>
      <c r="BR46" s="587"/>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row>
    <row r="47" spans="2:119" s="583" customFormat="1" ht="18.75" hidden="1" customHeight="1" x14ac:dyDescent="0.25">
      <c r="B47" s="584">
        <v>42808</v>
      </c>
      <c r="C47" s="584" t="str">
        <f>MONTH(Table_NFI[[#This Row],[Distribution Date]]) &amp; "/" &amp; YEAR(Table_NFI[[#This Row],[Distribution Date]])</f>
        <v>3/2017</v>
      </c>
      <c r="D47" s="212" t="s">
        <v>1398</v>
      </c>
      <c r="E47" s="212" t="s">
        <v>1398</v>
      </c>
      <c r="F47" s="213" t="s">
        <v>378</v>
      </c>
      <c r="G47" s="213" t="s">
        <v>309</v>
      </c>
      <c r="H47" s="213" t="s">
        <v>196</v>
      </c>
      <c r="I47" s="197"/>
      <c r="J47" s="585"/>
      <c r="K47" s="585"/>
      <c r="L47" s="585">
        <v>6</v>
      </c>
      <c r="M47" s="585"/>
      <c r="N47" s="585">
        <v>12</v>
      </c>
      <c r="O47" s="585"/>
      <c r="P47" s="585">
        <v>12</v>
      </c>
      <c r="Q47" s="585"/>
      <c r="R47" s="585"/>
      <c r="S47" s="585"/>
      <c r="T47" s="585">
        <v>12</v>
      </c>
      <c r="U47" s="585"/>
      <c r="V47" s="585"/>
      <c r="W47" s="585"/>
      <c r="X47" s="585"/>
      <c r="Y47" s="585"/>
      <c r="Z47" s="585"/>
      <c r="AA47" s="585"/>
      <c r="AB47" s="585"/>
      <c r="AC47" s="586"/>
      <c r="AD47" s="586"/>
      <c r="AE47" s="586"/>
      <c r="AF47" s="586"/>
      <c r="AG47" s="586"/>
      <c r="AH47" s="586"/>
      <c r="AI47" s="586"/>
      <c r="AJ47" s="586"/>
      <c r="AK47" s="586"/>
      <c r="AL47" s="586"/>
      <c r="AM47" s="586"/>
      <c r="AN47" s="586"/>
      <c r="AO47" s="586"/>
      <c r="AP47" s="586">
        <f>IF(Table_NFI[[#This Row],[Winter Clothes Adult]]+Table_NFI[[#This Row],[Winter Clothes Children]]+Table_NFI[[#This Row],[Winter Items Other]]+Table_NFI[[#This Row],[Winter Blanket]]&gt;0,1,0)</f>
        <v>0</v>
      </c>
      <c r="AQ47" s="586"/>
      <c r="AR47" s="586"/>
      <c r="AS47" s="586"/>
      <c r="AT47" s="220" t="str">
        <f>IFERROR(VLOOKUP(Table_NFI[[#This Row],[Location]],CL,2,0),"")</f>
        <v>MMR001CMP121</v>
      </c>
      <c r="AU47" s="197" t="s">
        <v>1265</v>
      </c>
      <c r="AV47" s="587"/>
      <c r="AW47" s="587"/>
      <c r="AX47" s="587"/>
      <c r="AY47" s="587"/>
      <c r="AZ47" s="587"/>
      <c r="BA47" s="587"/>
      <c r="BB47" s="587"/>
      <c r="BC47" s="587"/>
      <c r="BD47" s="587"/>
      <c r="BE47" s="587"/>
      <c r="BF47" s="587"/>
      <c r="BG47" s="587"/>
      <c r="BH47" s="587"/>
      <c r="BI47" s="587"/>
      <c r="BJ47" s="587"/>
      <c r="BK47" s="587"/>
      <c r="BL47" s="587"/>
      <c r="BM47" s="587"/>
      <c r="BN47" s="587"/>
      <c r="BO47" s="587"/>
      <c r="BP47" s="587"/>
      <c r="BQ47" s="587"/>
      <c r="BR47" s="587"/>
      <c r="BS47" s="587"/>
      <c r="BT47" s="587"/>
      <c r="BU47" s="587"/>
      <c r="BV47" s="587"/>
      <c r="BW47" s="587"/>
      <c r="BX47" s="587"/>
      <c r="BY47" s="587"/>
      <c r="BZ47" s="587"/>
      <c r="CA47" s="587"/>
      <c r="CB47" s="587"/>
      <c r="CC47" s="587"/>
      <c r="CD47" s="587"/>
      <c r="CE47" s="587"/>
      <c r="CF47" s="587"/>
      <c r="CG47" s="587"/>
      <c r="CH47" s="587"/>
      <c r="CI47" s="587"/>
      <c r="CJ47" s="587"/>
      <c r="CK47" s="587"/>
      <c r="CL47" s="587"/>
      <c r="CM47" s="587"/>
      <c r="CN47" s="587"/>
      <c r="CO47" s="587"/>
      <c r="CP47" s="587"/>
      <c r="CQ47" s="587"/>
      <c r="CR47" s="587"/>
      <c r="CS47" s="587"/>
      <c r="CT47" s="587"/>
      <c r="CU47" s="587"/>
      <c r="CV47" s="587"/>
      <c r="CW47" s="587"/>
      <c r="CX47" s="587"/>
      <c r="CY47" s="587"/>
      <c r="CZ47" s="587"/>
      <c r="DA47" s="587"/>
      <c r="DB47" s="587"/>
      <c r="DC47" s="587"/>
      <c r="DD47" s="587"/>
      <c r="DE47" s="587"/>
      <c r="DF47" s="587"/>
      <c r="DG47" s="587"/>
      <c r="DH47" s="587"/>
      <c r="DI47" s="587"/>
      <c r="DJ47" s="587"/>
      <c r="DK47" s="587"/>
      <c r="DL47" s="587"/>
      <c r="DM47" s="587"/>
      <c r="DN47" s="587"/>
      <c r="DO47" s="587"/>
    </row>
    <row r="48" spans="2:119" s="583" customFormat="1" ht="18.75" hidden="1" customHeight="1" x14ac:dyDescent="0.25">
      <c r="B48" s="584">
        <v>42809</v>
      </c>
      <c r="C48" s="584" t="str">
        <f>MONTH(Table_NFI[[#This Row],[Distribution Date]]) &amp; "/" &amp; YEAR(Table_NFI[[#This Row],[Distribution Date]])</f>
        <v>3/2017</v>
      </c>
      <c r="D48" s="212" t="s">
        <v>420</v>
      </c>
      <c r="E48" s="213" t="s">
        <v>462</v>
      </c>
      <c r="F48" s="213" t="s">
        <v>378</v>
      </c>
      <c r="G48" s="213" t="s">
        <v>27</v>
      </c>
      <c r="H48" s="213" t="s">
        <v>28</v>
      </c>
      <c r="I48" s="197"/>
      <c r="J48" s="585"/>
      <c r="K48" s="585"/>
      <c r="L48" s="585"/>
      <c r="M48" s="585"/>
      <c r="N48" s="585"/>
      <c r="O48" s="585"/>
      <c r="P48" s="585"/>
      <c r="Q48" s="585"/>
      <c r="R48" s="585"/>
      <c r="S48" s="585"/>
      <c r="T48" s="585"/>
      <c r="U48" s="585">
        <v>79</v>
      </c>
      <c r="V48" s="585">
        <v>152</v>
      </c>
      <c r="W48" s="585"/>
      <c r="X48" s="585"/>
      <c r="Y48" s="585"/>
      <c r="Z48" s="585"/>
      <c r="AA48" s="585"/>
      <c r="AB48" s="585"/>
      <c r="AC48" s="586"/>
      <c r="AD48" s="586"/>
      <c r="AE48" s="586"/>
      <c r="AF48" s="586"/>
      <c r="AG48" s="586"/>
      <c r="AH48" s="586"/>
      <c r="AI48" s="586"/>
      <c r="AJ48" s="586"/>
      <c r="AK48" s="586"/>
      <c r="AL48" s="586"/>
      <c r="AM48" s="586"/>
      <c r="AN48" s="586"/>
      <c r="AO48" s="586"/>
      <c r="AP48" s="586">
        <f>IF(Table_NFI[[#This Row],[Winter Clothes Adult]]+Table_NFI[[#This Row],[Winter Clothes Children]]+Table_NFI[[#This Row],[Winter Items Other]]+Table_NFI[[#This Row],[Winter Blanket]]&gt;0,1,0)</f>
        <v>1</v>
      </c>
      <c r="AQ48" s="586"/>
      <c r="AR48" s="586"/>
      <c r="AS48" s="586"/>
      <c r="AT48" s="220" t="str">
        <f>IFERROR(VLOOKUP(Table_NFI[[#This Row],[Location]],CL,2,0),"")</f>
        <v>MMR001CMP042</v>
      </c>
      <c r="AU48" s="214" t="s">
        <v>1244</v>
      </c>
      <c r="AV48" s="587"/>
      <c r="AW48" s="587"/>
      <c r="AX48" s="587"/>
      <c r="AY48" s="587"/>
      <c r="AZ48" s="587"/>
      <c r="BA48" s="587"/>
      <c r="BB48" s="587"/>
      <c r="BC48" s="587"/>
      <c r="BD48" s="587"/>
      <c r="BE48" s="587"/>
      <c r="BF48" s="587"/>
      <c r="BG48" s="587"/>
      <c r="BH48" s="587"/>
      <c r="BI48" s="587"/>
      <c r="BJ48" s="587"/>
      <c r="BK48" s="587"/>
      <c r="BL48" s="587"/>
      <c r="BM48" s="587"/>
      <c r="BN48" s="587"/>
      <c r="BO48" s="587"/>
      <c r="BP48" s="587"/>
      <c r="BQ48" s="587"/>
      <c r="BR48" s="587"/>
      <c r="BS48" s="587"/>
      <c r="BT48" s="587"/>
      <c r="BU48" s="587"/>
      <c r="BV48" s="587"/>
      <c r="BW48" s="587"/>
      <c r="BX48" s="587"/>
      <c r="BY48" s="587"/>
      <c r="BZ48" s="587"/>
      <c r="CA48" s="587"/>
      <c r="CB48" s="587"/>
      <c r="CC48" s="587"/>
      <c r="CD48" s="587"/>
      <c r="CE48" s="587"/>
      <c r="CF48" s="587"/>
      <c r="CG48" s="587"/>
      <c r="CH48" s="587"/>
      <c r="CI48" s="587"/>
      <c r="CJ48" s="587"/>
      <c r="CK48" s="587"/>
      <c r="CL48" s="587"/>
      <c r="CM48" s="587"/>
      <c r="CN48" s="587"/>
      <c r="CO48" s="587"/>
      <c r="CP48" s="587"/>
      <c r="CQ48" s="587"/>
      <c r="CR48" s="587"/>
      <c r="CS48" s="587"/>
      <c r="CT48" s="587"/>
      <c r="CU48" s="587"/>
      <c r="CV48" s="587"/>
      <c r="CW48" s="587"/>
      <c r="CX48" s="587"/>
      <c r="CY48" s="587"/>
      <c r="CZ48" s="587"/>
      <c r="DA48" s="587"/>
      <c r="DB48" s="587"/>
      <c r="DC48" s="587"/>
      <c r="DD48" s="587"/>
      <c r="DE48" s="587"/>
      <c r="DF48" s="587"/>
      <c r="DG48" s="587"/>
      <c r="DH48" s="587"/>
      <c r="DI48" s="587"/>
      <c r="DJ48" s="587"/>
      <c r="DK48" s="587"/>
      <c r="DL48" s="587"/>
      <c r="DM48" s="587"/>
      <c r="DN48" s="587"/>
      <c r="DO48" s="587"/>
    </row>
    <row r="49" spans="2:120" s="583" customFormat="1" ht="18.75" hidden="1" customHeight="1" x14ac:dyDescent="0.25">
      <c r="B49" s="584">
        <v>42809</v>
      </c>
      <c r="C49" s="584" t="str">
        <f>MONTH(Table_NFI[[#This Row],[Distribution Date]]) &amp; "/" &amp; YEAR(Table_NFI[[#This Row],[Distribution Date]])</f>
        <v>3/2017</v>
      </c>
      <c r="D49" s="212" t="s">
        <v>1398</v>
      </c>
      <c r="E49" s="212" t="s">
        <v>1398</v>
      </c>
      <c r="F49" s="213" t="s">
        <v>378</v>
      </c>
      <c r="G49" s="213" t="s">
        <v>309</v>
      </c>
      <c r="H49" s="213" t="s">
        <v>351</v>
      </c>
      <c r="I49" s="197"/>
      <c r="J49" s="585"/>
      <c r="K49" s="585"/>
      <c r="L49" s="585">
        <v>6</v>
      </c>
      <c r="M49" s="585"/>
      <c r="N49" s="585">
        <v>12</v>
      </c>
      <c r="O49" s="585"/>
      <c r="P49" s="585">
        <v>12</v>
      </c>
      <c r="Q49" s="585"/>
      <c r="R49" s="585"/>
      <c r="S49" s="585"/>
      <c r="T49" s="585">
        <v>12</v>
      </c>
      <c r="U49" s="585"/>
      <c r="V49" s="585"/>
      <c r="W49" s="585"/>
      <c r="X49" s="585"/>
      <c r="Y49" s="585"/>
      <c r="Z49" s="585"/>
      <c r="AA49" s="585"/>
      <c r="AB49" s="585"/>
      <c r="AC49" s="586"/>
      <c r="AD49" s="586"/>
      <c r="AE49" s="586"/>
      <c r="AF49" s="586"/>
      <c r="AG49" s="586"/>
      <c r="AH49" s="586"/>
      <c r="AI49" s="586"/>
      <c r="AJ49" s="586"/>
      <c r="AK49" s="586"/>
      <c r="AL49" s="586"/>
      <c r="AM49" s="586"/>
      <c r="AN49" s="586"/>
      <c r="AO49" s="586"/>
      <c r="AP49" s="586">
        <f>IF(Table_NFI[[#This Row],[Winter Clothes Adult]]+Table_NFI[[#This Row],[Winter Clothes Children]]+Table_NFI[[#This Row],[Winter Items Other]]+Table_NFI[[#This Row],[Winter Blanket]]&gt;0,1,0)</f>
        <v>0</v>
      </c>
      <c r="AQ49" s="586"/>
      <c r="AR49" s="586"/>
      <c r="AS49" s="586"/>
      <c r="AT49" s="220" t="str">
        <f>IFERROR(VLOOKUP(Table_NFI[[#This Row],[Location]],CL,2,0),"")</f>
        <v>MMR001CMP116</v>
      </c>
      <c r="AU49" s="197" t="s">
        <v>1265</v>
      </c>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587"/>
      <c r="CU49" s="587"/>
      <c r="CV49" s="587"/>
      <c r="CW49" s="587"/>
      <c r="CX49" s="587"/>
      <c r="CY49" s="587"/>
      <c r="CZ49" s="587"/>
      <c r="DA49" s="587"/>
      <c r="DB49" s="587"/>
      <c r="DC49" s="587"/>
      <c r="DD49" s="587"/>
      <c r="DE49" s="587"/>
      <c r="DF49" s="587"/>
      <c r="DG49" s="587"/>
      <c r="DH49" s="587"/>
      <c r="DI49" s="587"/>
      <c r="DJ49" s="587"/>
      <c r="DK49" s="587"/>
      <c r="DL49" s="587"/>
      <c r="DM49" s="587"/>
      <c r="DN49" s="587"/>
      <c r="DO49" s="587"/>
    </row>
    <row r="50" spans="2:120" s="583" customFormat="1" ht="18.75" hidden="1" customHeight="1" x14ac:dyDescent="0.25">
      <c r="B50" s="584">
        <v>42810</v>
      </c>
      <c r="C50" s="584" t="str">
        <f>MONTH(Table_NFI[[#This Row],[Distribution Date]]) &amp; "/" &amp; YEAR(Table_NFI[[#This Row],[Distribution Date]])</f>
        <v>3/2017</v>
      </c>
      <c r="D50" s="212" t="s">
        <v>420</v>
      </c>
      <c r="E50" s="213" t="s">
        <v>462</v>
      </c>
      <c r="F50" s="213" t="s">
        <v>378</v>
      </c>
      <c r="G50" s="213" t="s">
        <v>27</v>
      </c>
      <c r="H50" s="213" t="s">
        <v>363</v>
      </c>
      <c r="I50" s="197"/>
      <c r="J50" s="585"/>
      <c r="K50" s="585"/>
      <c r="L50" s="585"/>
      <c r="M50" s="585"/>
      <c r="N50" s="585"/>
      <c r="O50" s="585"/>
      <c r="P50" s="585"/>
      <c r="Q50" s="585"/>
      <c r="R50" s="585"/>
      <c r="S50" s="585"/>
      <c r="T50" s="585"/>
      <c r="U50" s="585">
        <v>97</v>
      </c>
      <c r="V50" s="585">
        <v>203</v>
      </c>
      <c r="W50" s="585"/>
      <c r="X50" s="585"/>
      <c r="Y50" s="585"/>
      <c r="Z50" s="585"/>
      <c r="AA50" s="585"/>
      <c r="AB50" s="585"/>
      <c r="AC50" s="586"/>
      <c r="AD50" s="586"/>
      <c r="AE50" s="586"/>
      <c r="AF50" s="586"/>
      <c r="AG50" s="586"/>
      <c r="AH50" s="586"/>
      <c r="AI50" s="586"/>
      <c r="AJ50" s="586"/>
      <c r="AK50" s="586"/>
      <c r="AL50" s="586"/>
      <c r="AM50" s="586"/>
      <c r="AN50" s="586"/>
      <c r="AO50" s="586"/>
      <c r="AP50" s="586">
        <f>IF(Table_NFI[[#This Row],[Winter Clothes Adult]]+Table_NFI[[#This Row],[Winter Clothes Children]]+Table_NFI[[#This Row],[Winter Items Other]]+Table_NFI[[#This Row],[Winter Blanket]]&gt;0,1,0)</f>
        <v>1</v>
      </c>
      <c r="AQ50" s="586"/>
      <c r="AR50" s="586"/>
      <c r="AS50" s="586"/>
      <c r="AT50" s="220" t="str">
        <f>IFERROR(VLOOKUP(Table_NFI[[#This Row],[Location]],CL,2,0),"")</f>
        <v>MMR001CMP195</v>
      </c>
      <c r="AU50" s="589" t="s">
        <v>1244</v>
      </c>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587"/>
      <c r="CU50" s="587"/>
      <c r="CV50" s="587"/>
      <c r="CW50" s="587"/>
      <c r="CX50" s="587"/>
      <c r="CY50" s="587"/>
      <c r="CZ50" s="587"/>
      <c r="DA50" s="587"/>
      <c r="DB50" s="587"/>
      <c r="DC50" s="587"/>
      <c r="DD50" s="587"/>
      <c r="DE50" s="587"/>
      <c r="DF50" s="587"/>
      <c r="DG50" s="587"/>
      <c r="DH50" s="587"/>
      <c r="DI50" s="587"/>
      <c r="DJ50" s="587"/>
      <c r="DK50" s="587"/>
      <c r="DL50" s="587"/>
      <c r="DM50" s="587"/>
      <c r="DN50" s="587"/>
      <c r="DO50" s="587"/>
    </row>
    <row r="51" spans="2:120" s="583" customFormat="1" ht="18.75" hidden="1" customHeight="1" x14ac:dyDescent="0.25">
      <c r="B51" s="584">
        <v>42813</v>
      </c>
      <c r="C51" s="584" t="str">
        <f>MONTH(Table_NFI[[#This Row],[Distribution Date]]) &amp; "/" &amp; YEAR(Table_NFI[[#This Row],[Distribution Date]])</f>
        <v>3/2017</v>
      </c>
      <c r="D51" s="213" t="s">
        <v>420</v>
      </c>
      <c r="E51" s="213" t="s">
        <v>424</v>
      </c>
      <c r="F51" s="213" t="s">
        <v>378</v>
      </c>
      <c r="G51" s="213" t="s">
        <v>747</v>
      </c>
      <c r="H51" s="213" t="s">
        <v>1068</v>
      </c>
      <c r="I51" s="197"/>
      <c r="J51" s="585"/>
      <c r="K51" s="585"/>
      <c r="L51" s="585"/>
      <c r="M51" s="585"/>
      <c r="N51" s="585"/>
      <c r="O51" s="585"/>
      <c r="P51" s="585">
        <v>292</v>
      </c>
      <c r="Q51" s="585"/>
      <c r="R51" s="585"/>
      <c r="S51" s="585"/>
      <c r="T51" s="585"/>
      <c r="U51" s="585"/>
      <c r="V51" s="585"/>
      <c r="W51" s="585"/>
      <c r="X51" s="585"/>
      <c r="Y51" s="585"/>
      <c r="Z51" s="585"/>
      <c r="AA51" s="585"/>
      <c r="AB51" s="585"/>
      <c r="AC51" s="586"/>
      <c r="AD51" s="586"/>
      <c r="AE51" s="586"/>
      <c r="AF51" s="586"/>
      <c r="AG51" s="586"/>
      <c r="AH51" s="586"/>
      <c r="AI51" s="586"/>
      <c r="AJ51" s="586"/>
      <c r="AK51" s="586"/>
      <c r="AL51" s="586"/>
      <c r="AM51" s="586"/>
      <c r="AN51" s="586"/>
      <c r="AO51" s="586"/>
      <c r="AP51" s="586">
        <f>IF(Table_NFI[[#This Row],[Winter Clothes Adult]]+Table_NFI[[#This Row],[Winter Clothes Children]]+Table_NFI[[#This Row],[Winter Items Other]]+Table_NFI[[#This Row],[Winter Blanket]]&gt;0,1,0)</f>
        <v>0</v>
      </c>
      <c r="AQ51" s="586"/>
      <c r="AR51" s="586"/>
      <c r="AS51" s="586"/>
      <c r="AT51" s="220" t="str">
        <f>IFERROR(VLOOKUP(Table_NFI[[#This Row],[Location]],CL,2,0),"")</f>
        <v>MMR001CMP238</v>
      </c>
      <c r="AU51" s="197" t="s">
        <v>1260</v>
      </c>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587"/>
      <c r="CA51" s="587"/>
      <c r="CB51" s="587"/>
      <c r="CC51" s="587"/>
      <c r="CD51" s="587"/>
      <c r="CE51" s="587"/>
      <c r="CF51" s="587"/>
      <c r="CG51" s="587"/>
      <c r="CH51" s="587"/>
      <c r="CI51" s="587"/>
      <c r="CJ51" s="587"/>
      <c r="CK51" s="587"/>
      <c r="CL51" s="587"/>
      <c r="CM51" s="587"/>
      <c r="CN51" s="587"/>
      <c r="CO51" s="587"/>
      <c r="CP51" s="587"/>
      <c r="CQ51" s="587"/>
      <c r="CR51" s="587"/>
      <c r="CS51" s="587"/>
      <c r="CT51" s="587"/>
      <c r="CU51" s="587"/>
      <c r="CV51" s="587"/>
      <c r="CW51" s="587"/>
      <c r="CX51" s="587"/>
      <c r="CY51" s="587"/>
      <c r="CZ51" s="587"/>
      <c r="DA51" s="587"/>
      <c r="DB51" s="587"/>
      <c r="DC51" s="587"/>
      <c r="DD51" s="587"/>
      <c r="DE51" s="587"/>
      <c r="DF51" s="587"/>
      <c r="DG51" s="587"/>
      <c r="DH51" s="587"/>
      <c r="DI51" s="587"/>
      <c r="DJ51" s="587"/>
      <c r="DK51" s="587"/>
      <c r="DL51" s="587"/>
      <c r="DM51" s="587"/>
      <c r="DN51" s="587"/>
      <c r="DO51" s="587"/>
    </row>
    <row r="52" spans="2:120" s="583" customFormat="1" ht="18.75" hidden="1" customHeight="1" x14ac:dyDescent="0.25">
      <c r="B52" s="584">
        <v>42814</v>
      </c>
      <c r="C52" s="584" t="str">
        <f>MONTH(Table_NFI[[#This Row],[Distribution Date]]) &amp; "/" &amp; YEAR(Table_NFI[[#This Row],[Distribution Date]])</f>
        <v>3/2017</v>
      </c>
      <c r="D52" s="213" t="s">
        <v>420</v>
      </c>
      <c r="E52" s="213" t="s">
        <v>424</v>
      </c>
      <c r="F52" s="213" t="s">
        <v>378</v>
      </c>
      <c r="G52" s="213" t="s">
        <v>747</v>
      </c>
      <c r="H52" s="213" t="s">
        <v>1070</v>
      </c>
      <c r="I52" s="197"/>
      <c r="J52" s="585"/>
      <c r="K52" s="585"/>
      <c r="L52" s="585"/>
      <c r="M52" s="585"/>
      <c r="N52" s="585"/>
      <c r="O52" s="585"/>
      <c r="P52" s="585">
        <v>134</v>
      </c>
      <c r="Q52" s="585"/>
      <c r="R52" s="585"/>
      <c r="S52" s="585"/>
      <c r="T52" s="585"/>
      <c r="U52" s="585"/>
      <c r="V52" s="585"/>
      <c r="W52" s="585"/>
      <c r="X52" s="585"/>
      <c r="Y52" s="585"/>
      <c r="Z52" s="585"/>
      <c r="AA52" s="585"/>
      <c r="AB52" s="585"/>
      <c r="AC52" s="586"/>
      <c r="AD52" s="586"/>
      <c r="AE52" s="586"/>
      <c r="AF52" s="586"/>
      <c r="AG52" s="586"/>
      <c r="AH52" s="586"/>
      <c r="AI52" s="586"/>
      <c r="AJ52" s="586"/>
      <c r="AK52" s="586"/>
      <c r="AL52" s="586"/>
      <c r="AM52" s="586"/>
      <c r="AN52" s="586"/>
      <c r="AO52" s="586"/>
      <c r="AP52" s="586">
        <f>IF(Table_NFI[[#This Row],[Winter Clothes Adult]]+Table_NFI[[#This Row],[Winter Clothes Children]]+Table_NFI[[#This Row],[Winter Items Other]]+Table_NFI[[#This Row],[Winter Blanket]]&gt;0,1,0)</f>
        <v>0</v>
      </c>
      <c r="AQ52" s="586"/>
      <c r="AR52" s="586"/>
      <c r="AS52" s="586"/>
      <c r="AT52" s="220" t="str">
        <f>IFERROR(VLOOKUP(Table_NFI[[#This Row],[Location]],CL,2,0),"")</f>
        <v>MMR001CMP239</v>
      </c>
      <c r="AU52" s="197" t="s">
        <v>1260</v>
      </c>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87"/>
      <c r="DC52" s="587"/>
      <c r="DD52" s="587"/>
      <c r="DE52" s="587"/>
      <c r="DF52" s="587"/>
      <c r="DG52" s="587"/>
      <c r="DH52" s="587"/>
      <c r="DI52" s="587"/>
      <c r="DJ52" s="587"/>
      <c r="DK52" s="587"/>
      <c r="DL52" s="587"/>
      <c r="DM52" s="587"/>
      <c r="DN52" s="587"/>
      <c r="DO52" s="587"/>
    </row>
    <row r="53" spans="2:120" s="197" customFormat="1" ht="18.75" hidden="1" customHeight="1" x14ac:dyDescent="0.25">
      <c r="B53" s="584">
        <v>42823</v>
      </c>
      <c r="C53" s="584" t="str">
        <f>MONTH(Table_NFI[[#This Row],[Distribution Date]]) &amp; "/" &amp; YEAR(Table_NFI[[#This Row],[Distribution Date]])</f>
        <v>3/2017</v>
      </c>
      <c r="D53" s="212" t="s">
        <v>420</v>
      </c>
      <c r="E53" s="213" t="s">
        <v>462</v>
      </c>
      <c r="F53" s="213" t="s">
        <v>378</v>
      </c>
      <c r="G53" s="213" t="s">
        <v>309</v>
      </c>
      <c r="H53" s="213" t="s">
        <v>342</v>
      </c>
      <c r="J53" s="585"/>
      <c r="K53" s="585"/>
      <c r="L53" s="585">
        <v>5</v>
      </c>
      <c r="M53" s="585">
        <v>5</v>
      </c>
      <c r="N53" s="585">
        <v>10</v>
      </c>
      <c r="O53" s="585">
        <v>5</v>
      </c>
      <c r="P53" s="585">
        <v>10</v>
      </c>
      <c r="Q53" s="585">
        <v>5</v>
      </c>
      <c r="R53" s="585"/>
      <c r="S53" s="585">
        <v>5</v>
      </c>
      <c r="T53" s="585">
        <v>28</v>
      </c>
      <c r="U53" s="585"/>
      <c r="V53" s="585"/>
      <c r="W53" s="585"/>
      <c r="X53" s="585"/>
      <c r="Y53" s="585">
        <v>5</v>
      </c>
      <c r="Z53" s="585"/>
      <c r="AA53" s="585"/>
      <c r="AB53" s="585"/>
      <c r="AC53" s="586"/>
      <c r="AD53" s="586"/>
      <c r="AE53" s="586"/>
      <c r="AF53" s="586"/>
      <c r="AG53" s="586"/>
      <c r="AH53" s="586"/>
      <c r="AI53" s="586"/>
      <c r="AJ53" s="586"/>
      <c r="AK53" s="586"/>
      <c r="AL53" s="586"/>
      <c r="AM53" s="586"/>
      <c r="AN53" s="586"/>
      <c r="AO53" s="586"/>
      <c r="AP53" s="586">
        <f>IF(Table_NFI[[#This Row],[Winter Clothes Adult]]+Table_NFI[[#This Row],[Winter Clothes Children]]+Table_NFI[[#This Row],[Winter Items Other]]+Table_NFI[[#This Row],[Winter Blanket]]&gt;0,1,0)</f>
        <v>0</v>
      </c>
      <c r="AQ53" s="586"/>
      <c r="AR53" s="586"/>
      <c r="AS53" s="586"/>
      <c r="AT53" s="220" t="str">
        <f>IFERROR(VLOOKUP(Table_NFI[[#This Row],[Location]],CL,2,0),"")</f>
        <v>MMR001CMP033</v>
      </c>
      <c r="AU53" s="197" t="s">
        <v>1244</v>
      </c>
    </row>
    <row r="54" spans="2:120" s="197" customFormat="1" ht="18.75" hidden="1" customHeight="1" x14ac:dyDescent="0.25">
      <c r="B54" s="584">
        <v>42825</v>
      </c>
      <c r="C54" s="584" t="str">
        <f>MONTH(Table_NFI[[#This Row],[Distribution Date]]) &amp; "/" &amp; YEAR(Table_NFI[[#This Row],[Distribution Date]])</f>
        <v>3/2017</v>
      </c>
      <c r="D54" s="213" t="s">
        <v>1268</v>
      </c>
      <c r="E54" s="213" t="s">
        <v>1268</v>
      </c>
      <c r="F54" s="213" t="s">
        <v>506</v>
      </c>
      <c r="G54" s="213" t="s">
        <v>146</v>
      </c>
      <c r="H54" s="213" t="s">
        <v>368</v>
      </c>
      <c r="J54" s="585"/>
      <c r="K54" s="585"/>
      <c r="L54" s="585"/>
      <c r="M54" s="585"/>
      <c r="N54" s="585"/>
      <c r="O54" s="585"/>
      <c r="P54" s="585"/>
      <c r="Q54" s="585"/>
      <c r="R54" s="585"/>
      <c r="S54" s="585"/>
      <c r="T54" s="585"/>
      <c r="U54" s="585">
        <v>540</v>
      </c>
      <c r="V54" s="585"/>
      <c r="W54" s="585"/>
      <c r="X54" s="585">
        <v>135</v>
      </c>
      <c r="Y54" s="585"/>
      <c r="Z54" s="585"/>
      <c r="AA54" s="585"/>
      <c r="AB54" s="585"/>
      <c r="AC54" s="586"/>
      <c r="AD54" s="586"/>
      <c r="AE54" s="586"/>
      <c r="AF54" s="586"/>
      <c r="AG54" s="586"/>
      <c r="AH54" s="586"/>
      <c r="AI54" s="586"/>
      <c r="AJ54" s="586"/>
      <c r="AK54" s="586"/>
      <c r="AL54" s="586"/>
      <c r="AM54" s="586"/>
      <c r="AN54" s="586"/>
      <c r="AO54" s="586"/>
      <c r="AP54" s="586">
        <f>IF(Table_NFI[[#This Row],[Winter Clothes Adult]]+Table_NFI[[#This Row],[Winter Clothes Children]]+Table_NFI[[#This Row],[Winter Items Other]]+Table_NFI[[#This Row],[Winter Blanket]]&gt;0,1,0)</f>
        <v>1</v>
      </c>
      <c r="AQ54" s="586"/>
      <c r="AR54" s="586"/>
      <c r="AS54" s="586"/>
      <c r="AT54" s="220" t="str">
        <f>IFERROR(VLOOKUP(Table_NFI[[#This Row],[Location]],CL,2,0),"")</f>
        <v>MMR015CMP017</v>
      </c>
      <c r="AU54" s="197" t="s">
        <v>1269</v>
      </c>
    </row>
    <row r="55" spans="2:120" s="197" customFormat="1" ht="18.75" hidden="1" customHeight="1" x14ac:dyDescent="0.25">
      <c r="B55" s="584">
        <v>42829</v>
      </c>
      <c r="C55" s="584" t="str">
        <f>MONTH(Table_NFI[[#This Row],[Distribution Date]]) &amp; "/" &amp; YEAR(Table_NFI[[#This Row],[Distribution Date]])</f>
        <v>4/2017</v>
      </c>
      <c r="D55" s="212" t="s">
        <v>1268</v>
      </c>
      <c r="E55" s="213" t="s">
        <v>1268</v>
      </c>
      <c r="F55" s="213" t="s">
        <v>378</v>
      </c>
      <c r="G55" s="213" t="s">
        <v>151</v>
      </c>
      <c r="H55" s="213" t="s">
        <v>849</v>
      </c>
      <c r="J55" s="585"/>
      <c r="K55" s="585"/>
      <c r="L55" s="585"/>
      <c r="M55" s="585"/>
      <c r="N55" s="585"/>
      <c r="O55" s="585"/>
      <c r="P55" s="585"/>
      <c r="Q55" s="585"/>
      <c r="R55" s="585"/>
      <c r="S55" s="585"/>
      <c r="T55" s="585"/>
      <c r="U55" s="585">
        <v>144</v>
      </c>
      <c r="V55" s="585"/>
      <c r="W55" s="585"/>
      <c r="X55" s="585">
        <v>36</v>
      </c>
      <c r="Y55" s="585"/>
      <c r="Z55" s="585"/>
      <c r="AA55" s="585"/>
      <c r="AB55" s="585"/>
      <c r="AC55" s="586"/>
      <c r="AD55" s="586"/>
      <c r="AE55" s="586"/>
      <c r="AF55" s="586"/>
      <c r="AG55" s="586"/>
      <c r="AH55" s="586"/>
      <c r="AI55" s="586"/>
      <c r="AJ55" s="586"/>
      <c r="AK55" s="586"/>
      <c r="AL55" s="586"/>
      <c r="AM55" s="586"/>
      <c r="AN55" s="586"/>
      <c r="AO55" s="586"/>
      <c r="AP55" s="586">
        <f>IF(Table_NFI[[#This Row],[Winter Clothes Adult]]+Table_NFI[[#This Row],[Winter Clothes Children]]+Table_NFI[[#This Row],[Winter Items Other]]+Table_NFI[[#This Row],[Winter Blanket]]&gt;0,1,0)</f>
        <v>1</v>
      </c>
      <c r="AQ55" s="586"/>
      <c r="AR55" s="586"/>
      <c r="AS55" s="586"/>
      <c r="AT55" s="220" t="str">
        <f>IFERROR(VLOOKUP(Table_NFI[[#This Row],[Location]],CL,2,0),"")</f>
        <v>MMR001CMP223</v>
      </c>
      <c r="AU55" s="197" t="s">
        <v>1269</v>
      </c>
    </row>
    <row r="56" spans="2:120" s="197" customFormat="1" ht="18.75" hidden="1" customHeight="1" x14ac:dyDescent="0.25">
      <c r="B56" s="584">
        <v>42838</v>
      </c>
      <c r="C56" s="584" t="str">
        <f>MONTH(Table_NFI[[#This Row],[Distribution Date]]) &amp; "/" &amp; YEAR(Table_NFI[[#This Row],[Distribution Date]])</f>
        <v>4/2017</v>
      </c>
      <c r="D56" s="213" t="s">
        <v>420</v>
      </c>
      <c r="E56" s="213" t="s">
        <v>462</v>
      </c>
      <c r="F56" s="213" t="s">
        <v>378</v>
      </c>
      <c r="G56" s="213" t="s">
        <v>309</v>
      </c>
      <c r="H56" s="213" t="s">
        <v>317</v>
      </c>
      <c r="J56" s="585"/>
      <c r="K56" s="585"/>
      <c r="L56" s="585">
        <v>17</v>
      </c>
      <c r="M56" s="585">
        <v>17</v>
      </c>
      <c r="N56" s="585">
        <v>58</v>
      </c>
      <c r="O56" s="585">
        <v>17</v>
      </c>
      <c r="P56" s="585">
        <v>58</v>
      </c>
      <c r="Q56" s="585">
        <v>17</v>
      </c>
      <c r="R56" s="585"/>
      <c r="S56" s="585">
        <v>17</v>
      </c>
      <c r="T56" s="585">
        <v>76</v>
      </c>
      <c r="U56" s="585"/>
      <c r="V56" s="585"/>
      <c r="W56" s="585"/>
      <c r="X56" s="585"/>
      <c r="Y56" s="585">
        <v>17</v>
      </c>
      <c r="Z56" s="585"/>
      <c r="AA56" s="585"/>
      <c r="AB56" s="585">
        <v>15</v>
      </c>
      <c r="AC56" s="586"/>
      <c r="AD56" s="586"/>
      <c r="AE56" s="586"/>
      <c r="AF56" s="586"/>
      <c r="AG56" s="586"/>
      <c r="AH56" s="586"/>
      <c r="AI56" s="586"/>
      <c r="AJ56" s="586"/>
      <c r="AK56" s="586"/>
      <c r="AL56" s="586"/>
      <c r="AM56" s="586"/>
      <c r="AN56" s="586"/>
      <c r="AO56" s="586"/>
      <c r="AP56" s="586">
        <f>IF(Table_NFI[[#This Row],[Winter Clothes Adult]]+Table_NFI[[#This Row],[Winter Clothes Children]]+Table_NFI[[#This Row],[Winter Items Other]]+Table_NFI[[#This Row],[Winter Blanket]]&gt;0,1,0)</f>
        <v>0</v>
      </c>
      <c r="AQ56" s="586"/>
      <c r="AR56" s="586"/>
      <c r="AS56" s="586"/>
      <c r="AT56" s="220" t="str">
        <f>IFERROR(VLOOKUP(Table_NFI[[#This Row],[Location]],CL,2,0),"")</f>
        <v>MMR001CMP032</v>
      </c>
      <c r="AU56" s="197" t="s">
        <v>1261</v>
      </c>
    </row>
    <row r="57" spans="2:120" s="197" customFormat="1" ht="18.75" hidden="1" customHeight="1" x14ac:dyDescent="0.25">
      <c r="B57" s="584">
        <v>42852</v>
      </c>
      <c r="C57" s="584" t="str">
        <f>MONTH(Table_NFI[[#This Row],[Distribution Date]]) &amp; "/" &amp; YEAR(Table_NFI[[#This Row],[Distribution Date]])</f>
        <v>4/2017</v>
      </c>
      <c r="D57" s="212" t="s">
        <v>1398</v>
      </c>
      <c r="E57" s="212" t="s">
        <v>1398</v>
      </c>
      <c r="F57" s="213" t="s">
        <v>378</v>
      </c>
      <c r="G57" s="213" t="s">
        <v>309</v>
      </c>
      <c r="H57" s="213" t="s">
        <v>317</v>
      </c>
      <c r="J57" s="585">
        <v>10</v>
      </c>
      <c r="K57" s="585"/>
      <c r="L57" s="585"/>
      <c r="M57" s="585">
        <v>90</v>
      </c>
      <c r="N57" s="585"/>
      <c r="O57" s="585"/>
      <c r="P57" s="585"/>
      <c r="Q57" s="585"/>
      <c r="R57" s="585"/>
      <c r="S57" s="585">
        <v>10</v>
      </c>
      <c r="T57" s="585"/>
      <c r="U57" s="585"/>
      <c r="V57" s="585"/>
      <c r="W57" s="585"/>
      <c r="X57" s="585"/>
      <c r="Y57" s="585">
        <v>10</v>
      </c>
      <c r="Z57" s="585"/>
      <c r="AA57" s="585"/>
      <c r="AB57" s="585"/>
      <c r="AC57" s="586"/>
      <c r="AD57" s="586"/>
      <c r="AE57" s="586"/>
      <c r="AF57" s="586"/>
      <c r="AG57" s="586"/>
      <c r="AH57" s="586"/>
      <c r="AI57" s="586"/>
      <c r="AJ57" s="586"/>
      <c r="AK57" s="586"/>
      <c r="AL57" s="586"/>
      <c r="AM57" s="586"/>
      <c r="AN57" s="586"/>
      <c r="AO57" s="586"/>
      <c r="AP57" s="586">
        <f>IF(Table_NFI[[#This Row],[Winter Clothes Adult]]+Table_NFI[[#This Row],[Winter Clothes Children]]+Table_NFI[[#This Row],[Winter Items Other]]+Table_NFI[[#This Row],[Winter Blanket]]&gt;0,1,0)</f>
        <v>0</v>
      </c>
      <c r="AQ57" s="586"/>
      <c r="AR57" s="586"/>
      <c r="AS57" s="586"/>
      <c r="AT57" s="220" t="str">
        <f>IFERROR(VLOOKUP(Table_NFI[[#This Row],[Location]],CL,2,0),"")</f>
        <v>MMR001CMP032</v>
      </c>
      <c r="AU57" s="197" t="s">
        <v>1265</v>
      </c>
    </row>
    <row r="58" spans="2:120" ht="18.75" hidden="1" customHeight="1" x14ac:dyDescent="0.25">
      <c r="B58" s="584">
        <v>42860</v>
      </c>
      <c r="C58" s="584" t="str">
        <f>MONTH(Table_NFI[[#This Row],[Distribution Date]]) &amp; "/" &amp; YEAR(Table_NFI[[#This Row],[Distribution Date]])</f>
        <v>5/2017</v>
      </c>
      <c r="D58" s="213" t="s">
        <v>420</v>
      </c>
      <c r="E58" s="213" t="s">
        <v>462</v>
      </c>
      <c r="F58" s="213" t="s">
        <v>378</v>
      </c>
      <c r="G58" s="213" t="s">
        <v>309</v>
      </c>
      <c r="H58" s="213" t="s">
        <v>312</v>
      </c>
      <c r="I58" s="197"/>
      <c r="J58" s="585"/>
      <c r="K58" s="585"/>
      <c r="L58" s="585">
        <v>3</v>
      </c>
      <c r="M58" s="585">
        <v>3</v>
      </c>
      <c r="N58" s="585">
        <v>9</v>
      </c>
      <c r="O58" s="585">
        <v>3</v>
      </c>
      <c r="P58" s="585">
        <v>10</v>
      </c>
      <c r="Q58" s="585">
        <v>5</v>
      </c>
      <c r="R58" s="585"/>
      <c r="S58" s="585">
        <v>5</v>
      </c>
      <c r="T58" s="585">
        <v>28</v>
      </c>
      <c r="U58" s="585"/>
      <c r="V58" s="585"/>
      <c r="W58" s="585"/>
      <c r="X58" s="585"/>
      <c r="Y58" s="585"/>
      <c r="Z58" s="585"/>
      <c r="AA58" s="585"/>
      <c r="AB58" s="585"/>
      <c r="AC58" s="586"/>
      <c r="AD58" s="586"/>
      <c r="AE58" s="586"/>
      <c r="AF58" s="586"/>
      <c r="AG58" s="586"/>
      <c r="AH58" s="586"/>
      <c r="AI58" s="586"/>
      <c r="AJ58" s="586"/>
      <c r="AK58" s="586"/>
      <c r="AL58" s="586"/>
      <c r="AM58" s="586"/>
      <c r="AN58" s="586"/>
      <c r="AO58" s="586"/>
      <c r="AP58" s="586">
        <f>IF(Table_NFI[[#This Row],[Winter Clothes Adult]]+Table_NFI[[#This Row],[Winter Clothes Children]]+Table_NFI[[#This Row],[Winter Items Other]]+Table_NFI[[#This Row],[Winter Blanket]]&gt;0,1,0)</f>
        <v>0</v>
      </c>
      <c r="AQ58" s="586"/>
      <c r="AR58" s="586"/>
      <c r="AS58" s="586"/>
      <c r="AT58" s="220" t="str">
        <f>IFERROR(VLOOKUP(Table_NFI[[#This Row],[Location]],CL,2,0),"")</f>
        <v>MMR001CMP028</v>
      </c>
      <c r="AU58" s="197"/>
      <c r="AV58" s="197"/>
      <c r="DP58" s="578"/>
    </row>
    <row r="59" spans="2:120" ht="18.75" hidden="1" customHeight="1" x14ac:dyDescent="0.25">
      <c r="B59" s="584">
        <v>42860</v>
      </c>
      <c r="C59" s="584" t="str">
        <f>MONTH(Table_NFI[[#This Row],[Distribution Date]]) &amp; "/" &amp; YEAR(Table_NFI[[#This Row],[Distribution Date]])</f>
        <v>5/2017</v>
      </c>
      <c r="D59" s="213" t="s">
        <v>420</v>
      </c>
      <c r="E59" s="213" t="s">
        <v>462</v>
      </c>
      <c r="F59" s="213" t="s">
        <v>378</v>
      </c>
      <c r="G59" s="213" t="s">
        <v>309</v>
      </c>
      <c r="H59" s="213" t="s">
        <v>347</v>
      </c>
      <c r="I59" s="197"/>
      <c r="J59" s="585"/>
      <c r="K59" s="585"/>
      <c r="L59" s="585">
        <v>1</v>
      </c>
      <c r="M59" s="585">
        <v>1</v>
      </c>
      <c r="N59" s="585">
        <v>3</v>
      </c>
      <c r="O59" s="585">
        <v>1</v>
      </c>
      <c r="P59" s="585">
        <v>3</v>
      </c>
      <c r="Q59" s="585">
        <v>1</v>
      </c>
      <c r="R59" s="585"/>
      <c r="S59" s="585">
        <v>1</v>
      </c>
      <c r="T59" s="585">
        <v>3</v>
      </c>
      <c r="U59" s="585"/>
      <c r="V59" s="585"/>
      <c r="W59" s="585"/>
      <c r="X59" s="585"/>
      <c r="Y59" s="585"/>
      <c r="Z59" s="585"/>
      <c r="AA59" s="585"/>
      <c r="AB59" s="585"/>
      <c r="AC59" s="586"/>
      <c r="AD59" s="586"/>
      <c r="AE59" s="586"/>
      <c r="AF59" s="586"/>
      <c r="AG59" s="586"/>
      <c r="AH59" s="586"/>
      <c r="AI59" s="586"/>
      <c r="AJ59" s="586"/>
      <c r="AK59" s="586"/>
      <c r="AL59" s="586"/>
      <c r="AM59" s="586"/>
      <c r="AN59" s="586"/>
      <c r="AO59" s="586"/>
      <c r="AP59" s="586">
        <f>IF(Table_NFI[[#This Row],[Winter Clothes Adult]]+Table_NFI[[#This Row],[Winter Clothes Children]]+Table_NFI[[#This Row],[Winter Items Other]]+Table_NFI[[#This Row],[Winter Blanket]]&gt;0,1,0)</f>
        <v>0</v>
      </c>
      <c r="AQ59" s="586"/>
      <c r="AR59" s="586"/>
      <c r="AS59" s="586"/>
      <c r="AT59" s="220" t="str">
        <f>IFERROR(VLOOKUP(Table_NFI[[#This Row],[Location]],CL,2,0),"")</f>
        <v>MMR001CMP037</v>
      </c>
      <c r="AU59" s="197"/>
      <c r="AV59" s="197"/>
      <c r="DP59" s="578"/>
    </row>
    <row r="60" spans="2:120" ht="18.75" hidden="1" customHeight="1" x14ac:dyDescent="0.25">
      <c r="B60" s="584">
        <v>42860</v>
      </c>
      <c r="C60" s="584" t="str">
        <f>MONTH(Table_NFI[[#This Row],[Distribution Date]]) &amp; "/" &amp; YEAR(Table_NFI[[#This Row],[Distribution Date]])</f>
        <v>5/2017</v>
      </c>
      <c r="D60" s="213" t="s">
        <v>420</v>
      </c>
      <c r="E60" s="213" t="s">
        <v>462</v>
      </c>
      <c r="F60" s="213" t="s">
        <v>378</v>
      </c>
      <c r="G60" s="213" t="s">
        <v>309</v>
      </c>
      <c r="H60" s="213" t="s">
        <v>342</v>
      </c>
      <c r="I60" s="197"/>
      <c r="J60" s="585"/>
      <c r="K60" s="585"/>
      <c r="L60" s="585">
        <v>1</v>
      </c>
      <c r="M60" s="585">
        <v>1</v>
      </c>
      <c r="N60" s="585">
        <v>2</v>
      </c>
      <c r="O60" s="585">
        <v>1</v>
      </c>
      <c r="P60" s="585">
        <v>2</v>
      </c>
      <c r="Q60" s="585">
        <v>1</v>
      </c>
      <c r="R60" s="585"/>
      <c r="S60" s="585">
        <v>1</v>
      </c>
      <c r="T60" s="585">
        <v>3</v>
      </c>
      <c r="U60" s="585"/>
      <c r="V60" s="585"/>
      <c r="W60" s="585"/>
      <c r="X60" s="585"/>
      <c r="Y60" s="585"/>
      <c r="Z60" s="585"/>
      <c r="AA60" s="585"/>
      <c r="AB60" s="585"/>
      <c r="AC60" s="586"/>
      <c r="AD60" s="586"/>
      <c r="AE60" s="586"/>
      <c r="AF60" s="586"/>
      <c r="AG60" s="586"/>
      <c r="AH60" s="586"/>
      <c r="AI60" s="586"/>
      <c r="AJ60" s="586"/>
      <c r="AK60" s="586"/>
      <c r="AL60" s="586"/>
      <c r="AM60" s="586"/>
      <c r="AN60" s="586"/>
      <c r="AO60" s="586"/>
      <c r="AP60" s="586">
        <f>IF(Table_NFI[[#This Row],[Winter Clothes Adult]]+Table_NFI[[#This Row],[Winter Clothes Children]]+Table_NFI[[#This Row],[Winter Items Other]]+Table_NFI[[#This Row],[Winter Blanket]]&gt;0,1,0)</f>
        <v>0</v>
      </c>
      <c r="AQ60" s="586"/>
      <c r="AR60" s="586"/>
      <c r="AS60" s="586"/>
      <c r="AT60" s="220" t="str">
        <f>IFERROR(VLOOKUP(Table_NFI[[#This Row],[Location]],CL,2,0),"")</f>
        <v>MMR001CMP033</v>
      </c>
      <c r="AU60" s="197"/>
      <c r="AV60" s="197"/>
      <c r="DP60" s="578"/>
    </row>
    <row r="61" spans="2:120" ht="18.75" hidden="1" customHeight="1" x14ac:dyDescent="0.25">
      <c r="B61" s="584">
        <v>42860</v>
      </c>
      <c r="C61" s="584" t="str">
        <f>MONTH(Table_NFI[[#This Row],[Distribution Date]]) &amp; "/" &amp; YEAR(Table_NFI[[#This Row],[Distribution Date]])</f>
        <v>5/2017</v>
      </c>
      <c r="D61" s="213" t="s">
        <v>420</v>
      </c>
      <c r="E61" s="213" t="s">
        <v>462</v>
      </c>
      <c r="F61" s="213" t="s">
        <v>378</v>
      </c>
      <c r="G61" s="213" t="s">
        <v>309</v>
      </c>
      <c r="H61" s="213" t="s">
        <v>315</v>
      </c>
      <c r="I61" s="197"/>
      <c r="J61" s="585"/>
      <c r="K61" s="585"/>
      <c r="L61" s="585">
        <v>2</v>
      </c>
      <c r="M61" s="585">
        <v>2</v>
      </c>
      <c r="N61" s="585">
        <v>7</v>
      </c>
      <c r="O61" s="585">
        <v>6</v>
      </c>
      <c r="P61" s="585">
        <v>7</v>
      </c>
      <c r="Q61" s="585">
        <v>2</v>
      </c>
      <c r="R61" s="585"/>
      <c r="S61" s="585">
        <v>2</v>
      </c>
      <c r="T61" s="585">
        <v>9</v>
      </c>
      <c r="U61" s="585"/>
      <c r="V61" s="585"/>
      <c r="W61" s="585"/>
      <c r="X61" s="585"/>
      <c r="Y61" s="585"/>
      <c r="Z61" s="585"/>
      <c r="AA61" s="585"/>
      <c r="AB61" s="585"/>
      <c r="AC61" s="586"/>
      <c r="AD61" s="586"/>
      <c r="AE61" s="586"/>
      <c r="AF61" s="586"/>
      <c r="AG61" s="586"/>
      <c r="AH61" s="586"/>
      <c r="AI61" s="586"/>
      <c r="AJ61" s="586"/>
      <c r="AK61" s="586"/>
      <c r="AL61" s="586"/>
      <c r="AM61" s="586"/>
      <c r="AN61" s="586"/>
      <c r="AO61" s="586"/>
      <c r="AP61" s="586">
        <f>IF(Table_NFI[[#This Row],[Winter Clothes Adult]]+Table_NFI[[#This Row],[Winter Clothes Children]]+Table_NFI[[#This Row],[Winter Items Other]]+Table_NFI[[#This Row],[Winter Blanket]]&gt;0,1,0)</f>
        <v>0</v>
      </c>
      <c r="AQ61" s="586"/>
      <c r="AR61" s="586"/>
      <c r="AS61" s="586"/>
      <c r="AT61" s="220" t="str">
        <f>IFERROR(VLOOKUP(Table_NFI[[#This Row],[Location]],CL,2,0),"")</f>
        <v>MMR001CMP038</v>
      </c>
      <c r="AU61" s="197"/>
      <c r="AV61" s="197"/>
      <c r="DP61" s="578"/>
    </row>
    <row r="62" spans="2:120" ht="18.75" hidden="1" customHeight="1" x14ac:dyDescent="0.25">
      <c r="B62" s="584">
        <v>42865</v>
      </c>
      <c r="C62" s="584" t="str">
        <f>MONTH(Table_NFI[[#This Row],[Distribution Date]]) &amp; "/" &amp; YEAR(Table_NFI[[#This Row],[Distribution Date]])</f>
        <v>5/2017</v>
      </c>
      <c r="D62" s="213" t="s">
        <v>1268</v>
      </c>
      <c r="E62" s="213" t="s">
        <v>1268</v>
      </c>
      <c r="F62" s="213" t="s">
        <v>378</v>
      </c>
      <c r="G62" s="213" t="s">
        <v>5</v>
      </c>
      <c r="H62" s="213" t="s">
        <v>1281</v>
      </c>
      <c r="I62" s="197"/>
      <c r="J62" s="585"/>
      <c r="K62" s="585"/>
      <c r="L62" s="585"/>
      <c r="M62" s="585"/>
      <c r="N62" s="585">
        <v>54</v>
      </c>
      <c r="O62" s="585">
        <v>6</v>
      </c>
      <c r="P62" s="585">
        <v>108</v>
      </c>
      <c r="Q62" s="585">
        <v>54</v>
      </c>
      <c r="R62" s="585"/>
      <c r="S62" s="585"/>
      <c r="T62" s="585">
        <v>54</v>
      </c>
      <c r="U62" s="585"/>
      <c r="V62" s="585"/>
      <c r="W62" s="585"/>
      <c r="X62" s="585"/>
      <c r="Y62" s="585"/>
      <c r="Z62" s="585"/>
      <c r="AA62" s="585"/>
      <c r="AB62" s="585"/>
      <c r="AC62" s="586"/>
      <c r="AD62" s="586"/>
      <c r="AE62" s="586"/>
      <c r="AF62" s="586"/>
      <c r="AG62" s="586"/>
      <c r="AH62" s="586"/>
      <c r="AI62" s="586"/>
      <c r="AJ62" s="586"/>
      <c r="AK62" s="586"/>
      <c r="AL62" s="586"/>
      <c r="AM62" s="586"/>
      <c r="AN62" s="586"/>
      <c r="AO62" s="586"/>
      <c r="AP62" s="586">
        <f>IF(Table_NFI[[#This Row],[Winter Clothes Adult]]+Table_NFI[[#This Row],[Winter Clothes Children]]+Table_NFI[[#This Row],[Winter Items Other]]+Table_NFI[[#This Row],[Winter Blanket]]&gt;0,1,0)</f>
        <v>0</v>
      </c>
      <c r="AQ62" s="586"/>
      <c r="AR62" s="586"/>
      <c r="AS62" s="586"/>
      <c r="AT62" s="220" t="str">
        <f>IFERROR(VLOOKUP(Table_NFI[[#This Row],[Location]],CL,2,0),"")</f>
        <v/>
      </c>
      <c r="AU62" s="197" t="s">
        <v>1282</v>
      </c>
      <c r="AV62" s="197"/>
      <c r="DP62" s="578"/>
    </row>
    <row r="63" spans="2:120" ht="18.75" hidden="1" customHeight="1" x14ac:dyDescent="0.25">
      <c r="B63" s="584">
        <v>42867</v>
      </c>
      <c r="C63" s="584" t="str">
        <f>MONTH(Table_NFI[[#This Row],[Distribution Date]]) &amp; "/" &amp; YEAR(Table_NFI[[#This Row],[Distribution Date]])</f>
        <v>5/2017</v>
      </c>
      <c r="D63" s="212" t="s">
        <v>1268</v>
      </c>
      <c r="E63" s="213" t="s">
        <v>1268</v>
      </c>
      <c r="F63" s="213" t="s">
        <v>378</v>
      </c>
      <c r="G63" s="213" t="s">
        <v>151</v>
      </c>
      <c r="H63" s="212" t="s">
        <v>802</v>
      </c>
      <c r="I63" s="214"/>
      <c r="J63" s="585"/>
      <c r="K63" s="585"/>
      <c r="L63" s="585"/>
      <c r="M63" s="585"/>
      <c r="N63" s="585"/>
      <c r="O63" s="585"/>
      <c r="P63" s="585">
        <v>350</v>
      </c>
      <c r="Q63" s="585">
        <v>38</v>
      </c>
      <c r="R63" s="585"/>
      <c r="S63" s="585"/>
      <c r="T63" s="585">
        <v>175</v>
      </c>
      <c r="U63" s="585"/>
      <c r="V63" s="585"/>
      <c r="W63" s="585"/>
      <c r="X63" s="585"/>
      <c r="Y63" s="585"/>
      <c r="Z63" s="585"/>
      <c r="AA63" s="585"/>
      <c r="AB63" s="585"/>
      <c r="AC63" s="586"/>
      <c r="AD63" s="586"/>
      <c r="AE63" s="586"/>
      <c r="AF63" s="586"/>
      <c r="AG63" s="586"/>
      <c r="AH63" s="586"/>
      <c r="AI63" s="586"/>
      <c r="AJ63" s="586"/>
      <c r="AK63" s="586"/>
      <c r="AL63" s="586"/>
      <c r="AM63" s="586"/>
      <c r="AN63" s="586"/>
      <c r="AO63" s="586"/>
      <c r="AP63" s="586">
        <f>IF(Table_NFI[[#This Row],[Winter Clothes Adult]]+Table_NFI[[#This Row],[Winter Clothes Children]]+Table_NFI[[#This Row],[Winter Items Other]]+Table_NFI[[#This Row],[Winter Blanket]]&gt;0,1,0)</f>
        <v>0</v>
      </c>
      <c r="AQ63" s="586"/>
      <c r="AR63" s="586"/>
      <c r="AS63" s="586"/>
      <c r="AT63" s="220" t="str">
        <f>IFERROR(VLOOKUP(Table_NFI[[#This Row],[Location]],CL,2,0),"")</f>
        <v>MMR001CMP213</v>
      </c>
      <c r="AU63" s="214"/>
      <c r="AV63" s="197"/>
      <c r="DP63" s="578"/>
    </row>
    <row r="64" spans="2:120" ht="18.75" hidden="1" customHeight="1" x14ac:dyDescent="0.25">
      <c r="B64" s="584">
        <v>42880</v>
      </c>
      <c r="C64" s="584" t="str">
        <f>MONTH(Table_NFI[[#This Row],[Distribution Date]]) &amp; "/" &amp; YEAR(Table_NFI[[#This Row],[Distribution Date]])</f>
        <v>5/2017</v>
      </c>
      <c r="D64" s="212" t="s">
        <v>1268</v>
      </c>
      <c r="E64" s="213" t="s">
        <v>1268</v>
      </c>
      <c r="F64" s="212" t="s">
        <v>506</v>
      </c>
      <c r="G64" s="212" t="s">
        <v>719</v>
      </c>
      <c r="H64" s="212" t="s">
        <v>1062</v>
      </c>
      <c r="I64" s="214"/>
      <c r="J64" s="585"/>
      <c r="K64" s="585"/>
      <c r="L64" s="585"/>
      <c r="M64" s="585"/>
      <c r="N64" s="585">
        <v>57</v>
      </c>
      <c r="O64" s="585"/>
      <c r="P64" s="585"/>
      <c r="Q64" s="585">
        <v>57</v>
      </c>
      <c r="R64" s="585"/>
      <c r="S64" s="585"/>
      <c r="T64" s="585">
        <v>57</v>
      </c>
      <c r="U64" s="585"/>
      <c r="V64" s="585"/>
      <c r="W64" s="585"/>
      <c r="X64" s="585"/>
      <c r="Y64" s="585"/>
      <c r="Z64" s="585"/>
      <c r="AA64" s="585"/>
      <c r="AB64" s="585"/>
      <c r="AC64" s="586"/>
      <c r="AD64" s="586"/>
      <c r="AE64" s="586"/>
      <c r="AF64" s="586"/>
      <c r="AG64" s="586"/>
      <c r="AH64" s="586"/>
      <c r="AI64" s="586"/>
      <c r="AJ64" s="586"/>
      <c r="AK64" s="586"/>
      <c r="AL64" s="586"/>
      <c r="AM64" s="586"/>
      <c r="AN64" s="586"/>
      <c r="AO64" s="586"/>
      <c r="AP64" s="586">
        <f>IF(Table_NFI[[#This Row],[Winter Clothes Adult]]+Table_NFI[[#This Row],[Winter Clothes Children]]+Table_NFI[[#This Row],[Winter Items Other]]+Table_NFI[[#This Row],[Winter Blanket]]&gt;0,1,0)</f>
        <v>0</v>
      </c>
      <c r="AQ64" s="586"/>
      <c r="AR64" s="586"/>
      <c r="AS64" s="586"/>
      <c r="AT64" s="220" t="str">
        <f>IFERROR(VLOOKUP(Table_NFI[[#This Row],[Location]],CL,2,0),"")</f>
        <v>MMR015CMP218</v>
      </c>
      <c r="AU64" s="214" t="s">
        <v>1283</v>
      </c>
      <c r="AV64" s="197"/>
      <c r="DP64" s="578"/>
    </row>
    <row r="65" spans="2:120" ht="18.75" hidden="1" customHeight="1" x14ac:dyDescent="0.25">
      <c r="B65" s="584">
        <v>42881</v>
      </c>
      <c r="C65" s="584" t="str">
        <f>MONTH(Table_NFI[[#This Row],[Distribution Date]]) &amp; "/" &amp; YEAR(Table_NFI[[#This Row],[Distribution Date]])</f>
        <v>5/2017</v>
      </c>
      <c r="D65" s="212" t="s">
        <v>1268</v>
      </c>
      <c r="E65" s="213" t="s">
        <v>1268</v>
      </c>
      <c r="F65" s="212" t="s">
        <v>506</v>
      </c>
      <c r="G65" s="212" t="s">
        <v>146</v>
      </c>
      <c r="H65" s="212" t="s">
        <v>1236</v>
      </c>
      <c r="I65" s="212"/>
      <c r="J65" s="585"/>
      <c r="K65" s="585"/>
      <c r="L65" s="585"/>
      <c r="M65" s="585"/>
      <c r="N65" s="585">
        <v>46</v>
      </c>
      <c r="O65" s="585">
        <v>12</v>
      </c>
      <c r="P65" s="585">
        <v>92</v>
      </c>
      <c r="Q65" s="585">
        <v>46</v>
      </c>
      <c r="R65" s="585"/>
      <c r="S65" s="585"/>
      <c r="T65" s="585">
        <v>46</v>
      </c>
      <c r="U65" s="585"/>
      <c r="V65" s="585"/>
      <c r="W65" s="585"/>
      <c r="X65" s="585"/>
      <c r="Y65" s="585"/>
      <c r="Z65" s="585"/>
      <c r="AA65" s="585"/>
      <c r="AB65" s="585"/>
      <c r="AC65" s="586"/>
      <c r="AD65" s="586"/>
      <c r="AE65" s="586"/>
      <c r="AF65" s="586"/>
      <c r="AG65" s="586"/>
      <c r="AH65" s="586"/>
      <c r="AI65" s="586"/>
      <c r="AJ65" s="586"/>
      <c r="AK65" s="586"/>
      <c r="AL65" s="586"/>
      <c r="AM65" s="586"/>
      <c r="AN65" s="586"/>
      <c r="AO65" s="586"/>
      <c r="AP65" s="586">
        <f>IF(Table_NFI[[#This Row],[Winter Clothes Adult]]+Table_NFI[[#This Row],[Winter Clothes Children]]+Table_NFI[[#This Row],[Winter Items Other]]+Table_NFI[[#This Row],[Winter Blanket]]&gt;0,1,0)</f>
        <v>0</v>
      </c>
      <c r="AQ65" s="586"/>
      <c r="AR65" s="586"/>
      <c r="AS65" s="586"/>
      <c r="AT65" s="220" t="str">
        <f>IFERROR(VLOOKUP(Table_NFI[[#This Row],[Location]],CL,2,0),"")</f>
        <v>MMR015CMP245</v>
      </c>
      <c r="AU65" s="214" t="s">
        <v>1283</v>
      </c>
      <c r="AV65" s="197"/>
      <c r="DP65" s="578"/>
    </row>
    <row r="66" spans="2:120" ht="18.75" hidden="1" customHeight="1" x14ac:dyDescent="0.25">
      <c r="B66" s="584">
        <v>42882</v>
      </c>
      <c r="C66" s="584" t="str">
        <f>MONTH(Table_NFI[[#This Row],[Distribution Date]]) &amp; "/" &amp; YEAR(Table_NFI[[#This Row],[Distribution Date]])</f>
        <v>5/2017</v>
      </c>
      <c r="D66" s="213" t="s">
        <v>1268</v>
      </c>
      <c r="E66" s="213" t="s">
        <v>1268</v>
      </c>
      <c r="F66" s="213" t="s">
        <v>506</v>
      </c>
      <c r="G66" s="213" t="s">
        <v>146</v>
      </c>
      <c r="H66" s="212" t="s">
        <v>1245</v>
      </c>
      <c r="I66" s="212"/>
      <c r="J66" s="585"/>
      <c r="K66" s="585"/>
      <c r="L66" s="585"/>
      <c r="M66" s="585"/>
      <c r="N66" s="585">
        <v>24</v>
      </c>
      <c r="O66" s="585">
        <v>9</v>
      </c>
      <c r="P66" s="585">
        <v>48</v>
      </c>
      <c r="Q66" s="585">
        <v>24</v>
      </c>
      <c r="R66" s="585"/>
      <c r="S66" s="585"/>
      <c r="T66" s="585">
        <v>24</v>
      </c>
      <c r="U66" s="585"/>
      <c r="V66" s="585"/>
      <c r="W66" s="585"/>
      <c r="X66" s="585"/>
      <c r="Y66" s="585"/>
      <c r="Z66" s="585"/>
      <c r="AA66" s="585"/>
      <c r="AB66" s="585"/>
      <c r="AC66" s="586"/>
      <c r="AD66" s="586"/>
      <c r="AE66" s="586"/>
      <c r="AF66" s="586"/>
      <c r="AG66" s="586"/>
      <c r="AH66" s="586"/>
      <c r="AI66" s="586"/>
      <c r="AJ66" s="586"/>
      <c r="AK66" s="586"/>
      <c r="AL66" s="586"/>
      <c r="AM66" s="586"/>
      <c r="AN66" s="586"/>
      <c r="AO66" s="586"/>
      <c r="AP66" s="586">
        <f>IF(Table_NFI[[#This Row],[Winter Clothes Adult]]+Table_NFI[[#This Row],[Winter Clothes Children]]+Table_NFI[[#This Row],[Winter Items Other]]+Table_NFI[[#This Row],[Winter Blanket]]&gt;0,1,0)</f>
        <v>0</v>
      </c>
      <c r="AQ66" s="586"/>
      <c r="AR66" s="586"/>
      <c r="AS66" s="586"/>
      <c r="AT66" s="220" t="str">
        <f>IFERROR(VLOOKUP(Table_NFI[[#This Row],[Location]],CL,2,0),"")</f>
        <v>MMR015CMP246</v>
      </c>
      <c r="AU66" s="214" t="s">
        <v>1283</v>
      </c>
      <c r="AV66" s="197"/>
      <c r="DP66" s="578"/>
    </row>
    <row r="67" spans="2:120" ht="18.75" hidden="1" customHeight="1" x14ac:dyDescent="0.25">
      <c r="B67" s="584">
        <v>42882</v>
      </c>
      <c r="C67" s="584" t="str">
        <f>MONTH(Table_NFI[[#This Row],[Distribution Date]]) &amp; "/" &amp; YEAR(Table_NFI[[#This Row],[Distribution Date]])</f>
        <v>5/2017</v>
      </c>
      <c r="D67" s="213" t="s">
        <v>1268</v>
      </c>
      <c r="E67" s="213" t="s">
        <v>1268</v>
      </c>
      <c r="F67" s="213" t="s">
        <v>506</v>
      </c>
      <c r="G67" s="213" t="s">
        <v>146</v>
      </c>
      <c r="H67" s="212" t="s">
        <v>1236</v>
      </c>
      <c r="I67" s="214"/>
      <c r="J67" s="585"/>
      <c r="K67" s="585"/>
      <c r="L67" s="585"/>
      <c r="M67" s="585"/>
      <c r="N67" s="585"/>
      <c r="O67" s="585">
        <v>24</v>
      </c>
      <c r="P67" s="585"/>
      <c r="Q67" s="585"/>
      <c r="R67" s="585"/>
      <c r="S67" s="585"/>
      <c r="T67" s="585"/>
      <c r="U67" s="585"/>
      <c r="V67" s="585"/>
      <c r="W67" s="585"/>
      <c r="X67" s="585"/>
      <c r="Y67" s="585"/>
      <c r="Z67" s="585"/>
      <c r="AA67" s="585"/>
      <c r="AB67" s="585"/>
      <c r="AC67" s="586"/>
      <c r="AD67" s="586"/>
      <c r="AE67" s="586"/>
      <c r="AF67" s="586"/>
      <c r="AG67" s="586"/>
      <c r="AH67" s="586"/>
      <c r="AI67" s="586"/>
      <c r="AJ67" s="586"/>
      <c r="AK67" s="586"/>
      <c r="AL67" s="586"/>
      <c r="AM67" s="586"/>
      <c r="AN67" s="586"/>
      <c r="AO67" s="586"/>
      <c r="AP67" s="586">
        <f>IF(Table_NFI[[#This Row],[Winter Clothes Adult]]+Table_NFI[[#This Row],[Winter Clothes Children]]+Table_NFI[[#This Row],[Winter Items Other]]+Table_NFI[[#This Row],[Winter Blanket]]&gt;0,1,0)</f>
        <v>0</v>
      </c>
      <c r="AQ67" s="586"/>
      <c r="AR67" s="586"/>
      <c r="AS67" s="586"/>
      <c r="AT67" s="220" t="str">
        <f>IFERROR(VLOOKUP(Table_NFI[[#This Row],[Location]],CL,2,0),"")</f>
        <v>MMR015CMP245</v>
      </c>
      <c r="AU67" s="214"/>
      <c r="AV67" s="197"/>
      <c r="DP67" s="578"/>
    </row>
    <row r="68" spans="2:120" ht="18.75" hidden="1" customHeight="1" x14ac:dyDescent="0.25">
      <c r="B68" s="584">
        <v>42883</v>
      </c>
      <c r="C68" s="584" t="str">
        <f>MONTH(Table_NFI[[#This Row],[Distribution Date]]) &amp; "/" &amp; YEAR(Table_NFI[[#This Row],[Distribution Date]])</f>
        <v>5/2017</v>
      </c>
      <c r="D68" s="213" t="s">
        <v>1268</v>
      </c>
      <c r="E68" s="213" t="s">
        <v>1268</v>
      </c>
      <c r="F68" s="213" t="s">
        <v>506</v>
      </c>
      <c r="G68" s="213" t="s">
        <v>146</v>
      </c>
      <c r="H68" s="212" t="s">
        <v>1132</v>
      </c>
      <c r="I68" s="212"/>
      <c r="J68" s="585"/>
      <c r="K68" s="585"/>
      <c r="L68" s="585"/>
      <c r="M68" s="585"/>
      <c r="N68" s="585">
        <v>143</v>
      </c>
      <c r="O68" s="585">
        <v>62</v>
      </c>
      <c r="P68" s="585">
        <v>286</v>
      </c>
      <c r="Q68" s="585">
        <v>143</v>
      </c>
      <c r="R68" s="585"/>
      <c r="S68" s="585"/>
      <c r="T68" s="585">
        <v>143</v>
      </c>
      <c r="U68" s="585"/>
      <c r="V68" s="585"/>
      <c r="W68" s="585"/>
      <c r="X68" s="585"/>
      <c r="Y68" s="585"/>
      <c r="Z68" s="585"/>
      <c r="AA68" s="585"/>
      <c r="AB68" s="585"/>
      <c r="AC68" s="586"/>
      <c r="AD68" s="586"/>
      <c r="AE68" s="586"/>
      <c r="AF68" s="586"/>
      <c r="AG68" s="586"/>
      <c r="AH68" s="586"/>
      <c r="AI68" s="586"/>
      <c r="AJ68" s="586"/>
      <c r="AK68" s="586"/>
      <c r="AL68" s="586"/>
      <c r="AM68" s="586"/>
      <c r="AN68" s="586"/>
      <c r="AO68" s="586"/>
      <c r="AP68" s="586">
        <f>IF(Table_NFI[[#This Row],[Winter Clothes Adult]]+Table_NFI[[#This Row],[Winter Clothes Children]]+Table_NFI[[#This Row],[Winter Items Other]]+Table_NFI[[#This Row],[Winter Blanket]]&gt;0,1,0)</f>
        <v>0</v>
      </c>
      <c r="AQ68" s="586"/>
      <c r="AR68" s="586"/>
      <c r="AS68" s="586"/>
      <c r="AT68" s="220" t="str">
        <f>IFERROR(VLOOKUP(Table_NFI[[#This Row],[Location]],CL,2,0),"")</f>
        <v/>
      </c>
      <c r="AU68" s="214" t="s">
        <v>1283</v>
      </c>
      <c r="AV68" s="197"/>
      <c r="DP68" s="578"/>
    </row>
    <row r="69" spans="2:120" ht="18.75" hidden="1" customHeight="1" x14ac:dyDescent="0.25">
      <c r="B69" s="584">
        <v>42885</v>
      </c>
      <c r="C69" s="584" t="str">
        <f>MONTH(Table_NFI[[#This Row],[Distribution Date]]) &amp; "/" &amp; YEAR(Table_NFI[[#This Row],[Distribution Date]])</f>
        <v>5/2017</v>
      </c>
      <c r="D69" s="213" t="s">
        <v>1268</v>
      </c>
      <c r="E69" s="213" t="s">
        <v>1268</v>
      </c>
      <c r="F69" s="213" t="s">
        <v>506</v>
      </c>
      <c r="G69" s="213" t="s">
        <v>297</v>
      </c>
      <c r="H69" s="212" t="s">
        <v>760</v>
      </c>
      <c r="I69" s="212"/>
      <c r="J69" s="585"/>
      <c r="K69" s="585"/>
      <c r="L69" s="585"/>
      <c r="M69" s="585"/>
      <c r="N69" s="585">
        <v>46</v>
      </c>
      <c r="O69" s="585">
        <v>9</v>
      </c>
      <c r="P69" s="585">
        <v>46</v>
      </c>
      <c r="Q69" s="585">
        <v>46</v>
      </c>
      <c r="R69" s="585"/>
      <c r="S69" s="585"/>
      <c r="T69" s="585">
        <v>46</v>
      </c>
      <c r="U69" s="585"/>
      <c r="V69" s="585"/>
      <c r="W69" s="585"/>
      <c r="X69" s="585"/>
      <c r="Y69" s="585"/>
      <c r="Z69" s="585"/>
      <c r="AA69" s="585"/>
      <c r="AB69" s="585"/>
      <c r="AC69" s="586"/>
      <c r="AD69" s="586"/>
      <c r="AE69" s="586"/>
      <c r="AF69" s="586"/>
      <c r="AG69" s="586"/>
      <c r="AH69" s="586"/>
      <c r="AI69" s="586"/>
      <c r="AJ69" s="586"/>
      <c r="AK69" s="586"/>
      <c r="AL69" s="586"/>
      <c r="AM69" s="586"/>
      <c r="AN69" s="586"/>
      <c r="AO69" s="586"/>
      <c r="AP69" s="586">
        <f>IF(Table_NFI[[#This Row],[Winter Clothes Adult]]+Table_NFI[[#This Row],[Winter Clothes Children]]+Table_NFI[[#This Row],[Winter Items Other]]+Table_NFI[[#This Row],[Winter Blanket]]&gt;0,1,0)</f>
        <v>0</v>
      </c>
      <c r="AQ69" s="586"/>
      <c r="AR69" s="586"/>
      <c r="AS69" s="586"/>
      <c r="AT69" s="220" t="str">
        <f>IFERROR(VLOOKUP(Table_NFI[[#This Row],[Location]],CL,2,0),"")</f>
        <v>MMR015CMP014</v>
      </c>
      <c r="AU69" s="214" t="s">
        <v>1283</v>
      </c>
      <c r="AV69" s="197"/>
      <c r="DP69" s="578"/>
    </row>
    <row r="70" spans="2:120" ht="18.75" hidden="1" customHeight="1" x14ac:dyDescent="0.25">
      <c r="B70" s="584">
        <v>42885</v>
      </c>
      <c r="C70" s="584" t="str">
        <f>MONTH(Table_NFI[[#This Row],[Distribution Date]]) &amp; "/" &amp; YEAR(Table_NFI[[#This Row],[Distribution Date]])</f>
        <v>5/2017</v>
      </c>
      <c r="D70" s="213" t="s">
        <v>1268</v>
      </c>
      <c r="E70" s="213" t="s">
        <v>1268</v>
      </c>
      <c r="F70" s="213" t="s">
        <v>506</v>
      </c>
      <c r="G70" s="213" t="s">
        <v>297</v>
      </c>
      <c r="H70" s="212" t="s">
        <v>1195</v>
      </c>
      <c r="I70" s="212"/>
      <c r="J70" s="585"/>
      <c r="K70" s="585"/>
      <c r="L70" s="585"/>
      <c r="M70" s="585"/>
      <c r="N70" s="585">
        <v>25</v>
      </c>
      <c r="O70" s="585">
        <v>5</v>
      </c>
      <c r="P70" s="585">
        <v>25</v>
      </c>
      <c r="Q70" s="585">
        <v>25</v>
      </c>
      <c r="R70" s="585"/>
      <c r="S70" s="585"/>
      <c r="T70" s="585">
        <v>25</v>
      </c>
      <c r="U70" s="585"/>
      <c r="V70" s="585"/>
      <c r="W70" s="585"/>
      <c r="X70" s="585"/>
      <c r="Y70" s="585"/>
      <c r="Z70" s="585"/>
      <c r="AA70" s="585"/>
      <c r="AB70" s="585"/>
      <c r="AC70" s="586"/>
      <c r="AD70" s="586"/>
      <c r="AE70" s="586"/>
      <c r="AF70" s="586"/>
      <c r="AG70" s="586"/>
      <c r="AH70" s="586"/>
      <c r="AI70" s="586"/>
      <c r="AJ70" s="586"/>
      <c r="AK70" s="586"/>
      <c r="AL70" s="586"/>
      <c r="AM70" s="586"/>
      <c r="AN70" s="586"/>
      <c r="AO70" s="586"/>
      <c r="AP70" s="586">
        <f>IF(Table_NFI[[#This Row],[Winter Clothes Adult]]+Table_NFI[[#This Row],[Winter Clothes Children]]+Table_NFI[[#This Row],[Winter Items Other]]+Table_NFI[[#This Row],[Winter Blanket]]&gt;0,1,0)</f>
        <v>0</v>
      </c>
      <c r="AQ70" s="586"/>
      <c r="AR70" s="586"/>
      <c r="AS70" s="586"/>
      <c r="AT70" s="220" t="str">
        <f>IFERROR(VLOOKUP(Table_NFI[[#This Row],[Location]],CL,2,0),"")</f>
        <v>MMR015CMP232</v>
      </c>
      <c r="AU70" s="214" t="s">
        <v>1283</v>
      </c>
      <c r="AV70" s="197"/>
      <c r="DP70" s="578"/>
    </row>
    <row r="71" spans="2:120" ht="18.75" hidden="1" customHeight="1" x14ac:dyDescent="0.25">
      <c r="B71" s="584">
        <v>42885</v>
      </c>
      <c r="C71" s="584" t="str">
        <f>MONTH(Table_NFI[[#This Row],[Distribution Date]]) &amp; "/" &amp; YEAR(Table_NFI[[#This Row],[Distribution Date]])</f>
        <v>5/2017</v>
      </c>
      <c r="D71" s="213" t="s">
        <v>1268</v>
      </c>
      <c r="E71" s="213" t="s">
        <v>1268</v>
      </c>
      <c r="F71" s="213" t="s">
        <v>506</v>
      </c>
      <c r="G71" s="213" t="s">
        <v>297</v>
      </c>
      <c r="H71" s="212" t="s">
        <v>1141</v>
      </c>
      <c r="I71" s="212"/>
      <c r="J71" s="585"/>
      <c r="K71" s="585"/>
      <c r="L71" s="585"/>
      <c r="M71" s="585"/>
      <c r="N71" s="585">
        <v>16</v>
      </c>
      <c r="O71" s="585">
        <v>3</v>
      </c>
      <c r="P71" s="585">
        <v>16</v>
      </c>
      <c r="Q71" s="585">
        <v>16</v>
      </c>
      <c r="R71" s="585"/>
      <c r="S71" s="585"/>
      <c r="T71" s="585">
        <v>16</v>
      </c>
      <c r="U71" s="585"/>
      <c r="V71" s="585"/>
      <c r="W71" s="585"/>
      <c r="X71" s="585"/>
      <c r="Y71" s="585"/>
      <c r="Z71" s="585"/>
      <c r="AA71" s="585"/>
      <c r="AB71" s="585"/>
      <c r="AC71" s="586"/>
      <c r="AD71" s="586"/>
      <c r="AE71" s="586"/>
      <c r="AF71" s="586"/>
      <c r="AG71" s="586"/>
      <c r="AH71" s="586"/>
      <c r="AI71" s="586"/>
      <c r="AJ71" s="586"/>
      <c r="AK71" s="586"/>
      <c r="AL71" s="586"/>
      <c r="AM71" s="586"/>
      <c r="AN71" s="586"/>
      <c r="AO71" s="586"/>
      <c r="AP71" s="586">
        <f>IF(Table_NFI[[#This Row],[Winter Clothes Adult]]+Table_NFI[[#This Row],[Winter Clothes Children]]+Table_NFI[[#This Row],[Winter Items Other]]+Table_NFI[[#This Row],[Winter Blanket]]&gt;0,1,0)</f>
        <v>0</v>
      </c>
      <c r="AQ71" s="586"/>
      <c r="AR71" s="586"/>
      <c r="AS71" s="586"/>
      <c r="AT71" s="220" t="str">
        <f>IFERROR(VLOOKUP(Table_NFI[[#This Row],[Location]],CL,2,0),"")</f>
        <v>MMR015CMP221</v>
      </c>
      <c r="AU71" s="214" t="s">
        <v>1283</v>
      </c>
      <c r="AV71" s="197"/>
      <c r="DP71" s="578"/>
    </row>
    <row r="72" spans="2:120" ht="18.75" hidden="1" customHeight="1" x14ac:dyDescent="0.25">
      <c r="B72" s="584">
        <v>42885</v>
      </c>
      <c r="C72" s="584" t="str">
        <f>MONTH(Table_NFI[[#This Row],[Distribution Date]]) &amp; "/" &amp; YEAR(Table_NFI[[#This Row],[Distribution Date]])</f>
        <v>5/2017</v>
      </c>
      <c r="D72" s="213" t="s">
        <v>1268</v>
      </c>
      <c r="E72" s="213" t="s">
        <v>1268</v>
      </c>
      <c r="F72" s="213" t="s">
        <v>506</v>
      </c>
      <c r="G72" s="213" t="s">
        <v>297</v>
      </c>
      <c r="H72" s="212" t="s">
        <v>1285</v>
      </c>
      <c r="I72" s="212"/>
      <c r="J72" s="585"/>
      <c r="K72" s="585"/>
      <c r="L72" s="585"/>
      <c r="M72" s="585"/>
      <c r="N72" s="585">
        <v>60</v>
      </c>
      <c r="O72" s="585"/>
      <c r="P72" s="585">
        <v>60</v>
      </c>
      <c r="Q72" s="585">
        <v>60</v>
      </c>
      <c r="R72" s="585"/>
      <c r="S72" s="585"/>
      <c r="T72" s="585">
        <v>60</v>
      </c>
      <c r="U72" s="585"/>
      <c r="V72" s="585"/>
      <c r="W72" s="585"/>
      <c r="X72" s="585"/>
      <c r="Y72" s="585"/>
      <c r="Z72" s="585"/>
      <c r="AA72" s="585"/>
      <c r="AB72" s="585"/>
      <c r="AC72" s="586"/>
      <c r="AD72" s="586"/>
      <c r="AE72" s="586"/>
      <c r="AF72" s="586"/>
      <c r="AG72" s="586"/>
      <c r="AH72" s="586"/>
      <c r="AI72" s="586"/>
      <c r="AJ72" s="586"/>
      <c r="AK72" s="586"/>
      <c r="AL72" s="586"/>
      <c r="AM72" s="586"/>
      <c r="AN72" s="586"/>
      <c r="AO72" s="586"/>
      <c r="AP72" s="586">
        <f>IF(Table_NFI[[#This Row],[Winter Clothes Adult]]+Table_NFI[[#This Row],[Winter Clothes Children]]+Table_NFI[[#This Row],[Winter Items Other]]+Table_NFI[[#This Row],[Winter Blanket]]&gt;0,1,0)</f>
        <v>0</v>
      </c>
      <c r="AQ72" s="586"/>
      <c r="AR72" s="586"/>
      <c r="AS72" s="586"/>
      <c r="AT72" s="220" t="str">
        <f>IFERROR(VLOOKUP(Table_NFI[[#This Row],[Location]],CL,2,0),"")</f>
        <v>MMR015CMP248</v>
      </c>
      <c r="AU72" s="214" t="s">
        <v>1283</v>
      </c>
      <c r="AV72" s="197"/>
      <c r="DP72" s="578"/>
    </row>
    <row r="73" spans="2:120" ht="18.75" hidden="1" customHeight="1" x14ac:dyDescent="0.25">
      <c r="B73" s="590">
        <v>42893</v>
      </c>
      <c r="C73" s="590" t="str">
        <f>MONTH(Table_NFI[[#This Row],[Distribution Date]]) &amp; "/" &amp; YEAR(Table_NFI[[#This Row],[Distribution Date]])</f>
        <v>6/2017</v>
      </c>
      <c r="D73" s="588" t="s">
        <v>1268</v>
      </c>
      <c r="E73" s="588" t="s">
        <v>424</v>
      </c>
      <c r="F73" s="588" t="s">
        <v>378</v>
      </c>
      <c r="G73" s="588" t="s">
        <v>5</v>
      </c>
      <c r="H73" s="588" t="s">
        <v>12</v>
      </c>
      <c r="I73" s="591"/>
      <c r="J73" s="592"/>
      <c r="K73" s="592"/>
      <c r="L73" s="592"/>
      <c r="M73" s="592"/>
      <c r="N73" s="592">
        <v>79</v>
      </c>
      <c r="O73" s="592"/>
      <c r="P73" s="592">
        <v>158</v>
      </c>
      <c r="Q73" s="592">
        <v>79</v>
      </c>
      <c r="R73" s="592"/>
      <c r="S73" s="592"/>
      <c r="T73" s="592">
        <v>79</v>
      </c>
      <c r="U73" s="592"/>
      <c r="V73" s="592"/>
      <c r="W73" s="592"/>
      <c r="X73" s="592"/>
      <c r="Y73" s="592"/>
      <c r="Z73" s="592"/>
      <c r="AA73" s="592"/>
      <c r="AB73" s="592"/>
      <c r="AC73" s="593"/>
      <c r="AD73" s="593"/>
      <c r="AE73" s="593"/>
      <c r="AF73" s="593"/>
      <c r="AG73" s="593"/>
      <c r="AH73" s="593"/>
      <c r="AI73" s="593"/>
      <c r="AJ73" s="593"/>
      <c r="AK73" s="593"/>
      <c r="AL73" s="593"/>
      <c r="AM73" s="593"/>
      <c r="AN73" s="593"/>
      <c r="AO73" s="593"/>
      <c r="AP73" s="593">
        <f>IF(Table_NFI[[#This Row],[Winter Clothes Adult]]+Table_NFI[[#This Row],[Winter Clothes Children]]+Table_NFI[[#This Row],[Winter Items Other]]+Table_NFI[[#This Row],[Winter Blanket]]&gt;0,1,0)</f>
        <v>0</v>
      </c>
      <c r="AQ73" s="593"/>
      <c r="AR73" s="593"/>
      <c r="AS73" s="593"/>
      <c r="AT73" s="594" t="str">
        <f>IFERROR(VLOOKUP(Table_NFI[[#This Row],[Location]],CL,2,0),"")</f>
        <v>MMR001CMP163</v>
      </c>
      <c r="AU73" s="595"/>
      <c r="AV73" s="197"/>
      <c r="DP73" s="578"/>
    </row>
    <row r="74" spans="2:120" ht="18.75" hidden="1" customHeight="1" x14ac:dyDescent="0.25">
      <c r="B74" s="590">
        <v>42900</v>
      </c>
      <c r="C74" s="590" t="str">
        <f>MONTH(Table_NFI[[#This Row],[Distribution Date]]) &amp; "/" &amp; YEAR(Table_NFI[[#This Row],[Distribution Date]])</f>
        <v>6/2017</v>
      </c>
      <c r="D74" s="588" t="s">
        <v>1268</v>
      </c>
      <c r="E74" s="588" t="s">
        <v>424</v>
      </c>
      <c r="F74" s="213" t="s">
        <v>378</v>
      </c>
      <c r="G74" s="213" t="s">
        <v>151</v>
      </c>
      <c r="H74" s="588" t="s">
        <v>913</v>
      </c>
      <c r="I74" s="591"/>
      <c r="J74" s="592"/>
      <c r="K74" s="592"/>
      <c r="L74" s="592"/>
      <c r="M74" s="592"/>
      <c r="N74" s="592">
        <v>143</v>
      </c>
      <c r="O74" s="592"/>
      <c r="P74" s="592">
        <v>27</v>
      </c>
      <c r="Q74" s="592">
        <v>83</v>
      </c>
      <c r="R74" s="592"/>
      <c r="S74" s="592"/>
      <c r="T74" s="592">
        <v>143</v>
      </c>
      <c r="U74" s="592"/>
      <c r="V74" s="592"/>
      <c r="W74" s="592"/>
      <c r="X74" s="592"/>
      <c r="Y74" s="592"/>
      <c r="Z74" s="592">
        <v>167</v>
      </c>
      <c r="AA74" s="592"/>
      <c r="AB74" s="592"/>
      <c r="AC74" s="593"/>
      <c r="AD74" s="593"/>
      <c r="AE74" s="593"/>
      <c r="AF74" s="593"/>
      <c r="AG74" s="593"/>
      <c r="AH74" s="593"/>
      <c r="AI74" s="593"/>
      <c r="AJ74" s="593"/>
      <c r="AK74" s="593"/>
      <c r="AL74" s="593"/>
      <c r="AM74" s="593"/>
      <c r="AN74" s="593"/>
      <c r="AO74" s="593"/>
      <c r="AP74" s="593">
        <f>IF(Table_NFI[[#This Row],[Winter Clothes Adult]]+Table_NFI[[#This Row],[Winter Clothes Children]]+Table_NFI[[#This Row],[Winter Items Other]]+Table_NFI[[#This Row],[Winter Blanket]]&gt;0,1,0)</f>
        <v>0</v>
      </c>
      <c r="AQ74" s="593"/>
      <c r="AR74" s="593"/>
      <c r="AS74" s="593"/>
      <c r="AT74" s="594" t="str">
        <f>IFERROR(VLOOKUP(Table_NFI[[#This Row],[Location]],CL,2,0),"")</f>
        <v>MMR001CMP228</v>
      </c>
      <c r="AU74" s="595"/>
      <c r="AV74" s="197"/>
      <c r="DP74" s="578"/>
    </row>
    <row r="75" spans="2:120" ht="18.75" hidden="1" customHeight="1" x14ac:dyDescent="0.25">
      <c r="B75" s="590">
        <v>42900</v>
      </c>
      <c r="C75" s="590" t="str">
        <f>MONTH(Table_NFI[[#This Row],[Distribution Date]]) &amp; "/" &amp; YEAR(Table_NFI[[#This Row],[Distribution Date]])</f>
        <v>6/2017</v>
      </c>
      <c r="D75" s="588" t="s">
        <v>1268</v>
      </c>
      <c r="E75" s="588" t="s">
        <v>424</v>
      </c>
      <c r="F75" s="213" t="s">
        <v>378</v>
      </c>
      <c r="G75" s="213" t="s">
        <v>151</v>
      </c>
      <c r="H75" s="588" t="s">
        <v>160</v>
      </c>
      <c r="I75" s="591"/>
      <c r="J75" s="592"/>
      <c r="K75" s="592"/>
      <c r="L75" s="592"/>
      <c r="M75" s="592"/>
      <c r="N75" s="592">
        <v>40</v>
      </c>
      <c r="O75" s="592"/>
      <c r="P75" s="592"/>
      <c r="Q75" s="592"/>
      <c r="R75" s="592"/>
      <c r="S75" s="592"/>
      <c r="T75" s="592">
        <v>39</v>
      </c>
      <c r="U75" s="592"/>
      <c r="V75" s="592"/>
      <c r="W75" s="592"/>
      <c r="X75" s="592"/>
      <c r="Y75" s="592"/>
      <c r="Z75" s="592">
        <v>139</v>
      </c>
      <c r="AA75" s="592"/>
      <c r="AB75" s="592"/>
      <c r="AC75" s="593"/>
      <c r="AD75" s="593"/>
      <c r="AE75" s="593"/>
      <c r="AF75" s="593"/>
      <c r="AG75" s="593"/>
      <c r="AH75" s="593"/>
      <c r="AI75" s="593"/>
      <c r="AJ75" s="593"/>
      <c r="AK75" s="593"/>
      <c r="AL75" s="593"/>
      <c r="AM75" s="593"/>
      <c r="AN75" s="593"/>
      <c r="AO75" s="593"/>
      <c r="AP75" s="593">
        <f>IF(Table_NFI[[#This Row],[Winter Clothes Adult]]+Table_NFI[[#This Row],[Winter Clothes Children]]+Table_NFI[[#This Row],[Winter Items Other]]+Table_NFI[[#This Row],[Winter Blanket]]&gt;0,1,0)</f>
        <v>0</v>
      </c>
      <c r="AQ75" s="593"/>
      <c r="AR75" s="593"/>
      <c r="AS75" s="593"/>
      <c r="AT75" s="594" t="str">
        <f>IFERROR(VLOOKUP(Table_NFI[[#This Row],[Location]],CL,2,0),"")</f>
        <v>MMR001CMP133</v>
      </c>
      <c r="AU75" s="595"/>
      <c r="AV75" s="197"/>
      <c r="DP75" s="578"/>
    </row>
    <row r="76" spans="2:120" ht="18.75" hidden="1" customHeight="1" x14ac:dyDescent="0.25">
      <c r="B76" s="596">
        <v>42903</v>
      </c>
      <c r="C76" s="596" t="str">
        <f>MONTH(Table_NFI[[#This Row],[Distribution Date]]) &amp; "/" &amp; YEAR(Table_NFI[[#This Row],[Distribution Date]])</f>
        <v>6/2017</v>
      </c>
      <c r="D76" s="588" t="s">
        <v>779</v>
      </c>
      <c r="E76" s="213"/>
      <c r="F76" s="213" t="s">
        <v>378</v>
      </c>
      <c r="G76" s="213" t="s">
        <v>1140</v>
      </c>
      <c r="H76" s="212" t="s">
        <v>1140</v>
      </c>
      <c r="I76" s="591">
        <v>288</v>
      </c>
      <c r="J76" s="592"/>
      <c r="K76" s="592"/>
      <c r="L76" s="592"/>
      <c r="M76" s="592"/>
      <c r="N76" s="592"/>
      <c r="O76" s="592"/>
      <c r="P76" s="592"/>
      <c r="Q76" s="592"/>
      <c r="R76" s="592"/>
      <c r="S76" s="592"/>
      <c r="T76" s="592"/>
      <c r="U76" s="592"/>
      <c r="V76" s="592"/>
      <c r="W76" s="592"/>
      <c r="X76" s="592"/>
      <c r="Y76" s="592"/>
      <c r="Z76" s="592"/>
      <c r="AA76" s="592"/>
      <c r="AB76" s="592"/>
      <c r="AC76" s="593"/>
      <c r="AD76" s="593"/>
      <c r="AE76" s="593"/>
      <c r="AF76" s="593"/>
      <c r="AG76" s="593"/>
      <c r="AH76" s="593"/>
      <c r="AI76" s="593"/>
      <c r="AJ76" s="593"/>
      <c r="AK76" s="593"/>
      <c r="AL76" s="593"/>
      <c r="AM76" s="593"/>
      <c r="AN76" s="593"/>
      <c r="AO76" s="593"/>
      <c r="AP76" s="593">
        <f>IF(Table_NFI[[#This Row],[Winter Clothes Adult]]+Table_NFI[[#This Row],[Winter Clothes Children]]+Table_NFI[[#This Row],[Winter Items Other]]+Table_NFI[[#This Row],[Winter Blanket]]&gt;0,1,0)</f>
        <v>0</v>
      </c>
      <c r="AQ76" s="593"/>
      <c r="AR76" s="593"/>
      <c r="AS76" s="593"/>
      <c r="AT76" s="594" t="str">
        <f>IFERROR(VLOOKUP(Table_NFI[[#This Row],[Location]],CL,2,0),"")</f>
        <v/>
      </c>
      <c r="AU76" s="588" t="s">
        <v>1397</v>
      </c>
      <c r="AV76" s="197"/>
      <c r="DP76" s="578"/>
    </row>
    <row r="77" spans="2:120" ht="18.75" hidden="1" customHeight="1" x14ac:dyDescent="0.25">
      <c r="B77" s="596">
        <v>42903</v>
      </c>
      <c r="C77" s="596" t="str">
        <f>MONTH(Table_NFI[[#This Row],[Distribution Date]]) &amp; "/" &amp; YEAR(Table_NFI[[#This Row],[Distribution Date]])</f>
        <v>6/2017</v>
      </c>
      <c r="D77" s="213" t="s">
        <v>826</v>
      </c>
      <c r="E77" s="213"/>
      <c r="F77" s="213" t="s">
        <v>378</v>
      </c>
      <c r="G77" s="213" t="s">
        <v>1140</v>
      </c>
      <c r="H77" s="212" t="s">
        <v>1140</v>
      </c>
      <c r="I77" s="212"/>
      <c r="J77" s="592"/>
      <c r="K77" s="592"/>
      <c r="L77" s="592"/>
      <c r="M77" s="592"/>
      <c r="N77" s="592">
        <v>255</v>
      </c>
      <c r="O77" s="592">
        <v>255</v>
      </c>
      <c r="P77" s="592">
        <v>255</v>
      </c>
      <c r="Q77" s="592"/>
      <c r="R77" s="592"/>
      <c r="S77" s="592"/>
      <c r="T77" s="592"/>
      <c r="U77" s="592"/>
      <c r="V77" s="592"/>
      <c r="W77" s="592"/>
      <c r="X77" s="592"/>
      <c r="Y77" s="592"/>
      <c r="Z77" s="592"/>
      <c r="AA77" s="592"/>
      <c r="AB77" s="592"/>
      <c r="AC77" s="593"/>
      <c r="AD77" s="593"/>
      <c r="AE77" s="593"/>
      <c r="AF77" s="593"/>
      <c r="AG77" s="593"/>
      <c r="AH77" s="593"/>
      <c r="AI77" s="593"/>
      <c r="AJ77" s="593"/>
      <c r="AK77" s="593"/>
      <c r="AL77" s="593"/>
      <c r="AM77" s="593"/>
      <c r="AN77" s="593"/>
      <c r="AO77" s="593"/>
      <c r="AP77" s="593">
        <f>IF(Table_NFI[[#This Row],[Winter Clothes Adult]]+Table_NFI[[#This Row],[Winter Clothes Children]]+Table_NFI[[#This Row],[Winter Items Other]]+Table_NFI[[#This Row],[Winter Blanket]]&gt;0,1,0)</f>
        <v>0</v>
      </c>
      <c r="AQ77" s="593"/>
      <c r="AR77" s="593"/>
      <c r="AS77" s="593"/>
      <c r="AT77" s="594" t="str">
        <f>IFERROR(VLOOKUP(Table_NFI[[#This Row],[Location]],CL,2,0),"")</f>
        <v/>
      </c>
      <c r="AU77" s="588" t="s">
        <v>1396</v>
      </c>
      <c r="AV77" s="197"/>
      <c r="DP77" s="578"/>
    </row>
    <row r="78" spans="2:120" ht="18.75" hidden="1" customHeight="1" x14ac:dyDescent="0.25">
      <c r="B78" s="590">
        <v>42914</v>
      </c>
      <c r="C78" s="590" t="str">
        <f>MONTH(Table_NFI[[#This Row],[Distribution Date]]) &amp; "/" &amp; YEAR(Table_NFI[[#This Row],[Distribution Date]])</f>
        <v>6/2017</v>
      </c>
      <c r="D78" s="588" t="s">
        <v>1268</v>
      </c>
      <c r="E78" s="588" t="s">
        <v>424</v>
      </c>
      <c r="F78" s="588" t="s">
        <v>378</v>
      </c>
      <c r="G78" s="588" t="s">
        <v>5</v>
      </c>
      <c r="H78" s="588" t="s">
        <v>24</v>
      </c>
      <c r="I78" s="591"/>
      <c r="J78" s="592"/>
      <c r="K78" s="592"/>
      <c r="L78" s="592"/>
      <c r="M78" s="592"/>
      <c r="N78" s="592">
        <v>20</v>
      </c>
      <c r="O78" s="592"/>
      <c r="P78" s="592">
        <v>40</v>
      </c>
      <c r="Q78" s="592">
        <v>20</v>
      </c>
      <c r="R78" s="592"/>
      <c r="S78" s="592"/>
      <c r="T78" s="592">
        <v>20</v>
      </c>
      <c r="U78" s="592"/>
      <c r="V78" s="592"/>
      <c r="W78" s="592"/>
      <c r="X78" s="592"/>
      <c r="Y78" s="592"/>
      <c r="Z78" s="592"/>
      <c r="AA78" s="592"/>
      <c r="AB78" s="592"/>
      <c r="AC78" s="593"/>
      <c r="AD78" s="593"/>
      <c r="AE78" s="593"/>
      <c r="AF78" s="593"/>
      <c r="AG78" s="593"/>
      <c r="AH78" s="593"/>
      <c r="AI78" s="593"/>
      <c r="AJ78" s="593"/>
      <c r="AK78" s="593"/>
      <c r="AL78" s="593"/>
      <c r="AM78" s="593"/>
      <c r="AN78" s="593"/>
      <c r="AO78" s="593"/>
      <c r="AP78" s="593">
        <f>IF(Table_NFI[[#This Row],[Winter Clothes Adult]]+Table_NFI[[#This Row],[Winter Clothes Children]]+Table_NFI[[#This Row],[Winter Items Other]]+Table_NFI[[#This Row],[Winter Blanket]]&gt;0,1,0)</f>
        <v>0</v>
      </c>
      <c r="AQ78" s="593"/>
      <c r="AR78" s="593"/>
      <c r="AS78" s="593"/>
      <c r="AT78" s="594" t="str">
        <f>IFERROR(VLOOKUP(Table_NFI[[#This Row],[Location]],CL,2,0),"")</f>
        <v>MMR001CMP055</v>
      </c>
      <c r="AU78" s="595"/>
      <c r="AV78" s="197"/>
      <c r="DP78" s="578"/>
    </row>
    <row r="79" spans="2:120" ht="18.75" hidden="1" customHeight="1" x14ac:dyDescent="0.25">
      <c r="B79" s="590">
        <v>42915</v>
      </c>
      <c r="C79" s="590" t="str">
        <f>MONTH(Table_NFI[[#This Row],[Distribution Date]]) &amp; "/" &amp; YEAR(Table_NFI[[#This Row],[Distribution Date]])</f>
        <v>6/2017</v>
      </c>
      <c r="D79" s="588" t="s">
        <v>1268</v>
      </c>
      <c r="E79" s="588" t="s">
        <v>424</v>
      </c>
      <c r="F79" s="588" t="s">
        <v>378</v>
      </c>
      <c r="G79" s="588" t="s">
        <v>5</v>
      </c>
      <c r="H79" s="588" t="s">
        <v>20</v>
      </c>
      <c r="I79" s="591"/>
      <c r="J79" s="592"/>
      <c r="K79" s="592"/>
      <c r="L79" s="592"/>
      <c r="M79" s="592"/>
      <c r="N79" s="592"/>
      <c r="O79" s="592"/>
      <c r="P79" s="592"/>
      <c r="Q79" s="592">
        <v>22</v>
      </c>
      <c r="R79" s="592"/>
      <c r="S79" s="592"/>
      <c r="T79" s="592"/>
      <c r="U79" s="592"/>
      <c r="V79" s="592"/>
      <c r="W79" s="592"/>
      <c r="X79" s="592"/>
      <c r="Y79" s="592"/>
      <c r="Z79" s="592"/>
      <c r="AA79" s="592"/>
      <c r="AB79" s="592"/>
      <c r="AC79" s="593"/>
      <c r="AD79" s="593"/>
      <c r="AE79" s="593"/>
      <c r="AF79" s="593"/>
      <c r="AG79" s="593"/>
      <c r="AH79" s="593"/>
      <c r="AI79" s="593"/>
      <c r="AJ79" s="593"/>
      <c r="AK79" s="593"/>
      <c r="AL79" s="593"/>
      <c r="AM79" s="593"/>
      <c r="AN79" s="593"/>
      <c r="AO79" s="593"/>
      <c r="AP79" s="593">
        <f>IF(Table_NFI[[#This Row],[Winter Clothes Adult]]+Table_NFI[[#This Row],[Winter Clothes Children]]+Table_NFI[[#This Row],[Winter Items Other]]+Table_NFI[[#This Row],[Winter Blanket]]&gt;0,1,0)</f>
        <v>0</v>
      </c>
      <c r="AQ79" s="593"/>
      <c r="AR79" s="593"/>
      <c r="AS79" s="593"/>
      <c r="AT79" s="594" t="str">
        <f>IFERROR(VLOOKUP(Table_NFI[[#This Row],[Location]],CL,2,0),"")</f>
        <v>MMR001CMP054</v>
      </c>
      <c r="AU79" s="595"/>
      <c r="AV79" s="197"/>
      <c r="DP79" s="578"/>
    </row>
    <row r="80" spans="2:120" ht="18.75" hidden="1" customHeight="1" x14ac:dyDescent="0.25">
      <c r="B80" s="590">
        <v>42915</v>
      </c>
      <c r="C80" s="590" t="str">
        <f>MONTH(Table_NFI[[#This Row],[Distribution Date]]) &amp; "/" &amp; YEAR(Table_NFI[[#This Row],[Distribution Date]])</f>
        <v>6/2017</v>
      </c>
      <c r="D80" s="588" t="s">
        <v>1268</v>
      </c>
      <c r="E80" s="588" t="s">
        <v>424</v>
      </c>
      <c r="F80" s="588" t="s">
        <v>378</v>
      </c>
      <c r="G80" s="588" t="s">
        <v>5</v>
      </c>
      <c r="H80" s="588" t="s">
        <v>26</v>
      </c>
      <c r="I80" s="591"/>
      <c r="J80" s="592"/>
      <c r="K80" s="592"/>
      <c r="L80" s="592"/>
      <c r="M80" s="592"/>
      <c r="N80" s="592"/>
      <c r="O80" s="592"/>
      <c r="P80" s="592"/>
      <c r="Q80" s="592">
        <v>14</v>
      </c>
      <c r="R80" s="592"/>
      <c r="S80" s="592"/>
      <c r="T80" s="592"/>
      <c r="U80" s="592"/>
      <c r="V80" s="592"/>
      <c r="W80" s="592"/>
      <c r="X80" s="592"/>
      <c r="Y80" s="592"/>
      <c r="Z80" s="592"/>
      <c r="AA80" s="592"/>
      <c r="AB80" s="592"/>
      <c r="AC80" s="593"/>
      <c r="AD80" s="593"/>
      <c r="AE80" s="593"/>
      <c r="AF80" s="593"/>
      <c r="AG80" s="593"/>
      <c r="AH80" s="593"/>
      <c r="AI80" s="593"/>
      <c r="AJ80" s="593"/>
      <c r="AK80" s="593"/>
      <c r="AL80" s="593"/>
      <c r="AM80" s="593"/>
      <c r="AN80" s="593"/>
      <c r="AO80" s="593"/>
      <c r="AP80" s="593">
        <f>IF(Table_NFI[[#This Row],[Winter Clothes Adult]]+Table_NFI[[#This Row],[Winter Clothes Children]]+Table_NFI[[#This Row],[Winter Items Other]]+Table_NFI[[#This Row],[Winter Blanket]]&gt;0,1,0)</f>
        <v>0</v>
      </c>
      <c r="AQ80" s="593"/>
      <c r="AR80" s="593"/>
      <c r="AS80" s="593"/>
      <c r="AT80" s="594" t="str">
        <f>IFERROR(VLOOKUP(Table_NFI[[#This Row],[Location]],CL,2,0),"")</f>
        <v>MMR001CMP053</v>
      </c>
      <c r="AU80" s="595"/>
      <c r="AV80" s="197"/>
      <c r="DP80" s="578"/>
    </row>
    <row r="81" spans="2:120" ht="18.75" hidden="1" customHeight="1" x14ac:dyDescent="0.25">
      <c r="B81" s="597">
        <v>42944</v>
      </c>
      <c r="C81" s="597" t="str">
        <f>MONTH(Table_NFI[[#This Row],[Distribution Date]]) &amp; "/" &amp; YEAR(Table_NFI[[#This Row],[Distribution Date]])</f>
        <v>7/2017</v>
      </c>
      <c r="D81" s="588" t="s">
        <v>420</v>
      </c>
      <c r="E81" s="588" t="s">
        <v>462</v>
      </c>
      <c r="F81" s="588" t="s">
        <v>378</v>
      </c>
      <c r="G81" s="588" t="s">
        <v>237</v>
      </c>
      <c r="H81" s="588" t="s">
        <v>1535</v>
      </c>
      <c r="I81" s="591"/>
      <c r="J81" s="592"/>
      <c r="K81" s="592"/>
      <c r="L81" s="592">
        <v>17</v>
      </c>
      <c r="M81" s="592">
        <v>14</v>
      </c>
      <c r="N81" s="592">
        <v>25</v>
      </c>
      <c r="O81" s="592">
        <v>17</v>
      </c>
      <c r="P81" s="592">
        <v>38</v>
      </c>
      <c r="Q81" s="592">
        <v>17</v>
      </c>
      <c r="R81" s="592"/>
      <c r="S81" s="592">
        <v>17</v>
      </c>
      <c r="T81" s="592">
        <v>26</v>
      </c>
      <c r="U81" s="592"/>
      <c r="V81" s="592"/>
      <c r="W81" s="592"/>
      <c r="X81" s="592"/>
      <c r="Y81" s="592">
        <v>17</v>
      </c>
      <c r="Z81" s="592"/>
      <c r="AA81" s="592"/>
      <c r="AB81" s="592">
        <v>17</v>
      </c>
      <c r="AC81" s="593"/>
      <c r="AD81" s="593"/>
      <c r="AE81" s="593"/>
      <c r="AF81" s="593"/>
      <c r="AG81" s="593"/>
      <c r="AH81" s="593"/>
      <c r="AI81" s="593"/>
      <c r="AJ81" s="593"/>
      <c r="AK81" s="593"/>
      <c r="AL81" s="593"/>
      <c r="AM81" s="593"/>
      <c r="AN81" s="593"/>
      <c r="AO81" s="593"/>
      <c r="AP81" s="593">
        <f>IF(Table_NFI[[#This Row],[Winter Clothes Adult]]+Table_NFI[[#This Row],[Winter Clothes Children]]+Table_NFI[[#This Row],[Winter Items Other]]+Table_NFI[[#This Row],[Winter Blanket]]&gt;0,1,0)</f>
        <v>0</v>
      </c>
      <c r="AQ81" s="593"/>
      <c r="AR81" s="593"/>
      <c r="AS81" s="593"/>
      <c r="AT81" s="594" t="str">
        <f>IFERROR(VLOOKUP(Table_NFI[[#This Row],[Location]],CL,2,0),"")</f>
        <v/>
      </c>
      <c r="AU81" s="595"/>
      <c r="AV81" s="197"/>
      <c r="DP81" s="578"/>
    </row>
    <row r="82" spans="2:120" ht="18.75" hidden="1" customHeight="1" x14ac:dyDescent="0.25">
      <c r="B82" s="597">
        <v>42948</v>
      </c>
      <c r="C82" s="597" t="str">
        <f>MONTH(Table_NFI[[#This Row],[Distribution Date]]) &amp; "/" &amp; YEAR(Table_NFI[[#This Row],[Distribution Date]])</f>
        <v>8/2017</v>
      </c>
      <c r="D82" s="235" t="s">
        <v>1268</v>
      </c>
      <c r="E82" s="213" t="s">
        <v>1268</v>
      </c>
      <c r="F82" s="235" t="s">
        <v>378</v>
      </c>
      <c r="G82" s="212" t="s">
        <v>185</v>
      </c>
      <c r="H82" s="235" t="s">
        <v>190</v>
      </c>
      <c r="I82" s="591"/>
      <c r="J82" s="592"/>
      <c r="K82" s="592"/>
      <c r="L82" s="592"/>
      <c r="M82" s="592"/>
      <c r="N82" s="592"/>
      <c r="O82" s="592">
        <v>2</v>
      </c>
      <c r="P82" s="592"/>
      <c r="Q82" s="592"/>
      <c r="R82" s="592"/>
      <c r="S82" s="592"/>
      <c r="T82" s="592"/>
      <c r="U82" s="592"/>
      <c r="V82" s="592"/>
      <c r="W82" s="592"/>
      <c r="X82" s="592"/>
      <c r="Y82" s="592"/>
      <c r="Z82" s="592"/>
      <c r="AA82" s="592"/>
      <c r="AB82" s="592"/>
      <c r="AC82" s="593"/>
      <c r="AD82" s="593"/>
      <c r="AE82" s="593"/>
      <c r="AF82" s="593"/>
      <c r="AG82" s="593"/>
      <c r="AH82" s="593"/>
      <c r="AI82" s="593"/>
      <c r="AJ82" s="593"/>
      <c r="AK82" s="593"/>
      <c r="AL82" s="593"/>
      <c r="AM82" s="593"/>
      <c r="AN82" s="593"/>
      <c r="AO82" s="593"/>
      <c r="AP82" s="593">
        <f>IF(Table_NFI[[#This Row],[Winter Clothes Adult]]+Table_NFI[[#This Row],[Winter Clothes Children]]+Table_NFI[[#This Row],[Winter Items Other]]+Table_NFI[[#This Row],[Winter Blanket]]&gt;0,1,0)</f>
        <v>0</v>
      </c>
      <c r="AQ82" s="593"/>
      <c r="AR82" s="593"/>
      <c r="AS82" s="593"/>
      <c r="AT82" s="594" t="str">
        <f>IFERROR(VLOOKUP(Table_NFI[[#This Row],[Location]],CL,2,0),"")</f>
        <v>MMR001CMP070</v>
      </c>
      <c r="AU82" s="595"/>
      <c r="AV82" s="197"/>
      <c r="DP82" s="578"/>
    </row>
    <row r="83" spans="2:120" ht="18.75" hidden="1" customHeight="1" x14ac:dyDescent="0.25">
      <c r="B83" s="597">
        <v>42948</v>
      </c>
      <c r="C83" s="597" t="str">
        <f>MONTH(Table_NFI[[#This Row],[Distribution Date]]) &amp; "/" &amp; YEAR(Table_NFI[[#This Row],[Distribution Date]])</f>
        <v>8/2017</v>
      </c>
      <c r="D83" s="235" t="s">
        <v>1268</v>
      </c>
      <c r="E83" s="213" t="s">
        <v>1268</v>
      </c>
      <c r="F83" s="235" t="s">
        <v>378</v>
      </c>
      <c r="G83" s="235" t="s">
        <v>5</v>
      </c>
      <c r="H83" s="235" t="s">
        <v>24</v>
      </c>
      <c r="I83" s="591"/>
      <c r="J83" s="592"/>
      <c r="K83" s="592"/>
      <c r="L83" s="592"/>
      <c r="M83" s="592"/>
      <c r="N83" s="592"/>
      <c r="O83" s="592">
        <v>2</v>
      </c>
      <c r="P83" s="592"/>
      <c r="Q83" s="592"/>
      <c r="R83" s="592"/>
      <c r="S83" s="592"/>
      <c r="T83" s="592"/>
      <c r="U83" s="592"/>
      <c r="V83" s="592"/>
      <c r="W83" s="592"/>
      <c r="X83" s="592"/>
      <c r="Y83" s="592"/>
      <c r="Z83" s="592"/>
      <c r="AA83" s="592"/>
      <c r="AB83" s="592"/>
      <c r="AC83" s="593"/>
      <c r="AD83" s="593"/>
      <c r="AE83" s="593"/>
      <c r="AF83" s="593"/>
      <c r="AG83" s="593"/>
      <c r="AH83" s="593"/>
      <c r="AI83" s="593"/>
      <c r="AJ83" s="593"/>
      <c r="AK83" s="593"/>
      <c r="AL83" s="593"/>
      <c r="AM83" s="593"/>
      <c r="AN83" s="593"/>
      <c r="AO83" s="593"/>
      <c r="AP83" s="593">
        <f>IF(Table_NFI[[#This Row],[Winter Clothes Adult]]+Table_NFI[[#This Row],[Winter Clothes Children]]+Table_NFI[[#This Row],[Winter Items Other]]+Table_NFI[[#This Row],[Winter Blanket]]&gt;0,1,0)</f>
        <v>0</v>
      </c>
      <c r="AQ83" s="593"/>
      <c r="AR83" s="593"/>
      <c r="AS83" s="593"/>
      <c r="AT83" s="594" t="str">
        <f>IFERROR(VLOOKUP(Table_NFI[[#This Row],[Location]],CL,2,0),"")</f>
        <v>MMR001CMP055</v>
      </c>
      <c r="AU83" s="595"/>
      <c r="AV83" s="197"/>
      <c r="DP83" s="578"/>
    </row>
    <row r="84" spans="2:120" ht="18.75" hidden="1" customHeight="1" x14ac:dyDescent="0.25">
      <c r="B84" s="597">
        <v>42954</v>
      </c>
      <c r="C84" s="597" t="str">
        <f>MONTH(Table_NFI[[#This Row],[Distribution Date]]) &amp; "/" &amp; YEAR(Table_NFI[[#This Row],[Distribution Date]])</f>
        <v>8/2017</v>
      </c>
      <c r="D84" s="235" t="s">
        <v>1268</v>
      </c>
      <c r="E84" s="235" t="s">
        <v>424</v>
      </c>
      <c r="F84" s="235" t="s">
        <v>378</v>
      </c>
      <c r="G84" s="213" t="s">
        <v>301</v>
      </c>
      <c r="H84" s="235" t="s">
        <v>1541</v>
      </c>
      <c r="I84" s="591"/>
      <c r="J84" s="592"/>
      <c r="K84" s="592"/>
      <c r="L84" s="592"/>
      <c r="M84" s="592"/>
      <c r="N84" s="592">
        <v>60</v>
      </c>
      <c r="O84" s="592">
        <v>10</v>
      </c>
      <c r="P84" s="592">
        <v>60</v>
      </c>
      <c r="Q84" s="592"/>
      <c r="R84" s="592">
        <v>60</v>
      </c>
      <c r="S84" s="592">
        <v>30</v>
      </c>
      <c r="T84" s="592">
        <v>60</v>
      </c>
      <c r="U84" s="592"/>
      <c r="V84" s="592"/>
      <c r="W84" s="592"/>
      <c r="X84" s="592"/>
      <c r="Y84" s="592"/>
      <c r="Z84" s="592">
        <v>60</v>
      </c>
      <c r="AA84" s="592"/>
      <c r="AB84" s="592"/>
      <c r="AC84" s="593"/>
      <c r="AD84" s="593"/>
      <c r="AE84" s="593"/>
      <c r="AF84" s="593"/>
      <c r="AG84" s="593"/>
      <c r="AH84" s="593"/>
      <c r="AI84" s="593"/>
      <c r="AJ84" s="593"/>
      <c r="AK84" s="593"/>
      <c r="AL84" s="593"/>
      <c r="AM84" s="593"/>
      <c r="AN84" s="593"/>
      <c r="AO84" s="593"/>
      <c r="AP84" s="593">
        <f>IF(Table_NFI[[#This Row],[Winter Clothes Adult]]+Table_NFI[[#This Row],[Winter Clothes Children]]+Table_NFI[[#This Row],[Winter Items Other]]+Table_NFI[[#This Row],[Winter Blanket]]&gt;0,1,0)</f>
        <v>0</v>
      </c>
      <c r="AQ84" s="593"/>
      <c r="AR84" s="593"/>
      <c r="AS84" s="593"/>
      <c r="AT84" s="594" t="str">
        <f>IFERROR(VLOOKUP(Table_NFI[[#This Row],[Location]],CL,2,0),"")</f>
        <v/>
      </c>
      <c r="AU84" s="595"/>
      <c r="AV84" s="197"/>
      <c r="DP84" s="578"/>
    </row>
    <row r="85" spans="2:120" ht="18.75" hidden="1" customHeight="1" x14ac:dyDescent="0.25">
      <c r="B85" s="590">
        <v>42962</v>
      </c>
      <c r="C85" s="590" t="str">
        <f>MONTH(Table_NFI[[#This Row],[Distribution Date]]) &amp; "/" &amp; YEAR(Table_NFI[[#This Row],[Distribution Date]])</f>
        <v>8/2017</v>
      </c>
      <c r="D85" s="588" t="s">
        <v>1398</v>
      </c>
      <c r="E85" s="212" t="s">
        <v>1398</v>
      </c>
      <c r="F85" s="588" t="s">
        <v>378</v>
      </c>
      <c r="G85" s="213" t="s">
        <v>301</v>
      </c>
      <c r="H85" s="588" t="s">
        <v>1550</v>
      </c>
      <c r="I85" s="591"/>
      <c r="J85" s="592"/>
      <c r="K85" s="592"/>
      <c r="L85" s="592"/>
      <c r="M85" s="592"/>
      <c r="N85" s="592">
        <v>10</v>
      </c>
      <c r="O85" s="592"/>
      <c r="P85" s="592">
        <v>10</v>
      </c>
      <c r="Q85" s="592">
        <v>5</v>
      </c>
      <c r="R85" s="592"/>
      <c r="S85" s="592"/>
      <c r="T85" s="592">
        <v>10</v>
      </c>
      <c r="U85" s="592"/>
      <c r="V85" s="592"/>
      <c r="W85" s="592"/>
      <c r="X85" s="592"/>
      <c r="Y85" s="592"/>
      <c r="Z85" s="592"/>
      <c r="AA85" s="592"/>
      <c r="AB85" s="592"/>
      <c r="AC85" s="593"/>
      <c r="AD85" s="593"/>
      <c r="AE85" s="593"/>
      <c r="AF85" s="593"/>
      <c r="AG85" s="593"/>
      <c r="AH85" s="593"/>
      <c r="AI85" s="593"/>
      <c r="AJ85" s="593"/>
      <c r="AK85" s="593"/>
      <c r="AL85" s="593"/>
      <c r="AM85" s="593"/>
      <c r="AN85" s="593"/>
      <c r="AO85" s="593"/>
      <c r="AP85" s="593">
        <f>IF(Table_NFI[[#This Row],[Winter Clothes Adult]]+Table_NFI[[#This Row],[Winter Clothes Children]]+Table_NFI[[#This Row],[Winter Items Other]]+Table_NFI[[#This Row],[Winter Blanket]]&gt;0,1,0)</f>
        <v>0</v>
      </c>
      <c r="AQ85" s="593"/>
      <c r="AR85" s="593"/>
      <c r="AS85" s="593"/>
      <c r="AT85" s="594" t="str">
        <f>IFERROR(VLOOKUP(Table_NFI[[#This Row],[Location]],CL,2,0),"")</f>
        <v/>
      </c>
      <c r="AU85" s="595"/>
      <c r="AV85" s="197"/>
      <c r="DP85" s="578"/>
    </row>
    <row r="86" spans="2:120" ht="18.75" hidden="1" customHeight="1" x14ac:dyDescent="0.25">
      <c r="B86" s="590">
        <v>42962</v>
      </c>
      <c r="C86" s="590" t="str">
        <f>MONTH(Table_NFI[[#This Row],[Distribution Date]]) &amp; "/" &amp; YEAR(Table_NFI[[#This Row],[Distribution Date]])</f>
        <v>8/2017</v>
      </c>
      <c r="D86" s="588" t="s">
        <v>1398</v>
      </c>
      <c r="E86" s="212" t="s">
        <v>1398</v>
      </c>
      <c r="F86" s="588" t="s">
        <v>378</v>
      </c>
      <c r="G86" s="213" t="s">
        <v>301</v>
      </c>
      <c r="H86" s="588" t="s">
        <v>1549</v>
      </c>
      <c r="I86" s="591"/>
      <c r="J86" s="592"/>
      <c r="K86" s="592"/>
      <c r="L86" s="592"/>
      <c r="M86" s="592"/>
      <c r="N86" s="592">
        <v>4</v>
      </c>
      <c r="O86" s="592"/>
      <c r="P86" s="592">
        <v>4</v>
      </c>
      <c r="Q86" s="592">
        <v>2</v>
      </c>
      <c r="R86" s="592"/>
      <c r="S86" s="592"/>
      <c r="T86" s="592">
        <v>4</v>
      </c>
      <c r="U86" s="592"/>
      <c r="V86" s="592"/>
      <c r="W86" s="592"/>
      <c r="X86" s="592"/>
      <c r="Y86" s="592"/>
      <c r="Z86" s="592"/>
      <c r="AA86" s="592"/>
      <c r="AB86" s="592"/>
      <c r="AC86" s="593"/>
      <c r="AD86" s="593"/>
      <c r="AE86" s="593"/>
      <c r="AF86" s="593"/>
      <c r="AG86" s="593"/>
      <c r="AH86" s="593"/>
      <c r="AI86" s="593"/>
      <c r="AJ86" s="593"/>
      <c r="AK86" s="593"/>
      <c r="AL86" s="593"/>
      <c r="AM86" s="593"/>
      <c r="AN86" s="593"/>
      <c r="AO86" s="593"/>
      <c r="AP86" s="593">
        <f>IF(Table_NFI[[#This Row],[Winter Clothes Adult]]+Table_NFI[[#This Row],[Winter Clothes Children]]+Table_NFI[[#This Row],[Winter Items Other]]+Table_NFI[[#This Row],[Winter Blanket]]&gt;0,1,0)</f>
        <v>0</v>
      </c>
      <c r="AQ86" s="593"/>
      <c r="AR86" s="593"/>
      <c r="AS86" s="593"/>
      <c r="AT86" s="594" t="str">
        <f>IFERROR(VLOOKUP(Table_NFI[[#This Row],[Location]],CL,2,0),"")</f>
        <v/>
      </c>
      <c r="AU86" s="595"/>
      <c r="AV86" s="197"/>
      <c r="DP86" s="578"/>
    </row>
    <row r="87" spans="2:120" ht="18.75" hidden="1" customHeight="1" x14ac:dyDescent="0.25">
      <c r="B87" s="597">
        <v>42962</v>
      </c>
      <c r="C87" s="597" t="str">
        <f>MONTH(Table_NFI[[#This Row],[Distribution Date]]) &amp; "/" &amp; YEAR(Table_NFI[[#This Row],[Distribution Date]])</f>
        <v>8/2017</v>
      </c>
      <c r="D87" s="235" t="s">
        <v>1268</v>
      </c>
      <c r="E87" s="235" t="s">
        <v>1268</v>
      </c>
      <c r="F87" s="213" t="s">
        <v>378</v>
      </c>
      <c r="G87" s="213" t="s">
        <v>151</v>
      </c>
      <c r="H87" s="235" t="s">
        <v>812</v>
      </c>
      <c r="I87" s="591"/>
      <c r="J87" s="592"/>
      <c r="K87" s="592"/>
      <c r="L87" s="592"/>
      <c r="M87" s="592"/>
      <c r="N87" s="592"/>
      <c r="O87" s="592"/>
      <c r="P87" s="592"/>
      <c r="Q87" s="592"/>
      <c r="R87" s="592"/>
      <c r="S87" s="592"/>
      <c r="T87" s="592"/>
      <c r="U87" s="592"/>
      <c r="V87" s="592"/>
      <c r="W87" s="592"/>
      <c r="X87" s="592"/>
      <c r="Y87" s="592"/>
      <c r="Z87" s="592">
        <v>166</v>
      </c>
      <c r="AA87" s="592"/>
      <c r="AB87" s="592"/>
      <c r="AC87" s="593"/>
      <c r="AD87" s="593"/>
      <c r="AE87" s="593"/>
      <c r="AF87" s="593"/>
      <c r="AG87" s="593"/>
      <c r="AH87" s="593"/>
      <c r="AI87" s="593"/>
      <c r="AJ87" s="593"/>
      <c r="AK87" s="593"/>
      <c r="AL87" s="593"/>
      <c r="AM87" s="593"/>
      <c r="AN87" s="593"/>
      <c r="AO87" s="593"/>
      <c r="AP87" s="593">
        <f>IF(Table_NFI[[#This Row],[Winter Clothes Adult]]+Table_NFI[[#This Row],[Winter Clothes Children]]+Table_NFI[[#This Row],[Winter Items Other]]+Table_NFI[[#This Row],[Winter Blanket]]&gt;0,1,0)</f>
        <v>0</v>
      </c>
      <c r="AQ87" s="593"/>
      <c r="AR87" s="593"/>
      <c r="AS87" s="593"/>
      <c r="AT87" s="594" t="str">
        <f>IFERROR(VLOOKUP(Table_NFI[[#This Row],[Location]],CL,2,0),"")</f>
        <v>MMR001CMP218</v>
      </c>
      <c r="AU87" s="595"/>
      <c r="AV87" s="197"/>
      <c r="DP87" s="578"/>
    </row>
    <row r="88" spans="2:120" ht="18.75" hidden="1" customHeight="1" x14ac:dyDescent="0.25">
      <c r="B88" s="597">
        <v>42962</v>
      </c>
      <c r="C88" s="597" t="str">
        <f>MONTH(Table_NFI[[#This Row],[Distribution Date]]) &amp; "/" &amp; YEAR(Table_NFI[[#This Row],[Distribution Date]])</f>
        <v>8/2017</v>
      </c>
      <c r="D88" s="235" t="s">
        <v>1268</v>
      </c>
      <c r="E88" s="235" t="s">
        <v>1268</v>
      </c>
      <c r="F88" s="235" t="s">
        <v>378</v>
      </c>
      <c r="G88" s="213" t="s">
        <v>151</v>
      </c>
      <c r="H88" s="235" t="s">
        <v>1540</v>
      </c>
      <c r="I88" s="591"/>
      <c r="J88" s="592"/>
      <c r="K88" s="592"/>
      <c r="L88" s="592"/>
      <c r="M88" s="592"/>
      <c r="N88" s="592"/>
      <c r="O88" s="592"/>
      <c r="P88" s="592"/>
      <c r="Q88" s="592"/>
      <c r="R88" s="592"/>
      <c r="S88" s="592"/>
      <c r="T88" s="592"/>
      <c r="U88" s="592"/>
      <c r="V88" s="592"/>
      <c r="W88" s="592"/>
      <c r="X88" s="592"/>
      <c r="Y88" s="592"/>
      <c r="Z88" s="592">
        <v>64</v>
      </c>
      <c r="AA88" s="592"/>
      <c r="AB88" s="592"/>
      <c r="AC88" s="593"/>
      <c r="AD88" s="593"/>
      <c r="AE88" s="593"/>
      <c r="AF88" s="593"/>
      <c r="AG88" s="593"/>
      <c r="AH88" s="593"/>
      <c r="AI88" s="593"/>
      <c r="AJ88" s="593"/>
      <c r="AK88" s="593"/>
      <c r="AL88" s="593"/>
      <c r="AM88" s="593"/>
      <c r="AN88" s="593"/>
      <c r="AO88" s="593"/>
      <c r="AP88" s="593">
        <f>IF(Table_NFI[[#This Row],[Winter Clothes Adult]]+Table_NFI[[#This Row],[Winter Clothes Children]]+Table_NFI[[#This Row],[Winter Items Other]]+Table_NFI[[#This Row],[Winter Blanket]]&gt;0,1,0)</f>
        <v>0</v>
      </c>
      <c r="AQ88" s="593"/>
      <c r="AR88" s="593"/>
      <c r="AS88" s="593"/>
      <c r="AT88" s="594" t="str">
        <f>IFERROR(VLOOKUP(Table_NFI[[#This Row],[Location]],CL,2,0),"")</f>
        <v/>
      </c>
      <c r="AU88" s="595"/>
      <c r="AV88" s="197"/>
      <c r="DP88" s="578"/>
    </row>
    <row r="89" spans="2:120" ht="18.75" hidden="1" customHeight="1" x14ac:dyDescent="0.25">
      <c r="B89" s="590">
        <v>42963</v>
      </c>
      <c r="C89" s="590" t="str">
        <f>MONTH(Table_NFI[[#This Row],[Distribution Date]]) &amp; "/" &amp; YEAR(Table_NFI[[#This Row],[Distribution Date]])</f>
        <v>8/2017</v>
      </c>
      <c r="D89" s="588" t="s">
        <v>1398</v>
      </c>
      <c r="E89" s="212" t="s">
        <v>1398</v>
      </c>
      <c r="F89" s="588" t="s">
        <v>378</v>
      </c>
      <c r="G89" s="213" t="s">
        <v>301</v>
      </c>
      <c r="H89" s="588" t="s">
        <v>1548</v>
      </c>
      <c r="I89" s="591"/>
      <c r="J89" s="592"/>
      <c r="K89" s="592"/>
      <c r="L89" s="592"/>
      <c r="M89" s="592"/>
      <c r="N89" s="592">
        <v>14</v>
      </c>
      <c r="O89" s="592"/>
      <c r="P89" s="592">
        <v>14</v>
      </c>
      <c r="Q89" s="592">
        <v>7</v>
      </c>
      <c r="R89" s="592"/>
      <c r="S89" s="592"/>
      <c r="T89" s="592">
        <v>14</v>
      </c>
      <c r="U89" s="592"/>
      <c r="V89" s="592"/>
      <c r="W89" s="592"/>
      <c r="X89" s="592"/>
      <c r="Y89" s="592"/>
      <c r="Z89" s="592"/>
      <c r="AA89" s="592"/>
      <c r="AB89" s="592"/>
      <c r="AC89" s="593"/>
      <c r="AD89" s="593"/>
      <c r="AE89" s="593"/>
      <c r="AF89" s="593"/>
      <c r="AG89" s="593"/>
      <c r="AH89" s="593"/>
      <c r="AI89" s="593"/>
      <c r="AJ89" s="593"/>
      <c r="AK89" s="593"/>
      <c r="AL89" s="593"/>
      <c r="AM89" s="593"/>
      <c r="AN89" s="593"/>
      <c r="AO89" s="593"/>
      <c r="AP89" s="593">
        <f>IF(Table_NFI[[#This Row],[Winter Clothes Adult]]+Table_NFI[[#This Row],[Winter Clothes Children]]+Table_NFI[[#This Row],[Winter Items Other]]+Table_NFI[[#This Row],[Winter Blanket]]&gt;0,1,0)</f>
        <v>0</v>
      </c>
      <c r="AQ89" s="593"/>
      <c r="AR89" s="593"/>
      <c r="AS89" s="593"/>
      <c r="AT89" s="594" t="str">
        <f>IFERROR(VLOOKUP(Table_NFI[[#This Row],[Location]],CL,2,0),"")</f>
        <v/>
      </c>
      <c r="AU89" s="595"/>
      <c r="AV89" s="197"/>
      <c r="DP89" s="578"/>
    </row>
    <row r="90" spans="2:120" ht="18.75" hidden="1" customHeight="1" x14ac:dyDescent="0.25">
      <c r="B90" s="590">
        <v>42963</v>
      </c>
      <c r="C90" s="590" t="str">
        <f>MONTH(Table_NFI[[#This Row],[Distribution Date]]) &amp; "/" &amp; YEAR(Table_NFI[[#This Row],[Distribution Date]])</f>
        <v>8/2017</v>
      </c>
      <c r="D90" s="588" t="s">
        <v>1398</v>
      </c>
      <c r="E90" s="212" t="s">
        <v>1398</v>
      </c>
      <c r="F90" s="588" t="s">
        <v>378</v>
      </c>
      <c r="G90" s="213" t="s">
        <v>301</v>
      </c>
      <c r="H90" s="588" t="s">
        <v>1547</v>
      </c>
      <c r="I90" s="591"/>
      <c r="J90" s="592"/>
      <c r="K90" s="592"/>
      <c r="L90" s="592"/>
      <c r="M90" s="592"/>
      <c r="N90" s="592">
        <v>8</v>
      </c>
      <c r="O90" s="592"/>
      <c r="P90" s="592">
        <v>8</v>
      </c>
      <c r="Q90" s="592">
        <v>4</v>
      </c>
      <c r="R90" s="592"/>
      <c r="S90" s="592"/>
      <c r="T90" s="592">
        <v>8</v>
      </c>
      <c r="U90" s="592"/>
      <c r="V90" s="592"/>
      <c r="W90" s="592"/>
      <c r="X90" s="592"/>
      <c r="Y90" s="592"/>
      <c r="Z90" s="592"/>
      <c r="AA90" s="592"/>
      <c r="AB90" s="592"/>
      <c r="AC90" s="593"/>
      <c r="AD90" s="593"/>
      <c r="AE90" s="593"/>
      <c r="AF90" s="593"/>
      <c r="AG90" s="593"/>
      <c r="AH90" s="593"/>
      <c r="AI90" s="593"/>
      <c r="AJ90" s="593"/>
      <c r="AK90" s="593"/>
      <c r="AL90" s="593"/>
      <c r="AM90" s="593"/>
      <c r="AN90" s="593"/>
      <c r="AO90" s="593"/>
      <c r="AP90" s="593">
        <f>IF(Table_NFI[[#This Row],[Winter Clothes Adult]]+Table_NFI[[#This Row],[Winter Clothes Children]]+Table_NFI[[#This Row],[Winter Items Other]]+Table_NFI[[#This Row],[Winter Blanket]]&gt;0,1,0)</f>
        <v>0</v>
      </c>
      <c r="AQ90" s="593"/>
      <c r="AR90" s="593"/>
      <c r="AS90" s="593"/>
      <c r="AT90" s="594" t="str">
        <f>IFERROR(VLOOKUP(Table_NFI[[#This Row],[Location]],CL,2,0),"")</f>
        <v/>
      </c>
      <c r="AU90" s="595"/>
      <c r="AV90" s="197"/>
      <c r="DP90" s="578"/>
    </row>
    <row r="91" spans="2:120" ht="18.75" hidden="1" customHeight="1" x14ac:dyDescent="0.25">
      <c r="B91" s="590">
        <v>42963</v>
      </c>
      <c r="C91" s="590" t="str">
        <f>MONTH(Table_NFI[[#This Row],[Distribution Date]]) &amp; "/" &amp; YEAR(Table_NFI[[#This Row],[Distribution Date]])</f>
        <v>8/2017</v>
      </c>
      <c r="D91" s="588" t="s">
        <v>1398</v>
      </c>
      <c r="E91" s="212" t="s">
        <v>1398</v>
      </c>
      <c r="F91" s="588" t="s">
        <v>378</v>
      </c>
      <c r="G91" s="588" t="s">
        <v>5</v>
      </c>
      <c r="H91" s="588" t="s">
        <v>1545</v>
      </c>
      <c r="I91" s="591"/>
      <c r="J91" s="592"/>
      <c r="K91" s="592"/>
      <c r="L91" s="592"/>
      <c r="M91" s="592"/>
      <c r="N91" s="592">
        <v>12</v>
      </c>
      <c r="O91" s="592"/>
      <c r="P91" s="592">
        <v>12</v>
      </c>
      <c r="Q91" s="592">
        <v>6</v>
      </c>
      <c r="R91" s="592"/>
      <c r="S91" s="592"/>
      <c r="T91" s="592">
        <v>12</v>
      </c>
      <c r="U91" s="592"/>
      <c r="V91" s="592"/>
      <c r="W91" s="592"/>
      <c r="X91" s="592"/>
      <c r="Y91" s="592"/>
      <c r="Z91" s="592"/>
      <c r="AA91" s="592"/>
      <c r="AB91" s="592"/>
      <c r="AC91" s="593"/>
      <c r="AD91" s="593"/>
      <c r="AE91" s="593"/>
      <c r="AF91" s="593"/>
      <c r="AG91" s="593"/>
      <c r="AH91" s="593"/>
      <c r="AI91" s="593"/>
      <c r="AJ91" s="593"/>
      <c r="AK91" s="593"/>
      <c r="AL91" s="593"/>
      <c r="AM91" s="593"/>
      <c r="AN91" s="593"/>
      <c r="AO91" s="593"/>
      <c r="AP91" s="593">
        <f>IF(Table_NFI[[#This Row],[Winter Clothes Adult]]+Table_NFI[[#This Row],[Winter Clothes Children]]+Table_NFI[[#This Row],[Winter Items Other]]+Table_NFI[[#This Row],[Winter Blanket]]&gt;0,1,0)</f>
        <v>0</v>
      </c>
      <c r="AQ91" s="593"/>
      <c r="AR91" s="593"/>
      <c r="AS91" s="593"/>
      <c r="AT91" s="594" t="str">
        <f>IFERROR(VLOOKUP(Table_NFI[[#This Row],[Location]],CL,2,0),"")</f>
        <v/>
      </c>
      <c r="AU91" s="595"/>
      <c r="AV91" s="197"/>
      <c r="DP91" s="578"/>
    </row>
    <row r="92" spans="2:120" ht="18.75" hidden="1" customHeight="1" x14ac:dyDescent="0.25">
      <c r="B92" s="590">
        <v>42963</v>
      </c>
      <c r="C92" s="590" t="str">
        <f>MONTH(Table_NFI[[#This Row],[Distribution Date]]) &amp; "/" &amp; YEAR(Table_NFI[[#This Row],[Distribution Date]])</f>
        <v>8/2017</v>
      </c>
      <c r="D92" s="588" t="s">
        <v>1398</v>
      </c>
      <c r="E92" s="212" t="s">
        <v>1398</v>
      </c>
      <c r="F92" s="588" t="s">
        <v>378</v>
      </c>
      <c r="G92" s="588" t="s">
        <v>5</v>
      </c>
      <c r="H92" s="588" t="s">
        <v>583</v>
      </c>
      <c r="I92" s="591"/>
      <c r="J92" s="592"/>
      <c r="K92" s="592"/>
      <c r="L92" s="592"/>
      <c r="M92" s="592"/>
      <c r="N92" s="592">
        <v>68</v>
      </c>
      <c r="O92" s="592"/>
      <c r="P92" s="592">
        <v>68</v>
      </c>
      <c r="Q92" s="592">
        <v>34</v>
      </c>
      <c r="R92" s="592"/>
      <c r="S92" s="592"/>
      <c r="T92" s="592">
        <v>68</v>
      </c>
      <c r="U92" s="592"/>
      <c r="V92" s="592"/>
      <c r="W92" s="592"/>
      <c r="X92" s="592"/>
      <c r="Y92" s="592"/>
      <c r="Z92" s="592"/>
      <c r="AA92" s="592"/>
      <c r="AB92" s="592"/>
      <c r="AC92" s="593"/>
      <c r="AD92" s="593"/>
      <c r="AE92" s="593"/>
      <c r="AF92" s="593"/>
      <c r="AG92" s="593"/>
      <c r="AH92" s="593"/>
      <c r="AI92" s="593"/>
      <c r="AJ92" s="593"/>
      <c r="AK92" s="593"/>
      <c r="AL92" s="593"/>
      <c r="AM92" s="593"/>
      <c r="AN92" s="593"/>
      <c r="AO92" s="593"/>
      <c r="AP92" s="593">
        <f>IF(Table_NFI[[#This Row],[Winter Clothes Adult]]+Table_NFI[[#This Row],[Winter Clothes Children]]+Table_NFI[[#This Row],[Winter Items Other]]+Table_NFI[[#This Row],[Winter Blanket]]&gt;0,1,0)</f>
        <v>0</v>
      </c>
      <c r="AQ92" s="593"/>
      <c r="AR92" s="593"/>
      <c r="AS92" s="593"/>
      <c r="AT92" s="594" t="str">
        <f>IFERROR(VLOOKUP(Table_NFI[[#This Row],[Location]],CL,2,0),"")</f>
        <v/>
      </c>
      <c r="AU92" s="595"/>
      <c r="AV92" s="197"/>
      <c r="DP92" s="578"/>
    </row>
    <row r="93" spans="2:120" ht="18.75" hidden="1" customHeight="1" x14ac:dyDescent="0.25">
      <c r="B93" s="590">
        <v>42963</v>
      </c>
      <c r="C93" s="590" t="str">
        <f>MONTH(Table_NFI[[#This Row],[Distribution Date]]) &amp; "/" &amp; YEAR(Table_NFI[[#This Row],[Distribution Date]])</f>
        <v>8/2017</v>
      </c>
      <c r="D93" s="588" t="s">
        <v>1398</v>
      </c>
      <c r="E93" s="212" t="s">
        <v>1398</v>
      </c>
      <c r="F93" s="588" t="s">
        <v>378</v>
      </c>
      <c r="G93" s="588" t="s">
        <v>5</v>
      </c>
      <c r="H93" s="588" t="s">
        <v>1544</v>
      </c>
      <c r="I93" s="591"/>
      <c r="J93" s="592"/>
      <c r="K93" s="592"/>
      <c r="L93" s="592"/>
      <c r="M93" s="592"/>
      <c r="N93" s="592">
        <v>166</v>
      </c>
      <c r="O93" s="592"/>
      <c r="P93" s="592">
        <v>166</v>
      </c>
      <c r="Q93" s="592">
        <v>83</v>
      </c>
      <c r="R93" s="592"/>
      <c r="S93" s="592"/>
      <c r="T93" s="592">
        <v>166</v>
      </c>
      <c r="U93" s="592"/>
      <c r="V93" s="592"/>
      <c r="W93" s="592"/>
      <c r="X93" s="592"/>
      <c r="Y93" s="592"/>
      <c r="Z93" s="592"/>
      <c r="AA93" s="592"/>
      <c r="AB93" s="592"/>
      <c r="AC93" s="593"/>
      <c r="AD93" s="593"/>
      <c r="AE93" s="593"/>
      <c r="AF93" s="593"/>
      <c r="AG93" s="593"/>
      <c r="AH93" s="593"/>
      <c r="AI93" s="593"/>
      <c r="AJ93" s="593"/>
      <c r="AK93" s="593"/>
      <c r="AL93" s="593"/>
      <c r="AM93" s="593"/>
      <c r="AN93" s="593"/>
      <c r="AO93" s="593"/>
      <c r="AP93" s="593">
        <f>IF(Table_NFI[[#This Row],[Winter Clothes Adult]]+Table_NFI[[#This Row],[Winter Clothes Children]]+Table_NFI[[#This Row],[Winter Items Other]]+Table_NFI[[#This Row],[Winter Blanket]]&gt;0,1,0)</f>
        <v>0</v>
      </c>
      <c r="AQ93" s="593"/>
      <c r="AR93" s="593"/>
      <c r="AS93" s="593"/>
      <c r="AT93" s="594" t="str">
        <f>IFERROR(VLOOKUP(Table_NFI[[#This Row],[Location]],CL,2,0),"")</f>
        <v/>
      </c>
      <c r="AU93" s="595"/>
      <c r="AV93" s="197"/>
      <c r="DP93" s="578"/>
    </row>
    <row r="94" spans="2:120" ht="18.75" hidden="1" customHeight="1" x14ac:dyDescent="0.25">
      <c r="B94" s="597">
        <v>42966</v>
      </c>
      <c r="C94" s="597" t="str">
        <f>MONTH(Table_NFI[[#This Row],[Distribution Date]]) &amp; "/" &amp; YEAR(Table_NFI[[#This Row],[Distribution Date]])</f>
        <v>8/2017</v>
      </c>
      <c r="D94" s="588" t="s">
        <v>1398</v>
      </c>
      <c r="E94" s="212" t="s">
        <v>1398</v>
      </c>
      <c r="F94" s="235" t="s">
        <v>378</v>
      </c>
      <c r="G94" s="235" t="s">
        <v>5</v>
      </c>
      <c r="H94" s="235" t="s">
        <v>12</v>
      </c>
      <c r="I94" s="197"/>
      <c r="J94" s="585">
        <v>131</v>
      </c>
      <c r="K94" s="585"/>
      <c r="L94" s="585">
        <v>141</v>
      </c>
      <c r="M94" s="592"/>
      <c r="N94" s="592"/>
      <c r="O94" s="592"/>
      <c r="P94" s="592"/>
      <c r="Q94" s="592"/>
      <c r="R94" s="592"/>
      <c r="S94" s="592"/>
      <c r="T94" s="592"/>
      <c r="U94" s="592"/>
      <c r="V94" s="592"/>
      <c r="W94" s="592"/>
      <c r="X94" s="592"/>
      <c r="Y94" s="592"/>
      <c r="Z94" s="592"/>
      <c r="AA94" s="592"/>
      <c r="AB94" s="592"/>
      <c r="AC94" s="593"/>
      <c r="AD94" s="593"/>
      <c r="AE94" s="593"/>
      <c r="AF94" s="593"/>
      <c r="AG94" s="593"/>
      <c r="AH94" s="593"/>
      <c r="AI94" s="593"/>
      <c r="AJ94" s="593"/>
      <c r="AK94" s="593"/>
      <c r="AL94" s="593"/>
      <c r="AM94" s="593"/>
      <c r="AN94" s="593"/>
      <c r="AO94" s="593"/>
      <c r="AP94" s="593">
        <f>IF(Table_NFI[[#This Row],[Winter Clothes Adult]]+Table_NFI[[#This Row],[Winter Clothes Children]]+Table_NFI[[#This Row],[Winter Items Other]]+Table_NFI[[#This Row],[Winter Blanket]]&gt;0,1,0)</f>
        <v>0</v>
      </c>
      <c r="AQ94" s="593"/>
      <c r="AR94" s="593"/>
      <c r="AS94" s="593"/>
      <c r="AT94" s="594" t="str">
        <f>IFERROR(VLOOKUP(Table_NFI[[#This Row],[Location]],CL,2,0),"")</f>
        <v>MMR001CMP163</v>
      </c>
      <c r="AU94" s="595"/>
      <c r="AV94" s="197"/>
      <c r="DP94" s="578"/>
    </row>
    <row r="95" spans="2:120" ht="18.75" hidden="1" customHeight="1" x14ac:dyDescent="0.25">
      <c r="B95" s="597">
        <v>42976</v>
      </c>
      <c r="C95" s="597" t="str">
        <f>MONTH(Table_NFI[[#This Row],[Distribution Date]]) &amp; "/" &amp; YEAR(Table_NFI[[#This Row],[Distribution Date]])</f>
        <v>8/2017</v>
      </c>
      <c r="D95" s="588" t="s">
        <v>1398</v>
      </c>
      <c r="E95" s="212" t="s">
        <v>1398</v>
      </c>
      <c r="F95" s="235" t="s">
        <v>378</v>
      </c>
      <c r="G95" s="235" t="s">
        <v>237</v>
      </c>
      <c r="H95" s="235" t="s">
        <v>1539</v>
      </c>
      <c r="I95" s="197"/>
      <c r="J95" s="585">
        <v>29</v>
      </c>
      <c r="K95" s="585"/>
      <c r="L95" s="592"/>
      <c r="M95" s="592"/>
      <c r="N95" s="592"/>
      <c r="O95" s="592"/>
      <c r="P95" s="592"/>
      <c r="Q95" s="592"/>
      <c r="R95" s="592"/>
      <c r="S95" s="592"/>
      <c r="T95" s="592"/>
      <c r="U95" s="592"/>
      <c r="V95" s="592"/>
      <c r="W95" s="592"/>
      <c r="X95" s="592"/>
      <c r="Y95" s="592"/>
      <c r="Z95" s="592"/>
      <c r="AA95" s="592"/>
      <c r="AB95" s="592"/>
      <c r="AC95" s="593"/>
      <c r="AD95" s="593"/>
      <c r="AE95" s="593"/>
      <c r="AF95" s="593"/>
      <c r="AG95" s="593"/>
      <c r="AH95" s="593"/>
      <c r="AI95" s="593"/>
      <c r="AJ95" s="593"/>
      <c r="AK95" s="593"/>
      <c r="AL95" s="593"/>
      <c r="AM95" s="593"/>
      <c r="AN95" s="593"/>
      <c r="AO95" s="593"/>
      <c r="AP95" s="593">
        <f>IF(Table_NFI[[#This Row],[Winter Clothes Adult]]+Table_NFI[[#This Row],[Winter Clothes Children]]+Table_NFI[[#This Row],[Winter Items Other]]+Table_NFI[[#This Row],[Winter Blanket]]&gt;0,1,0)</f>
        <v>0</v>
      </c>
      <c r="AQ95" s="593"/>
      <c r="AR95" s="593"/>
      <c r="AS95" s="593"/>
      <c r="AT95" s="594" t="str">
        <f>IFERROR(VLOOKUP(Table_NFI[[#This Row],[Location]],CL,2,0),"")</f>
        <v/>
      </c>
      <c r="AU95" s="595"/>
      <c r="AV95" s="197"/>
      <c r="DP95" s="578"/>
    </row>
    <row r="96" spans="2:120" ht="18.75" hidden="1" customHeight="1" x14ac:dyDescent="0.25">
      <c r="B96" s="590">
        <v>42985</v>
      </c>
      <c r="C96" s="590" t="str">
        <f>MONTH(Table_NFI[[#This Row],[Distribution Date]]) &amp; "/" &amp; YEAR(Table_NFI[[#This Row],[Distribution Date]])</f>
        <v>9/2017</v>
      </c>
      <c r="D96" s="588" t="s">
        <v>420</v>
      </c>
      <c r="E96" s="588" t="s">
        <v>1629</v>
      </c>
      <c r="F96" s="588" t="s">
        <v>378</v>
      </c>
      <c r="G96" s="588" t="s">
        <v>5</v>
      </c>
      <c r="H96" s="588" t="s">
        <v>1558</v>
      </c>
      <c r="I96" s="591"/>
      <c r="J96" s="592"/>
      <c r="K96" s="592"/>
      <c r="L96" s="592"/>
      <c r="M96" s="592"/>
      <c r="N96" s="592"/>
      <c r="O96" s="592">
        <v>15</v>
      </c>
      <c r="P96" s="592"/>
      <c r="Q96" s="592"/>
      <c r="R96" s="592"/>
      <c r="S96" s="592"/>
      <c r="T96" s="592"/>
      <c r="U96" s="592"/>
      <c r="V96" s="592"/>
      <c r="W96" s="592"/>
      <c r="X96" s="592"/>
      <c r="Y96" s="592"/>
      <c r="Z96" s="592"/>
      <c r="AA96" s="592"/>
      <c r="AB96" s="592"/>
      <c r="AC96" s="593"/>
      <c r="AD96" s="593"/>
      <c r="AE96" s="593"/>
      <c r="AF96" s="593"/>
      <c r="AG96" s="593"/>
      <c r="AH96" s="593"/>
      <c r="AI96" s="593"/>
      <c r="AJ96" s="593"/>
      <c r="AK96" s="593"/>
      <c r="AL96" s="593"/>
      <c r="AM96" s="593"/>
      <c r="AN96" s="593"/>
      <c r="AO96" s="593"/>
      <c r="AP96" s="593">
        <f>IF(Table_NFI[[#This Row],[Winter Clothes Adult]]+Table_NFI[[#This Row],[Winter Clothes Children]]+Table_NFI[[#This Row],[Winter Items Other]]+Table_NFI[[#This Row],[Winter Blanket]]&gt;0,1,0)</f>
        <v>0</v>
      </c>
      <c r="AQ96" s="593"/>
      <c r="AR96" s="593"/>
      <c r="AS96" s="593"/>
      <c r="AT96" s="594" t="str">
        <f>IFERROR(VLOOKUP(Table_NFI[[#This Row],[Location]],CL,2,0),"")</f>
        <v/>
      </c>
      <c r="AU96" s="595"/>
      <c r="AV96" s="197"/>
      <c r="DP96" s="578"/>
    </row>
    <row r="97" spans="2:120" ht="18.75" hidden="1" customHeight="1" x14ac:dyDescent="0.25">
      <c r="B97" s="590">
        <v>43007</v>
      </c>
      <c r="C97" s="590" t="str">
        <f>MONTH(Table_NFI[[#This Row],[Distribution Date]]) &amp; "/" &amp; YEAR(Table_NFI[[#This Row],[Distribution Date]])</f>
        <v>9/2017</v>
      </c>
      <c r="D97" s="588" t="s">
        <v>420</v>
      </c>
      <c r="E97" s="588" t="s">
        <v>462</v>
      </c>
      <c r="F97" s="213" t="s">
        <v>378</v>
      </c>
      <c r="G97" s="213" t="s">
        <v>309</v>
      </c>
      <c r="H97" s="588" t="s">
        <v>1560</v>
      </c>
      <c r="I97" s="591"/>
      <c r="J97" s="592"/>
      <c r="K97" s="592"/>
      <c r="L97" s="592">
        <v>4</v>
      </c>
      <c r="M97" s="592">
        <v>4</v>
      </c>
      <c r="N97" s="592">
        <v>6</v>
      </c>
      <c r="O97" s="592">
        <v>4</v>
      </c>
      <c r="P97" s="592">
        <v>4</v>
      </c>
      <c r="Q97" s="592">
        <v>3</v>
      </c>
      <c r="R97" s="592"/>
      <c r="S97" s="592">
        <v>3</v>
      </c>
      <c r="T97" s="592">
        <v>5</v>
      </c>
      <c r="U97" s="592"/>
      <c r="V97" s="592"/>
      <c r="W97" s="592"/>
      <c r="X97" s="592"/>
      <c r="Y97" s="592">
        <v>4</v>
      </c>
      <c r="Z97" s="592"/>
      <c r="AA97" s="592"/>
      <c r="AB97" s="592"/>
      <c r="AC97" s="593"/>
      <c r="AD97" s="593"/>
      <c r="AE97" s="593"/>
      <c r="AF97" s="593"/>
      <c r="AG97" s="593"/>
      <c r="AH97" s="593"/>
      <c r="AI97" s="593"/>
      <c r="AJ97" s="593"/>
      <c r="AK97" s="593"/>
      <c r="AL97" s="593"/>
      <c r="AM97" s="593"/>
      <c r="AN97" s="593"/>
      <c r="AO97" s="593"/>
      <c r="AP97" s="593">
        <f>IF(Table_NFI[[#This Row],[Winter Clothes Adult]]+Table_NFI[[#This Row],[Winter Clothes Children]]+Table_NFI[[#This Row],[Winter Items Other]]+Table_NFI[[#This Row],[Winter Blanket]]&gt;0,1,0)</f>
        <v>0</v>
      </c>
      <c r="AQ97" s="593"/>
      <c r="AR97" s="593"/>
      <c r="AS97" s="593"/>
      <c r="AT97" s="594" t="str">
        <f>IFERROR(VLOOKUP(Table_NFI[[#This Row],[Location]],CL,2,0),"")</f>
        <v/>
      </c>
      <c r="AU97" s="595"/>
      <c r="AV97" s="197"/>
      <c r="DP97" s="578"/>
    </row>
    <row r="98" spans="2:120" ht="18.75" hidden="1" customHeight="1" x14ac:dyDescent="0.25">
      <c r="B98" s="590">
        <v>43007</v>
      </c>
      <c r="C98" s="590" t="str">
        <f>MONTH(Table_NFI[[#This Row],[Distribution Date]]) &amp; "/" &amp; YEAR(Table_NFI[[#This Row],[Distribution Date]])</f>
        <v>9/2017</v>
      </c>
      <c r="D98" s="588" t="s">
        <v>420</v>
      </c>
      <c r="E98" s="588" t="s">
        <v>462</v>
      </c>
      <c r="F98" s="213" t="s">
        <v>378</v>
      </c>
      <c r="G98" s="213" t="s">
        <v>309</v>
      </c>
      <c r="H98" s="588" t="s">
        <v>1561</v>
      </c>
      <c r="I98" s="591"/>
      <c r="J98" s="592"/>
      <c r="K98" s="592"/>
      <c r="L98" s="592">
        <v>3</v>
      </c>
      <c r="M98" s="592">
        <v>3</v>
      </c>
      <c r="N98" s="592">
        <v>6</v>
      </c>
      <c r="O98" s="592">
        <v>3</v>
      </c>
      <c r="P98" s="592">
        <v>8</v>
      </c>
      <c r="Q98" s="592">
        <v>2</v>
      </c>
      <c r="R98" s="592"/>
      <c r="S98" s="592">
        <v>2</v>
      </c>
      <c r="T98" s="592">
        <v>8</v>
      </c>
      <c r="U98" s="592"/>
      <c r="V98" s="592"/>
      <c r="W98" s="592"/>
      <c r="X98" s="592"/>
      <c r="Y98" s="592">
        <v>3</v>
      </c>
      <c r="Z98" s="592"/>
      <c r="AA98" s="592"/>
      <c r="AB98" s="592"/>
      <c r="AC98" s="593"/>
      <c r="AD98" s="593"/>
      <c r="AE98" s="593"/>
      <c r="AF98" s="593"/>
      <c r="AG98" s="593"/>
      <c r="AH98" s="593"/>
      <c r="AI98" s="593"/>
      <c r="AJ98" s="593"/>
      <c r="AK98" s="593"/>
      <c r="AL98" s="593"/>
      <c r="AM98" s="593"/>
      <c r="AN98" s="593"/>
      <c r="AO98" s="593"/>
      <c r="AP98" s="593">
        <f>IF(Table_NFI[[#This Row],[Winter Clothes Adult]]+Table_NFI[[#This Row],[Winter Clothes Children]]+Table_NFI[[#This Row],[Winter Items Other]]+Table_NFI[[#This Row],[Winter Blanket]]&gt;0,1,0)</f>
        <v>0</v>
      </c>
      <c r="AQ98" s="593"/>
      <c r="AR98" s="593"/>
      <c r="AS98" s="593"/>
      <c r="AT98" s="594" t="str">
        <f>IFERROR(VLOOKUP(Table_NFI[[#This Row],[Location]],CL,2,0),"")</f>
        <v/>
      </c>
      <c r="AU98" s="595"/>
      <c r="AV98" s="197"/>
      <c r="DP98" s="578"/>
    </row>
    <row r="99" spans="2:120" ht="18.75" hidden="1" customHeight="1" x14ac:dyDescent="0.25">
      <c r="B99" s="590">
        <v>43008</v>
      </c>
      <c r="C99" s="590" t="str">
        <f>MONTH(Table_NFI[[#This Row],[Distribution Date]]) &amp; "/" &amp; YEAR(Table_NFI[[#This Row],[Distribution Date]])</f>
        <v>9/2017</v>
      </c>
      <c r="D99" s="588" t="s">
        <v>1398</v>
      </c>
      <c r="E99" s="212" t="s">
        <v>1398</v>
      </c>
      <c r="F99" s="588" t="s">
        <v>378</v>
      </c>
      <c r="G99" s="588" t="s">
        <v>1140</v>
      </c>
      <c r="H99" s="588" t="s">
        <v>1557</v>
      </c>
      <c r="I99" s="591"/>
      <c r="J99" s="592">
        <v>31</v>
      </c>
      <c r="K99" s="592"/>
      <c r="L99" s="592"/>
      <c r="M99" s="592"/>
      <c r="N99" s="592"/>
      <c r="O99" s="592"/>
      <c r="P99" s="592"/>
      <c r="Q99" s="592"/>
      <c r="R99" s="592"/>
      <c r="S99" s="592"/>
      <c r="T99" s="592"/>
      <c r="U99" s="592"/>
      <c r="V99" s="592"/>
      <c r="W99" s="592"/>
      <c r="X99" s="592"/>
      <c r="Y99" s="592"/>
      <c r="Z99" s="592"/>
      <c r="AA99" s="592"/>
      <c r="AB99" s="592"/>
      <c r="AC99" s="593"/>
      <c r="AD99" s="593"/>
      <c r="AE99" s="593"/>
      <c r="AF99" s="593"/>
      <c r="AG99" s="593"/>
      <c r="AH99" s="593"/>
      <c r="AI99" s="593"/>
      <c r="AJ99" s="593"/>
      <c r="AK99" s="593"/>
      <c r="AL99" s="593"/>
      <c r="AM99" s="593"/>
      <c r="AN99" s="593"/>
      <c r="AO99" s="593"/>
      <c r="AP99" s="593">
        <f>IF(Table_NFI[[#This Row],[Winter Clothes Adult]]+Table_NFI[[#This Row],[Winter Clothes Children]]+Table_NFI[[#This Row],[Winter Items Other]]+Table_NFI[[#This Row],[Winter Blanket]]&gt;0,1,0)</f>
        <v>0</v>
      </c>
      <c r="AQ99" s="593"/>
      <c r="AR99" s="593"/>
      <c r="AS99" s="593"/>
      <c r="AT99" s="594" t="str">
        <f>IFERROR(VLOOKUP(Table_NFI[[#This Row],[Location]],CL,2,0),"")</f>
        <v/>
      </c>
      <c r="AU99" s="595"/>
      <c r="AV99" s="197"/>
      <c r="DP99" s="578"/>
    </row>
    <row r="100" spans="2:120" ht="18.75" hidden="1" customHeight="1" x14ac:dyDescent="0.25">
      <c r="B100" s="590">
        <v>43010</v>
      </c>
      <c r="C100" s="590" t="str">
        <f>MONTH(Table_NFI[[#This Row],[Distribution Date]]) &amp; "/" &amp; YEAR(Table_NFI[[#This Row],[Distribution Date]])</f>
        <v>10/2017</v>
      </c>
      <c r="D100" s="588" t="s">
        <v>462</v>
      </c>
      <c r="E100" s="588" t="s">
        <v>420</v>
      </c>
      <c r="F100" s="588" t="s">
        <v>378</v>
      </c>
      <c r="G100" s="588" t="s">
        <v>237</v>
      </c>
      <c r="H100" s="235" t="s">
        <v>262</v>
      </c>
      <c r="I100" s="591"/>
      <c r="J100" s="592"/>
      <c r="K100" s="592"/>
      <c r="L100" s="585">
        <v>1</v>
      </c>
      <c r="M100" s="585">
        <v>1</v>
      </c>
      <c r="N100" s="585">
        <v>3</v>
      </c>
      <c r="O100" s="585">
        <v>1</v>
      </c>
      <c r="P100" s="585" t="s">
        <v>541</v>
      </c>
      <c r="Q100" s="585">
        <v>1</v>
      </c>
      <c r="R100" s="592"/>
      <c r="S100" s="585">
        <v>1</v>
      </c>
      <c r="T100" s="585">
        <v>3</v>
      </c>
      <c r="U100" s="592"/>
      <c r="V100" s="592"/>
      <c r="W100" s="592"/>
      <c r="X100" s="592"/>
      <c r="Y100" s="585">
        <v>1</v>
      </c>
      <c r="Z100" s="592"/>
      <c r="AA100" s="592"/>
      <c r="AB100" s="592"/>
      <c r="AC100" s="593"/>
      <c r="AD100" s="593"/>
      <c r="AE100" s="593"/>
      <c r="AF100" s="593"/>
      <c r="AG100" s="593"/>
      <c r="AH100" s="593"/>
      <c r="AI100" s="593"/>
      <c r="AJ100" s="593"/>
      <c r="AK100" s="593"/>
      <c r="AL100" s="593"/>
      <c r="AM100" s="593"/>
      <c r="AN100" s="593"/>
      <c r="AO100" s="593"/>
      <c r="AP100" s="593">
        <f>IF(Table_NFI[[#This Row],[Winter Clothes Adult]]+Table_NFI[[#This Row],[Winter Clothes Children]]+Table_NFI[[#This Row],[Winter Items Other]]+Table_NFI[[#This Row],[Winter Blanket]]&gt;0,1,0)</f>
        <v>0</v>
      </c>
      <c r="AQ100" s="593"/>
      <c r="AR100" s="593"/>
      <c r="AS100" s="593"/>
      <c r="AT100" s="594" t="str">
        <f>IFERROR(VLOOKUP(Table_NFI[[#This Row],[Location]],CL,2,0),"")</f>
        <v>MMR001CMP020</v>
      </c>
      <c r="AU100" s="595"/>
      <c r="AV100" s="197"/>
      <c r="DP100" s="578"/>
    </row>
    <row r="101" spans="2:120" ht="18.75" hidden="1" customHeight="1" x14ac:dyDescent="0.25">
      <c r="B101" s="590">
        <v>43010</v>
      </c>
      <c r="C101" s="590" t="str">
        <f>MONTH(Table_NFI[[#This Row],[Distribution Date]]) &amp; "/" &amp; YEAR(Table_NFI[[#This Row],[Distribution Date]])</f>
        <v>10/2017</v>
      </c>
      <c r="D101" s="588" t="s">
        <v>462</v>
      </c>
      <c r="E101" s="588" t="s">
        <v>420</v>
      </c>
      <c r="F101" s="213" t="s">
        <v>378</v>
      </c>
      <c r="G101" s="213" t="s">
        <v>309</v>
      </c>
      <c r="H101" s="235" t="s">
        <v>1564</v>
      </c>
      <c r="I101" s="591"/>
      <c r="J101" s="592"/>
      <c r="K101" s="592"/>
      <c r="L101" s="585">
        <v>4</v>
      </c>
      <c r="M101" s="585">
        <v>4</v>
      </c>
      <c r="N101" s="585">
        <v>6</v>
      </c>
      <c r="O101" s="585">
        <v>4</v>
      </c>
      <c r="P101" s="585">
        <v>4</v>
      </c>
      <c r="Q101" s="585">
        <v>3</v>
      </c>
      <c r="R101" s="592"/>
      <c r="S101" s="585">
        <v>3</v>
      </c>
      <c r="T101" s="585">
        <v>5</v>
      </c>
      <c r="U101" s="592"/>
      <c r="V101" s="592"/>
      <c r="W101" s="592"/>
      <c r="X101" s="592"/>
      <c r="Y101" s="585">
        <v>4</v>
      </c>
      <c r="Z101" s="592"/>
      <c r="AA101" s="592"/>
      <c r="AB101" s="592"/>
      <c r="AC101" s="593"/>
      <c r="AD101" s="593"/>
      <c r="AE101" s="593"/>
      <c r="AF101" s="593"/>
      <c r="AG101" s="593"/>
      <c r="AH101" s="593"/>
      <c r="AI101" s="593"/>
      <c r="AJ101" s="593"/>
      <c r="AK101" s="593"/>
      <c r="AL101" s="593"/>
      <c r="AM101" s="593"/>
      <c r="AN101" s="593"/>
      <c r="AO101" s="593"/>
      <c r="AP101" s="593">
        <f>IF(Table_NFI[[#This Row],[Winter Clothes Adult]]+Table_NFI[[#This Row],[Winter Clothes Children]]+Table_NFI[[#This Row],[Winter Items Other]]+Table_NFI[[#This Row],[Winter Blanket]]&gt;0,1,0)</f>
        <v>0</v>
      </c>
      <c r="AQ101" s="593"/>
      <c r="AR101" s="593"/>
      <c r="AS101" s="593"/>
      <c r="AT101" s="594" t="str">
        <f>IFERROR(VLOOKUP(Table_NFI[[#This Row],[Location]],CL,2,0),"")</f>
        <v/>
      </c>
      <c r="AU101" s="595"/>
      <c r="AV101" s="197"/>
      <c r="DP101" s="578"/>
    </row>
    <row r="102" spans="2:120" ht="18.75" hidden="1" customHeight="1" x14ac:dyDescent="0.25">
      <c r="B102" s="590">
        <v>43010</v>
      </c>
      <c r="C102" s="590" t="str">
        <f>MONTH(Table_NFI[[#This Row],[Distribution Date]]) &amp; "/" &amp; YEAR(Table_NFI[[#This Row],[Distribution Date]])</f>
        <v>10/2017</v>
      </c>
      <c r="D102" s="588" t="s">
        <v>462</v>
      </c>
      <c r="E102" s="588" t="s">
        <v>420</v>
      </c>
      <c r="F102" s="213" t="s">
        <v>378</v>
      </c>
      <c r="G102" s="213" t="s">
        <v>309</v>
      </c>
      <c r="H102" s="235" t="s">
        <v>1565</v>
      </c>
      <c r="I102" s="591"/>
      <c r="J102" s="592"/>
      <c r="K102" s="592"/>
      <c r="L102" s="585">
        <v>2</v>
      </c>
      <c r="M102" s="585">
        <v>2</v>
      </c>
      <c r="N102" s="585">
        <v>3</v>
      </c>
      <c r="O102" s="585">
        <v>2</v>
      </c>
      <c r="P102" s="585">
        <v>5</v>
      </c>
      <c r="Q102" s="585">
        <v>1</v>
      </c>
      <c r="R102" s="592"/>
      <c r="S102" s="585">
        <v>1</v>
      </c>
      <c r="T102" s="585">
        <v>5</v>
      </c>
      <c r="U102" s="592"/>
      <c r="V102" s="592"/>
      <c r="W102" s="592"/>
      <c r="X102" s="592"/>
      <c r="Y102" s="585">
        <v>2</v>
      </c>
      <c r="Z102" s="592"/>
      <c r="AA102" s="592"/>
      <c r="AB102" s="592"/>
      <c r="AC102" s="593"/>
      <c r="AD102" s="593"/>
      <c r="AE102" s="593"/>
      <c r="AF102" s="593"/>
      <c r="AG102" s="593"/>
      <c r="AH102" s="593"/>
      <c r="AI102" s="593"/>
      <c r="AJ102" s="593"/>
      <c r="AK102" s="593"/>
      <c r="AL102" s="593"/>
      <c r="AM102" s="593"/>
      <c r="AN102" s="593"/>
      <c r="AO102" s="593"/>
      <c r="AP102" s="593">
        <f>IF(Table_NFI[[#This Row],[Winter Clothes Adult]]+Table_NFI[[#This Row],[Winter Clothes Children]]+Table_NFI[[#This Row],[Winter Items Other]]+Table_NFI[[#This Row],[Winter Blanket]]&gt;0,1,0)</f>
        <v>0</v>
      </c>
      <c r="AQ102" s="593"/>
      <c r="AR102" s="593"/>
      <c r="AS102" s="593"/>
      <c r="AT102" s="594" t="str">
        <f>IFERROR(VLOOKUP(Table_NFI[[#This Row],[Location]],CL,2,0),"")</f>
        <v/>
      </c>
      <c r="AU102" s="595"/>
      <c r="AV102" s="197"/>
      <c r="DP102" s="578"/>
    </row>
    <row r="103" spans="2:120" ht="18.75" hidden="1" customHeight="1" x14ac:dyDescent="0.25">
      <c r="B103" s="584">
        <v>43025</v>
      </c>
      <c r="C103" s="584" t="str">
        <f>MONTH(Table_NFI[[#This Row],[Distribution Date]]) &amp; "/" &amp; YEAR(Table_NFI[[#This Row],[Distribution Date]])</f>
        <v>10/2017</v>
      </c>
      <c r="D103" s="213" t="s">
        <v>1489</v>
      </c>
      <c r="E103" s="213" t="s">
        <v>420</v>
      </c>
      <c r="F103" s="213" t="s">
        <v>378</v>
      </c>
      <c r="G103" s="212" t="s">
        <v>185</v>
      </c>
      <c r="H103" s="213" t="s">
        <v>196</v>
      </c>
      <c r="I103" s="197"/>
      <c r="J103" s="585"/>
      <c r="K103" s="585"/>
      <c r="L103" s="585"/>
      <c r="M103" s="585"/>
      <c r="N103" s="585"/>
      <c r="O103" s="585"/>
      <c r="P103" s="585">
        <v>3170</v>
      </c>
      <c r="Q103" s="585"/>
      <c r="R103" s="585"/>
      <c r="S103" s="585"/>
      <c r="T103" s="585"/>
      <c r="U103" s="585"/>
      <c r="V103" s="585">
        <v>2536</v>
      </c>
      <c r="W103" s="585"/>
      <c r="X103" s="585"/>
      <c r="Y103" s="585"/>
      <c r="Z103" s="585"/>
      <c r="AA103" s="585"/>
      <c r="AB103" s="585"/>
      <c r="AC103" s="586"/>
      <c r="AD103" s="586"/>
      <c r="AE103" s="586"/>
      <c r="AF103" s="586"/>
      <c r="AG103" s="586"/>
      <c r="AH103" s="586"/>
      <c r="AI103" s="586"/>
      <c r="AJ103" s="586"/>
      <c r="AK103" s="586"/>
      <c r="AL103" s="586"/>
      <c r="AM103" s="586"/>
      <c r="AN103" s="586"/>
      <c r="AO103" s="586"/>
      <c r="AP103" s="586">
        <f>IF(Table_NFI[[#This Row],[Winter Clothes Adult]]+Table_NFI[[#This Row],[Winter Clothes Children]]+Table_NFI[[#This Row],[Winter Items Other]]+Table_NFI[[#This Row],[Winter Blanket]]&gt;0,1,0)</f>
        <v>1</v>
      </c>
      <c r="AQ103" s="586"/>
      <c r="AR103" s="586"/>
      <c r="AS103" s="586"/>
      <c r="AT103" s="220" t="str">
        <f>IFERROR(VLOOKUP(Table_NFI[[#This Row],[Location]],CL,2,0),"")</f>
        <v>MMR001CMP121</v>
      </c>
      <c r="AU103" s="197" t="s">
        <v>1569</v>
      </c>
      <c r="AV103" s="197"/>
      <c r="DP103" s="578"/>
    </row>
    <row r="104" spans="2:120" ht="18.75" hidden="1" customHeight="1" x14ac:dyDescent="0.25">
      <c r="B104" s="584">
        <v>43026</v>
      </c>
      <c r="C104" s="584" t="str">
        <f>MONTH(Table_NFI[[#This Row],[Distribution Date]]) &amp; "/" &amp; YEAR(Table_NFI[[#This Row],[Distribution Date]])</f>
        <v>10/2017</v>
      </c>
      <c r="D104" s="213" t="s">
        <v>1489</v>
      </c>
      <c r="E104" s="213" t="s">
        <v>420</v>
      </c>
      <c r="F104" s="213" t="s">
        <v>378</v>
      </c>
      <c r="G104" s="213" t="s">
        <v>309</v>
      </c>
      <c r="H104" s="213" t="s">
        <v>353</v>
      </c>
      <c r="I104" s="197"/>
      <c r="J104" s="585"/>
      <c r="K104" s="585"/>
      <c r="L104" s="585"/>
      <c r="M104" s="585"/>
      <c r="N104" s="585"/>
      <c r="O104" s="585"/>
      <c r="P104" s="585">
        <v>182</v>
      </c>
      <c r="Q104" s="585"/>
      <c r="R104" s="585"/>
      <c r="S104" s="585"/>
      <c r="T104" s="585"/>
      <c r="U104" s="585">
        <v>137</v>
      </c>
      <c r="V104" s="585">
        <v>264</v>
      </c>
      <c r="W104" s="585"/>
      <c r="X104" s="585"/>
      <c r="Y104" s="585"/>
      <c r="Z104" s="585"/>
      <c r="AA104" s="585"/>
      <c r="AB104" s="585"/>
      <c r="AC104" s="586"/>
      <c r="AD104" s="586"/>
      <c r="AE104" s="586"/>
      <c r="AF104" s="586"/>
      <c r="AG104" s="586"/>
      <c r="AH104" s="586"/>
      <c r="AI104" s="586"/>
      <c r="AJ104" s="586"/>
      <c r="AK104" s="586"/>
      <c r="AL104" s="586"/>
      <c r="AM104" s="586"/>
      <c r="AN104" s="586"/>
      <c r="AO104" s="586"/>
      <c r="AP104" s="586">
        <f>IF(Table_NFI[[#This Row],[Winter Clothes Adult]]+Table_NFI[[#This Row],[Winter Clothes Children]]+Table_NFI[[#This Row],[Winter Items Other]]+Table_NFI[[#This Row],[Winter Blanket]]&gt;0,1,0)</f>
        <v>1</v>
      </c>
      <c r="AQ104" s="586"/>
      <c r="AR104" s="586"/>
      <c r="AS104" s="586"/>
      <c r="AT104" s="220" t="str">
        <f>IFERROR(VLOOKUP(Table_NFI[[#This Row],[Location]],CL,2,0),"")</f>
        <v>MMR001CMP160</v>
      </c>
      <c r="AU104" s="197" t="s">
        <v>1569</v>
      </c>
      <c r="AV104" s="197"/>
      <c r="DP104" s="578"/>
    </row>
    <row r="105" spans="2:120" ht="18.75" hidden="1" customHeight="1" x14ac:dyDescent="0.25">
      <c r="B105" s="584">
        <v>43027</v>
      </c>
      <c r="C105" s="584" t="str">
        <f>MONTH(Table_NFI[[#This Row],[Distribution Date]]) &amp; "/" &amp; YEAR(Table_NFI[[#This Row],[Distribution Date]])</f>
        <v>10/2017</v>
      </c>
      <c r="D105" s="213" t="s">
        <v>1489</v>
      </c>
      <c r="E105" s="213" t="s">
        <v>420</v>
      </c>
      <c r="F105" s="213" t="s">
        <v>378</v>
      </c>
      <c r="G105" s="212" t="s">
        <v>185</v>
      </c>
      <c r="H105" s="213" t="s">
        <v>192</v>
      </c>
      <c r="I105" s="197"/>
      <c r="J105" s="585"/>
      <c r="K105" s="585"/>
      <c r="L105" s="585"/>
      <c r="M105" s="585"/>
      <c r="N105" s="585"/>
      <c r="O105" s="585"/>
      <c r="P105" s="585">
        <v>196</v>
      </c>
      <c r="Q105" s="585"/>
      <c r="R105" s="585"/>
      <c r="S105" s="585"/>
      <c r="T105" s="585"/>
      <c r="U105" s="585">
        <v>195</v>
      </c>
      <c r="V105" s="585">
        <v>214</v>
      </c>
      <c r="W105" s="585"/>
      <c r="X105" s="585"/>
      <c r="Y105" s="585"/>
      <c r="Z105" s="585"/>
      <c r="AA105" s="585"/>
      <c r="AB105" s="585"/>
      <c r="AC105" s="586"/>
      <c r="AD105" s="586"/>
      <c r="AE105" s="586"/>
      <c r="AF105" s="586"/>
      <c r="AG105" s="586"/>
      <c r="AH105" s="586"/>
      <c r="AI105" s="586"/>
      <c r="AJ105" s="586"/>
      <c r="AK105" s="586"/>
      <c r="AL105" s="586"/>
      <c r="AM105" s="586"/>
      <c r="AN105" s="586"/>
      <c r="AO105" s="586"/>
      <c r="AP105" s="586">
        <f>IF(Table_NFI[[#This Row],[Winter Clothes Adult]]+Table_NFI[[#This Row],[Winter Clothes Children]]+Table_NFI[[#This Row],[Winter Items Other]]+Table_NFI[[#This Row],[Winter Blanket]]&gt;0,1,0)</f>
        <v>1</v>
      </c>
      <c r="AQ105" s="586"/>
      <c r="AR105" s="586"/>
      <c r="AS105" s="586"/>
      <c r="AT105" s="220" t="str">
        <f>IFERROR(VLOOKUP(Table_NFI[[#This Row],[Location]],CL,2,0),"")</f>
        <v>MMR001CMP123</v>
      </c>
      <c r="AU105" s="197" t="s">
        <v>1569</v>
      </c>
      <c r="AV105" s="197"/>
      <c r="DP105" s="578"/>
    </row>
    <row r="106" spans="2:120" ht="18.75" hidden="1" customHeight="1" x14ac:dyDescent="0.25">
      <c r="B106" s="584">
        <v>43028</v>
      </c>
      <c r="C106" s="584" t="str">
        <f>MONTH(Table_NFI[[#This Row],[Distribution Date]]) &amp; "/" &amp; YEAR(Table_NFI[[#This Row],[Distribution Date]])</f>
        <v>10/2017</v>
      </c>
      <c r="D106" s="213" t="s">
        <v>1489</v>
      </c>
      <c r="E106" s="213" t="s">
        <v>420</v>
      </c>
      <c r="F106" s="213" t="s">
        <v>378</v>
      </c>
      <c r="G106" s="213" t="s">
        <v>309</v>
      </c>
      <c r="H106" s="213" t="s">
        <v>333</v>
      </c>
      <c r="I106" s="197"/>
      <c r="J106" s="585"/>
      <c r="K106" s="585"/>
      <c r="L106" s="585"/>
      <c r="M106" s="585"/>
      <c r="N106" s="585"/>
      <c r="O106" s="585"/>
      <c r="P106" s="585">
        <v>304</v>
      </c>
      <c r="Q106" s="585"/>
      <c r="R106" s="585"/>
      <c r="S106" s="585"/>
      <c r="T106" s="585"/>
      <c r="U106" s="585">
        <v>348</v>
      </c>
      <c r="V106" s="585">
        <v>269</v>
      </c>
      <c r="W106" s="585"/>
      <c r="X106" s="585"/>
      <c r="Y106" s="585"/>
      <c r="Z106" s="585"/>
      <c r="AA106" s="585"/>
      <c r="AB106" s="585"/>
      <c r="AC106" s="586"/>
      <c r="AD106" s="586"/>
      <c r="AE106" s="586"/>
      <c r="AF106" s="586"/>
      <c r="AG106" s="586"/>
      <c r="AH106" s="586"/>
      <c r="AI106" s="586"/>
      <c r="AJ106" s="586"/>
      <c r="AK106" s="586"/>
      <c r="AL106" s="586"/>
      <c r="AM106" s="586"/>
      <c r="AN106" s="586"/>
      <c r="AO106" s="586"/>
      <c r="AP106" s="586">
        <f>IF(Table_NFI[[#This Row],[Winter Clothes Adult]]+Table_NFI[[#This Row],[Winter Clothes Children]]+Table_NFI[[#This Row],[Winter Items Other]]+Table_NFI[[#This Row],[Winter Blanket]]&gt;0,1,0)</f>
        <v>1</v>
      </c>
      <c r="AQ106" s="586"/>
      <c r="AR106" s="586"/>
      <c r="AS106" s="586"/>
      <c r="AT106" s="220" t="str">
        <f>IFERROR(VLOOKUP(Table_NFI[[#This Row],[Location]],CL,2,0),"")</f>
        <v>MMR001CMP113</v>
      </c>
      <c r="AU106" s="197" t="s">
        <v>1569</v>
      </c>
      <c r="AV106" s="197"/>
      <c r="DP106" s="578"/>
    </row>
    <row r="107" spans="2:120" ht="18.75" hidden="1" customHeight="1" x14ac:dyDescent="0.25">
      <c r="B107" s="584">
        <v>43035</v>
      </c>
      <c r="C107" s="584" t="str">
        <f>MONTH(Table_NFI[[#This Row],[Distribution Date]]) &amp; "/" &amp; YEAR(Table_NFI[[#This Row],[Distribution Date]])</f>
        <v>10/2017</v>
      </c>
      <c r="D107" s="213" t="s">
        <v>1268</v>
      </c>
      <c r="E107" s="235" t="s">
        <v>1268</v>
      </c>
      <c r="F107" s="213" t="s">
        <v>378</v>
      </c>
      <c r="G107" s="212" t="s">
        <v>185</v>
      </c>
      <c r="H107" s="598" t="s">
        <v>1570</v>
      </c>
      <c r="I107" s="197">
        <v>69</v>
      </c>
      <c r="J107" s="585"/>
      <c r="K107" s="585"/>
      <c r="L107" s="585"/>
      <c r="M107" s="585"/>
      <c r="N107" s="585"/>
      <c r="O107" s="585"/>
      <c r="P107" s="585"/>
      <c r="Q107" s="585"/>
      <c r="R107" s="585"/>
      <c r="S107" s="585"/>
      <c r="T107" s="585"/>
      <c r="U107" s="585"/>
      <c r="V107" s="585"/>
      <c r="W107" s="585"/>
      <c r="X107" s="585"/>
      <c r="Y107" s="585"/>
      <c r="Z107" s="585"/>
      <c r="AA107" s="585"/>
      <c r="AB107" s="585"/>
      <c r="AC107" s="586"/>
      <c r="AD107" s="586"/>
      <c r="AE107" s="586"/>
      <c r="AF107" s="586"/>
      <c r="AG107" s="586"/>
      <c r="AH107" s="586"/>
      <c r="AI107" s="586"/>
      <c r="AJ107" s="586"/>
      <c r="AK107" s="586"/>
      <c r="AL107" s="586"/>
      <c r="AM107" s="586"/>
      <c r="AN107" s="586"/>
      <c r="AO107" s="586"/>
      <c r="AP107" s="586">
        <f>IF(Table_NFI[[#This Row],[Winter Clothes Adult]]+Table_NFI[[#This Row],[Winter Clothes Children]]+Table_NFI[[#This Row],[Winter Items Other]]+Table_NFI[[#This Row],[Winter Blanket]]&gt;0,1,0)</f>
        <v>0</v>
      </c>
      <c r="AQ107" s="586"/>
      <c r="AR107" s="586"/>
      <c r="AS107" s="586"/>
      <c r="AT107" s="220" t="str">
        <f>IFERROR(VLOOKUP(Table_NFI[[#This Row],[Location]],CL,2,0),"")</f>
        <v/>
      </c>
      <c r="AU107" s="197"/>
      <c r="AV107" s="197"/>
      <c r="DP107" s="578"/>
    </row>
    <row r="108" spans="2:120" ht="18.75" hidden="1" customHeight="1" x14ac:dyDescent="0.25">
      <c r="B108" s="584">
        <v>43066</v>
      </c>
      <c r="C108" s="584" t="str">
        <f>MONTH(Table_NFI[[#This Row],[Distribution Date]]) &amp; "/" &amp; YEAR(Table_NFI[[#This Row],[Distribution Date]])</f>
        <v>11/2017</v>
      </c>
      <c r="D108" s="213" t="s">
        <v>1597</v>
      </c>
      <c r="E108" s="213" t="s">
        <v>1597</v>
      </c>
      <c r="F108" s="213" t="s">
        <v>506</v>
      </c>
      <c r="G108" s="213" t="s">
        <v>297</v>
      </c>
      <c r="H108" s="213" t="s">
        <v>1285</v>
      </c>
      <c r="I108" s="197"/>
      <c r="J108" s="585"/>
      <c r="K108" s="585"/>
      <c r="L108" s="585"/>
      <c r="M108" s="585"/>
      <c r="N108" s="585"/>
      <c r="O108" s="585"/>
      <c r="P108" s="585"/>
      <c r="Q108" s="585"/>
      <c r="R108" s="585"/>
      <c r="S108" s="585"/>
      <c r="T108" s="585"/>
      <c r="U108" s="585"/>
      <c r="V108" s="585"/>
      <c r="W108" s="585">
        <v>60</v>
      </c>
      <c r="X108" s="585"/>
      <c r="Y108" s="585"/>
      <c r="Z108" s="585"/>
      <c r="AA108" s="585"/>
      <c r="AB108" s="585"/>
      <c r="AC108" s="586"/>
      <c r="AD108" s="586"/>
      <c r="AE108" s="586"/>
      <c r="AF108" s="586"/>
      <c r="AG108" s="586"/>
      <c r="AH108" s="586"/>
      <c r="AI108" s="586"/>
      <c r="AJ108" s="586"/>
      <c r="AK108" s="586"/>
      <c r="AL108" s="586"/>
      <c r="AM108" s="586"/>
      <c r="AN108" s="586"/>
      <c r="AO108" s="586"/>
      <c r="AP108" s="586">
        <f>IF(Table_NFI[[#This Row],[Winter Clothes Adult]]+Table_NFI[[#This Row],[Winter Clothes Children]]+Table_NFI[[#This Row],[Winter Items Other]]+Table_NFI[[#This Row],[Winter Blanket]]&gt;0,1,0)</f>
        <v>1</v>
      </c>
      <c r="AQ108" s="586"/>
      <c r="AR108" s="586"/>
      <c r="AS108" s="586"/>
      <c r="AT108" s="220" t="str">
        <f>IFERROR(VLOOKUP(Table_NFI[[#This Row],[Location]],CL,2,0),"")</f>
        <v>MMR015CMP248</v>
      </c>
      <c r="AU108" s="197"/>
      <c r="AV108" s="197"/>
      <c r="DP108" s="578"/>
    </row>
    <row r="109" spans="2:120" ht="18.75" hidden="1" customHeight="1" x14ac:dyDescent="0.25">
      <c r="B109" s="584">
        <v>43066</v>
      </c>
      <c r="C109" s="584" t="str">
        <f>MONTH(Table_NFI[[#This Row],[Distribution Date]]) &amp; "/" &amp; YEAR(Table_NFI[[#This Row],[Distribution Date]])</f>
        <v>11/2017</v>
      </c>
      <c r="D109" s="213" t="s">
        <v>1597</v>
      </c>
      <c r="E109" s="213" t="s">
        <v>1597</v>
      </c>
      <c r="F109" s="213" t="s">
        <v>506</v>
      </c>
      <c r="G109" s="213" t="s">
        <v>297</v>
      </c>
      <c r="H109" s="213" t="s">
        <v>760</v>
      </c>
      <c r="I109" s="197"/>
      <c r="J109" s="585"/>
      <c r="K109" s="585"/>
      <c r="L109" s="585"/>
      <c r="M109" s="585"/>
      <c r="N109" s="585"/>
      <c r="O109" s="585"/>
      <c r="P109" s="585"/>
      <c r="Q109" s="585"/>
      <c r="R109" s="585"/>
      <c r="S109" s="585"/>
      <c r="T109" s="585"/>
      <c r="U109" s="585"/>
      <c r="V109" s="585"/>
      <c r="W109" s="585">
        <v>46</v>
      </c>
      <c r="X109" s="585"/>
      <c r="Y109" s="585"/>
      <c r="Z109" s="585"/>
      <c r="AA109" s="585"/>
      <c r="AB109" s="585"/>
      <c r="AC109" s="586"/>
      <c r="AD109" s="586"/>
      <c r="AE109" s="586"/>
      <c r="AF109" s="586"/>
      <c r="AG109" s="586"/>
      <c r="AH109" s="586"/>
      <c r="AI109" s="586"/>
      <c r="AJ109" s="586"/>
      <c r="AK109" s="586"/>
      <c r="AL109" s="586"/>
      <c r="AM109" s="586"/>
      <c r="AN109" s="586"/>
      <c r="AO109" s="586"/>
      <c r="AP109" s="586">
        <f>IF(Table_NFI[[#This Row],[Winter Clothes Adult]]+Table_NFI[[#This Row],[Winter Clothes Children]]+Table_NFI[[#This Row],[Winter Items Other]]+Table_NFI[[#This Row],[Winter Blanket]]&gt;0,1,0)</f>
        <v>1</v>
      </c>
      <c r="AQ109" s="586"/>
      <c r="AR109" s="586"/>
      <c r="AS109" s="586"/>
      <c r="AT109" s="220" t="str">
        <f>IFERROR(VLOOKUP(Table_NFI[[#This Row],[Location]],CL,2,0),"")</f>
        <v>MMR015CMP014</v>
      </c>
      <c r="AU109" s="197"/>
      <c r="AV109" s="197"/>
      <c r="DP109" s="578"/>
    </row>
    <row r="110" spans="2:120" ht="18.75" hidden="1" customHeight="1" x14ac:dyDescent="0.25">
      <c r="B110" s="584">
        <v>43067</v>
      </c>
      <c r="C110" s="584" t="str">
        <f>MONTH(Table_NFI[[#This Row],[Distribution Date]]) &amp; "/" &amp; YEAR(Table_NFI[[#This Row],[Distribution Date]])</f>
        <v>11/2017</v>
      </c>
      <c r="D110" s="213" t="s">
        <v>420</v>
      </c>
      <c r="E110" s="213" t="s">
        <v>462</v>
      </c>
      <c r="F110" s="213" t="s">
        <v>378</v>
      </c>
      <c r="G110" s="213" t="s">
        <v>237</v>
      </c>
      <c r="H110" s="213" t="s">
        <v>1535</v>
      </c>
      <c r="I110" s="197"/>
      <c r="J110" s="585"/>
      <c r="K110" s="585"/>
      <c r="L110" s="585"/>
      <c r="M110" s="585"/>
      <c r="N110" s="585"/>
      <c r="O110" s="585"/>
      <c r="P110" s="585">
        <v>50</v>
      </c>
      <c r="Q110" s="585"/>
      <c r="R110" s="585"/>
      <c r="S110" s="585"/>
      <c r="T110" s="585"/>
      <c r="U110" s="585">
        <v>36</v>
      </c>
      <c r="V110" s="585">
        <v>13</v>
      </c>
      <c r="W110" s="585"/>
      <c r="X110" s="585"/>
      <c r="Y110" s="585"/>
      <c r="Z110" s="585"/>
      <c r="AA110" s="585"/>
      <c r="AB110" s="585"/>
      <c r="AC110" s="197"/>
      <c r="AD110" s="586"/>
      <c r="AE110" s="586"/>
      <c r="AF110" s="586"/>
      <c r="AG110" s="586"/>
      <c r="AH110" s="586"/>
      <c r="AI110" s="586"/>
      <c r="AJ110" s="586"/>
      <c r="AK110" s="586"/>
      <c r="AL110" s="586"/>
      <c r="AM110" s="586"/>
      <c r="AN110" s="586"/>
      <c r="AO110" s="586"/>
      <c r="AP110" s="586">
        <f>IF(Table_NFI[[#This Row],[Winter Clothes Adult]]+Table_NFI[[#This Row],[Winter Clothes Children]]+Table_NFI[[#This Row],[Winter Items Other]]+Table_NFI[[#This Row],[Winter Blanket]]&gt;0,1,0)</f>
        <v>1</v>
      </c>
      <c r="AQ110" s="586"/>
      <c r="AR110" s="586"/>
      <c r="AS110" s="586"/>
      <c r="AT110" s="220" t="str">
        <f>IFERROR(VLOOKUP(Table_NFI[[#This Row],[Location]],CL,2,0),"")</f>
        <v/>
      </c>
      <c r="AU110" s="197"/>
      <c r="AV110" s="197"/>
      <c r="DP110" s="578"/>
    </row>
    <row r="111" spans="2:120" ht="18.75" hidden="1" customHeight="1" x14ac:dyDescent="0.25">
      <c r="B111" s="584">
        <v>43068</v>
      </c>
      <c r="C111" s="584" t="str">
        <f>MONTH(Table_NFI[[#This Row],[Distribution Date]]) &amp; "/" &amp; YEAR(Table_NFI[[#This Row],[Distribution Date]])</f>
        <v>11/2017</v>
      </c>
      <c r="D111" s="213" t="s">
        <v>1597</v>
      </c>
      <c r="E111" s="213" t="s">
        <v>1597</v>
      </c>
      <c r="F111" s="213" t="s">
        <v>506</v>
      </c>
      <c r="G111" s="213" t="s">
        <v>1598</v>
      </c>
      <c r="H111" s="213" t="s">
        <v>905</v>
      </c>
      <c r="I111" s="197"/>
      <c r="J111" s="585"/>
      <c r="K111" s="585"/>
      <c r="L111" s="585"/>
      <c r="M111" s="585"/>
      <c r="N111" s="585"/>
      <c r="O111" s="585"/>
      <c r="P111" s="585"/>
      <c r="Q111" s="585"/>
      <c r="R111" s="585"/>
      <c r="S111" s="585"/>
      <c r="T111" s="585"/>
      <c r="U111" s="585"/>
      <c r="V111" s="585"/>
      <c r="W111" s="585">
        <v>43</v>
      </c>
      <c r="X111" s="585"/>
      <c r="Y111" s="585"/>
      <c r="Z111" s="585"/>
      <c r="AA111" s="585"/>
      <c r="AB111" s="585"/>
      <c r="AC111" s="586"/>
      <c r="AD111" s="586"/>
      <c r="AE111" s="586"/>
      <c r="AF111" s="586"/>
      <c r="AG111" s="586"/>
      <c r="AH111" s="586"/>
      <c r="AI111" s="586"/>
      <c r="AJ111" s="586"/>
      <c r="AK111" s="586"/>
      <c r="AL111" s="586"/>
      <c r="AM111" s="586"/>
      <c r="AN111" s="586"/>
      <c r="AO111" s="586"/>
      <c r="AP111" s="586">
        <f>IF(Table_NFI[[#This Row],[Winter Clothes Adult]]+Table_NFI[[#This Row],[Winter Clothes Children]]+Table_NFI[[#This Row],[Winter Items Other]]+Table_NFI[[#This Row],[Winter Blanket]]&gt;0,1,0)</f>
        <v>1</v>
      </c>
      <c r="AQ111" s="586"/>
      <c r="AR111" s="586"/>
      <c r="AS111" s="586"/>
      <c r="AT111" s="220" t="str">
        <f>IFERROR(VLOOKUP(Table_NFI[[#This Row],[Location]],CL,2,0),"")</f>
        <v>MMR015CMP213</v>
      </c>
      <c r="AU111" s="197"/>
      <c r="AV111" s="197"/>
      <c r="DP111" s="578"/>
    </row>
    <row r="112" spans="2:120" ht="18.75" hidden="1" customHeight="1" x14ac:dyDescent="0.25">
      <c r="B112" s="584">
        <v>43068</v>
      </c>
      <c r="C112" s="584" t="str">
        <f>MONTH(Table_NFI[[#This Row],[Distribution Date]]) &amp; "/" &amp; YEAR(Table_NFI[[#This Row],[Distribution Date]])</f>
        <v>11/2017</v>
      </c>
      <c r="D112" s="213" t="s">
        <v>1597</v>
      </c>
      <c r="E112" s="213" t="s">
        <v>1597</v>
      </c>
      <c r="F112" s="213" t="s">
        <v>506</v>
      </c>
      <c r="G112" s="213" t="s">
        <v>1598</v>
      </c>
      <c r="H112" s="213" t="s">
        <v>915</v>
      </c>
      <c r="I112" s="197"/>
      <c r="J112" s="585"/>
      <c r="K112" s="585"/>
      <c r="L112" s="585"/>
      <c r="M112" s="585"/>
      <c r="N112" s="585"/>
      <c r="O112" s="585"/>
      <c r="P112" s="585"/>
      <c r="Q112" s="585"/>
      <c r="R112" s="585"/>
      <c r="S112" s="585"/>
      <c r="T112" s="585"/>
      <c r="U112" s="585"/>
      <c r="V112" s="585"/>
      <c r="W112" s="585">
        <v>22</v>
      </c>
      <c r="X112" s="585"/>
      <c r="Y112" s="585"/>
      <c r="Z112" s="585"/>
      <c r="AA112" s="585"/>
      <c r="AB112" s="585"/>
      <c r="AC112" s="586"/>
      <c r="AD112" s="586"/>
      <c r="AE112" s="586"/>
      <c r="AF112" s="586"/>
      <c r="AG112" s="586"/>
      <c r="AH112" s="586"/>
      <c r="AI112" s="586"/>
      <c r="AJ112" s="586"/>
      <c r="AK112" s="586"/>
      <c r="AL112" s="586"/>
      <c r="AM112" s="586"/>
      <c r="AN112" s="586"/>
      <c r="AO112" s="586"/>
      <c r="AP112" s="586">
        <f>IF(Table_NFI[[#This Row],[Winter Clothes Adult]]+Table_NFI[[#This Row],[Winter Clothes Children]]+Table_NFI[[#This Row],[Winter Items Other]]+Table_NFI[[#This Row],[Winter Blanket]]&gt;0,1,0)</f>
        <v>1</v>
      </c>
      <c r="AQ112" s="586"/>
      <c r="AR112" s="586"/>
      <c r="AS112" s="586"/>
      <c r="AT112" s="220" t="str">
        <f>IFERROR(VLOOKUP(Table_NFI[[#This Row],[Location]],CL,2,0),"")</f>
        <v>MMR015CMP216</v>
      </c>
      <c r="AU112" s="197"/>
      <c r="AV112" s="197"/>
      <c r="DP112" s="578"/>
    </row>
    <row r="113" spans="2:120" ht="18.75" hidden="1" customHeight="1" x14ac:dyDescent="0.25">
      <c r="B113" s="584">
        <v>43075</v>
      </c>
      <c r="C113" s="584" t="str">
        <f>MONTH(Table_NFI[[#This Row],[Distribution Date]]) &amp; "/" &amp; YEAR(Table_NFI[[#This Row],[Distribution Date]])</f>
        <v>12/2017</v>
      </c>
      <c r="D113" s="213" t="s">
        <v>826</v>
      </c>
      <c r="E113" s="213"/>
      <c r="F113" s="213" t="s">
        <v>378</v>
      </c>
      <c r="G113" s="213" t="s">
        <v>185</v>
      </c>
      <c r="H113" s="213" t="s">
        <v>186</v>
      </c>
      <c r="I113" s="197"/>
      <c r="J113" s="585"/>
      <c r="K113" s="585"/>
      <c r="L113" s="585"/>
      <c r="M113" s="585"/>
      <c r="N113" s="585"/>
      <c r="O113" s="585"/>
      <c r="P113" s="585"/>
      <c r="Q113" s="585"/>
      <c r="R113" s="585"/>
      <c r="S113" s="585"/>
      <c r="T113" s="585"/>
      <c r="U113" s="585"/>
      <c r="V113" s="585"/>
      <c r="W113" s="585"/>
      <c r="X113" s="585">
        <v>93</v>
      </c>
      <c r="Y113" s="585"/>
      <c r="Z113" s="585"/>
      <c r="AA113" s="585"/>
      <c r="AB113" s="585"/>
      <c r="AC113" s="586"/>
      <c r="AD113" s="586"/>
      <c r="AE113" s="586"/>
      <c r="AF113" s="586"/>
      <c r="AG113" s="586"/>
      <c r="AH113" s="586"/>
      <c r="AI113" s="586"/>
      <c r="AJ113" s="586"/>
      <c r="AK113" s="586"/>
      <c r="AL113" s="586"/>
      <c r="AM113" s="586"/>
      <c r="AN113" s="586"/>
      <c r="AO113" s="586"/>
      <c r="AP113" s="586">
        <f>IF(Table_NFI[[#This Row],[Winter Clothes Adult]]+Table_NFI[[#This Row],[Winter Clothes Children]]+Table_NFI[[#This Row],[Winter Items Other]]+Table_NFI[[#This Row],[Winter Blanket]]&gt;0,1,0)</f>
        <v>1</v>
      </c>
      <c r="AQ113" s="586"/>
      <c r="AR113" s="586"/>
      <c r="AS113" s="586"/>
      <c r="AT113" s="220" t="str">
        <f>IFERROR(VLOOKUP(Table_NFI[[#This Row],[Location]],CL,2,0),"")</f>
        <v>MMR001CMP071</v>
      </c>
      <c r="AU113" s="197"/>
      <c r="AV113" s="197"/>
      <c r="DP113" s="578"/>
    </row>
    <row r="114" spans="2:120" ht="18.75" hidden="1" customHeight="1" x14ac:dyDescent="0.25">
      <c r="B114" s="584">
        <v>43075</v>
      </c>
      <c r="C114" s="584" t="str">
        <f>MONTH(Table_NFI[[#This Row],[Distribution Date]]) &amp; "/" &amp; YEAR(Table_NFI[[#This Row],[Distribution Date]])</f>
        <v>12/2017</v>
      </c>
      <c r="D114" s="213" t="s">
        <v>826</v>
      </c>
      <c r="E114" s="213"/>
      <c r="F114" s="213" t="s">
        <v>378</v>
      </c>
      <c r="G114" s="213" t="s">
        <v>185</v>
      </c>
      <c r="H114" s="213" t="s">
        <v>223</v>
      </c>
      <c r="I114" s="197"/>
      <c r="J114" s="585"/>
      <c r="K114" s="585"/>
      <c r="L114" s="585"/>
      <c r="M114" s="585"/>
      <c r="N114" s="585"/>
      <c r="O114" s="585"/>
      <c r="P114" s="585"/>
      <c r="Q114" s="585"/>
      <c r="R114" s="585"/>
      <c r="S114" s="585"/>
      <c r="T114" s="585"/>
      <c r="U114" s="585"/>
      <c r="V114" s="585"/>
      <c r="W114" s="585"/>
      <c r="X114" s="585">
        <v>143</v>
      </c>
      <c r="Y114" s="585"/>
      <c r="Z114" s="585"/>
      <c r="AA114" s="585"/>
      <c r="AB114" s="585"/>
      <c r="AC114" s="586"/>
      <c r="AD114" s="586"/>
      <c r="AE114" s="586"/>
      <c r="AF114" s="586"/>
      <c r="AG114" s="586"/>
      <c r="AH114" s="586"/>
      <c r="AI114" s="586"/>
      <c r="AJ114" s="586"/>
      <c r="AK114" s="586"/>
      <c r="AL114" s="586"/>
      <c r="AM114" s="586"/>
      <c r="AN114" s="586"/>
      <c r="AO114" s="586"/>
      <c r="AP114" s="586">
        <f>IF(Table_NFI[[#This Row],[Winter Clothes Adult]]+Table_NFI[[#This Row],[Winter Clothes Children]]+Table_NFI[[#This Row],[Winter Items Other]]+Table_NFI[[#This Row],[Winter Blanket]]&gt;0,1,0)</f>
        <v>1</v>
      </c>
      <c r="AQ114" s="586"/>
      <c r="AR114" s="586"/>
      <c r="AS114" s="586"/>
      <c r="AT114" s="220" t="str">
        <f>IFERROR(VLOOKUP(Table_NFI[[#This Row],[Location]],CL,2,0),"")</f>
        <v>MMR001CMP069</v>
      </c>
      <c r="AU114" s="197"/>
      <c r="AV114" s="197"/>
      <c r="DP114" s="578"/>
    </row>
    <row r="115" spans="2:120" ht="18.75" hidden="1" customHeight="1" x14ac:dyDescent="0.25">
      <c r="B115" s="584">
        <v>43075</v>
      </c>
      <c r="C115" s="584" t="str">
        <f>MONTH(Table_NFI[[#This Row],[Distribution Date]]) &amp; "/" &amp; YEAR(Table_NFI[[#This Row],[Distribution Date]])</f>
        <v>12/2017</v>
      </c>
      <c r="D115" s="213" t="s">
        <v>826</v>
      </c>
      <c r="E115" s="213"/>
      <c r="F115" s="213" t="s">
        <v>378</v>
      </c>
      <c r="G115" s="213" t="s">
        <v>185</v>
      </c>
      <c r="H115" s="213" t="s">
        <v>190</v>
      </c>
      <c r="I115" s="197"/>
      <c r="J115" s="585"/>
      <c r="K115" s="585"/>
      <c r="L115" s="585"/>
      <c r="M115" s="585"/>
      <c r="N115" s="585"/>
      <c r="O115" s="585"/>
      <c r="P115" s="585"/>
      <c r="Q115" s="585"/>
      <c r="R115" s="585"/>
      <c r="S115" s="585"/>
      <c r="T115" s="585"/>
      <c r="U115" s="585"/>
      <c r="V115" s="585"/>
      <c r="W115" s="585"/>
      <c r="X115" s="585">
        <v>474</v>
      </c>
      <c r="Y115" s="585"/>
      <c r="Z115" s="585"/>
      <c r="AA115" s="585"/>
      <c r="AB115" s="585"/>
      <c r="AC115" s="586"/>
      <c r="AD115" s="586"/>
      <c r="AE115" s="586"/>
      <c r="AF115" s="586"/>
      <c r="AG115" s="586"/>
      <c r="AH115" s="586"/>
      <c r="AI115" s="586"/>
      <c r="AJ115" s="586"/>
      <c r="AK115" s="586"/>
      <c r="AL115" s="586"/>
      <c r="AM115" s="586"/>
      <c r="AN115" s="586"/>
      <c r="AO115" s="586"/>
      <c r="AP115" s="586">
        <f>IF(Table_NFI[[#This Row],[Winter Clothes Adult]]+Table_NFI[[#This Row],[Winter Clothes Children]]+Table_NFI[[#This Row],[Winter Items Other]]+Table_NFI[[#This Row],[Winter Blanket]]&gt;0,1,0)</f>
        <v>1</v>
      </c>
      <c r="AQ115" s="586"/>
      <c r="AR115" s="586"/>
      <c r="AS115" s="586"/>
      <c r="AT115" s="220" t="str">
        <f>IFERROR(VLOOKUP(Table_NFI[[#This Row],[Location]],CL,2,0),"")</f>
        <v>MMR001CMP070</v>
      </c>
      <c r="AU115" s="197"/>
    </row>
    <row r="116" spans="2:120" ht="18.75" hidden="1" customHeight="1" x14ac:dyDescent="0.25">
      <c r="B116" s="584">
        <v>43075</v>
      </c>
      <c r="C116" s="584" t="str">
        <f>MONTH(Table_NFI[[#This Row],[Distribution Date]]) &amp; "/" &amp; YEAR(Table_NFI[[#This Row],[Distribution Date]])</f>
        <v>12/2017</v>
      </c>
      <c r="D116" s="213" t="s">
        <v>826</v>
      </c>
      <c r="E116" s="213"/>
      <c r="F116" s="213" t="s">
        <v>378</v>
      </c>
      <c r="G116" s="213" t="s">
        <v>185</v>
      </c>
      <c r="H116" s="213" t="s">
        <v>229</v>
      </c>
      <c r="I116" s="197"/>
      <c r="J116" s="585"/>
      <c r="K116" s="585"/>
      <c r="L116" s="585"/>
      <c r="M116" s="585"/>
      <c r="N116" s="585"/>
      <c r="O116" s="585"/>
      <c r="P116" s="585"/>
      <c r="Q116" s="585"/>
      <c r="R116" s="585"/>
      <c r="S116" s="585"/>
      <c r="T116" s="585"/>
      <c r="U116" s="585"/>
      <c r="V116" s="585"/>
      <c r="W116" s="585"/>
      <c r="X116" s="585">
        <v>122</v>
      </c>
      <c r="Y116" s="585"/>
      <c r="Z116" s="585"/>
      <c r="AA116" s="585"/>
      <c r="AB116" s="585"/>
      <c r="AC116" s="586"/>
      <c r="AD116" s="586"/>
      <c r="AE116" s="586"/>
      <c r="AF116" s="586"/>
      <c r="AG116" s="586"/>
      <c r="AH116" s="586"/>
      <c r="AI116" s="586"/>
      <c r="AJ116" s="586"/>
      <c r="AK116" s="586"/>
      <c r="AL116" s="586"/>
      <c r="AM116" s="586"/>
      <c r="AN116" s="586"/>
      <c r="AO116" s="586"/>
      <c r="AP116" s="586">
        <f>IF(Table_NFI[[#This Row],[Winter Clothes Adult]]+Table_NFI[[#This Row],[Winter Clothes Children]]+Table_NFI[[#This Row],[Winter Items Other]]+Table_NFI[[#This Row],[Winter Blanket]]&gt;0,1,0)</f>
        <v>1</v>
      </c>
      <c r="AQ116" s="586"/>
      <c r="AR116" s="586"/>
      <c r="AS116" s="586"/>
      <c r="AT116" s="220" t="str">
        <f>IFERROR(VLOOKUP(Table_NFI[[#This Row],[Location]],CL,2,0),"")</f>
        <v>MMR001CMP072</v>
      </c>
      <c r="AU116" s="197"/>
    </row>
    <row r="117" spans="2:120" ht="18.75" hidden="1" customHeight="1" x14ac:dyDescent="0.25">
      <c r="B117" s="584">
        <v>43075</v>
      </c>
      <c r="C117" s="584" t="str">
        <f>MONTH(Table_NFI[[#This Row],[Distribution Date]]) &amp; "/" &amp; YEAR(Table_NFI[[#This Row],[Distribution Date]])</f>
        <v>12/2017</v>
      </c>
      <c r="D117" s="213" t="s">
        <v>826</v>
      </c>
      <c r="E117" s="213"/>
      <c r="F117" s="213" t="s">
        <v>378</v>
      </c>
      <c r="G117" s="213" t="s">
        <v>185</v>
      </c>
      <c r="H117" s="213" t="s">
        <v>225</v>
      </c>
      <c r="I117" s="197"/>
      <c r="J117" s="585"/>
      <c r="K117" s="585"/>
      <c r="L117" s="585"/>
      <c r="M117" s="585"/>
      <c r="N117" s="585"/>
      <c r="O117" s="585"/>
      <c r="P117" s="585"/>
      <c r="Q117" s="585"/>
      <c r="R117" s="585"/>
      <c r="S117" s="585"/>
      <c r="T117" s="585"/>
      <c r="U117" s="585"/>
      <c r="V117" s="585"/>
      <c r="W117" s="585"/>
      <c r="X117" s="585">
        <v>101</v>
      </c>
      <c r="Y117" s="585"/>
      <c r="Z117" s="585"/>
      <c r="AA117" s="585"/>
      <c r="AB117" s="585"/>
      <c r="AC117" s="586"/>
      <c r="AD117" s="586"/>
      <c r="AE117" s="586"/>
      <c r="AF117" s="586"/>
      <c r="AG117" s="586"/>
      <c r="AH117" s="586"/>
      <c r="AI117" s="586"/>
      <c r="AJ117" s="586"/>
      <c r="AK117" s="586"/>
      <c r="AL117" s="586"/>
      <c r="AM117" s="586"/>
      <c r="AN117" s="586"/>
      <c r="AO117" s="586"/>
      <c r="AP117" s="586">
        <f>IF(Table_NFI[[#This Row],[Winter Clothes Adult]]+Table_NFI[[#This Row],[Winter Clothes Children]]+Table_NFI[[#This Row],[Winter Items Other]]+Table_NFI[[#This Row],[Winter Blanket]]&gt;0,1,0)</f>
        <v>1</v>
      </c>
      <c r="AQ117" s="586"/>
      <c r="AR117" s="586"/>
      <c r="AS117" s="586"/>
      <c r="AT117" s="220" t="str">
        <f>IFERROR(VLOOKUP(Table_NFI[[#This Row],[Location]],CL,2,0),"")</f>
        <v>MMR001CMP073</v>
      </c>
      <c r="AU117" s="197"/>
    </row>
    <row r="118" spans="2:120" ht="18.75" hidden="1" customHeight="1" x14ac:dyDescent="0.25">
      <c r="B118" s="584">
        <v>43078</v>
      </c>
      <c r="C118" s="584" t="str">
        <f>MONTH(Table_NFI[[#This Row],[Distribution Date]]) &amp; "/" &amp; YEAR(Table_NFI[[#This Row],[Distribution Date]])</f>
        <v>12/2017</v>
      </c>
      <c r="D118" s="213" t="s">
        <v>1597</v>
      </c>
      <c r="E118" s="213" t="s">
        <v>1597</v>
      </c>
      <c r="F118" s="213" t="s">
        <v>506</v>
      </c>
      <c r="G118" s="213" t="s">
        <v>297</v>
      </c>
      <c r="H118" s="213" t="s">
        <v>1599</v>
      </c>
      <c r="I118" s="197"/>
      <c r="J118" s="585"/>
      <c r="K118" s="585"/>
      <c r="L118" s="585">
        <v>15</v>
      </c>
      <c r="M118" s="585"/>
      <c r="N118" s="585"/>
      <c r="O118" s="585"/>
      <c r="P118" s="585"/>
      <c r="Q118" s="585"/>
      <c r="R118" s="585"/>
      <c r="S118" s="585"/>
      <c r="T118" s="585"/>
      <c r="U118" s="585"/>
      <c r="V118" s="585"/>
      <c r="W118" s="585">
        <v>15</v>
      </c>
      <c r="X118" s="585"/>
      <c r="Y118" s="585"/>
      <c r="Z118" s="585"/>
      <c r="AA118" s="585"/>
      <c r="AB118" s="585"/>
      <c r="AC118" s="586"/>
      <c r="AD118" s="586"/>
      <c r="AE118" s="586"/>
      <c r="AF118" s="586"/>
      <c r="AG118" s="586"/>
      <c r="AH118" s="586"/>
      <c r="AI118" s="586"/>
      <c r="AJ118" s="586"/>
      <c r="AK118" s="586"/>
      <c r="AL118" s="586"/>
      <c r="AM118" s="586"/>
      <c r="AN118" s="586"/>
      <c r="AO118" s="586"/>
      <c r="AP118" s="586">
        <f>IF(Table_NFI[[#This Row],[Winter Clothes Adult]]+Table_NFI[[#This Row],[Winter Clothes Children]]+Table_NFI[[#This Row],[Winter Items Other]]+Table_NFI[[#This Row],[Winter Blanket]]&gt;0,1,0)</f>
        <v>1</v>
      </c>
      <c r="AQ118" s="586"/>
      <c r="AR118" s="586"/>
      <c r="AS118" s="586"/>
      <c r="AT118" s="220" t="str">
        <f>IFERROR(VLOOKUP(Table_NFI[[#This Row],[Location]],CL,2,0),"")</f>
        <v/>
      </c>
      <c r="AU118" s="197"/>
    </row>
    <row r="119" spans="2:120" ht="18.75" customHeight="1" x14ac:dyDescent="0.25">
      <c r="B119" s="596">
        <v>43090</v>
      </c>
      <c r="C119" s="596" t="str">
        <f>MONTH(Table_NFI[[#This Row],[Distribution Date]]) &amp; "/" &amp; YEAR(Table_NFI[[#This Row],[Distribution Date]])</f>
        <v>12/2017</v>
      </c>
      <c r="D119" s="213" t="s">
        <v>1618</v>
      </c>
      <c r="E119" s="213" t="s">
        <v>1619</v>
      </c>
      <c r="F119" s="213" t="s">
        <v>506</v>
      </c>
      <c r="G119" s="213" t="s">
        <v>1603</v>
      </c>
      <c r="H119" s="213" t="s">
        <v>919</v>
      </c>
      <c r="I119" s="197"/>
      <c r="J119" s="585"/>
      <c r="K119" s="585">
        <v>10</v>
      </c>
      <c r="L119" s="585"/>
      <c r="M119" s="585"/>
      <c r="N119" s="585"/>
      <c r="O119" s="585"/>
      <c r="P119" s="585"/>
      <c r="Q119" s="585"/>
      <c r="R119" s="585"/>
      <c r="S119" s="585"/>
      <c r="T119" s="585"/>
      <c r="U119" s="585"/>
      <c r="V119" s="585"/>
      <c r="W119" s="585"/>
      <c r="X119" s="585"/>
      <c r="Y119" s="585"/>
      <c r="Z119" s="585"/>
      <c r="AA119" s="585"/>
      <c r="AB119" s="585"/>
      <c r="AC119" s="586"/>
      <c r="AD119" s="586"/>
      <c r="AE119" s="586"/>
      <c r="AF119" s="586"/>
      <c r="AG119" s="586"/>
      <c r="AH119" s="586"/>
      <c r="AI119" s="586"/>
      <c r="AJ119" s="586"/>
      <c r="AK119" s="586"/>
      <c r="AL119" s="586"/>
      <c r="AM119" s="586"/>
      <c r="AN119" s="586"/>
      <c r="AO119" s="586"/>
      <c r="AP119" s="586">
        <f>IF(Table_NFI[[#This Row],[Winter Clothes Adult]]+Table_NFI[[#This Row],[Winter Clothes Children]]+Table_NFI[[#This Row],[Winter Items Other]]+Table_NFI[[#This Row],[Winter Blanket]]&gt;0,1,0)</f>
        <v>0</v>
      </c>
      <c r="AQ119" s="586"/>
      <c r="AR119" s="586"/>
      <c r="AS119" s="586"/>
      <c r="AT119" s="220" t="str">
        <f>IFERROR(VLOOKUP(Table_NFI[[#This Row],[Location]],CL,2,0),"")</f>
        <v>MMR015CMP215</v>
      </c>
      <c r="AU119" s="197"/>
    </row>
    <row r="120" spans="2:120" ht="18.75" customHeight="1" x14ac:dyDescent="0.25">
      <c r="B120" s="596">
        <v>43095</v>
      </c>
      <c r="C120" s="596" t="str">
        <f>MONTH(Table_NFI[[#This Row],[Distribution Date]]) &amp; "/" &amp; YEAR(Table_NFI[[#This Row],[Distribution Date]])</f>
        <v>12/2017</v>
      </c>
      <c r="D120" s="213" t="s">
        <v>1618</v>
      </c>
      <c r="E120" s="213" t="s">
        <v>1619</v>
      </c>
      <c r="F120" s="213" t="s">
        <v>506</v>
      </c>
      <c r="G120" s="213" t="s">
        <v>1603</v>
      </c>
      <c r="H120" s="213" t="s">
        <v>919</v>
      </c>
      <c r="I120" s="197"/>
      <c r="J120" s="585"/>
      <c r="K120" s="585">
        <v>8</v>
      </c>
      <c r="L120" s="585"/>
      <c r="M120" s="585"/>
      <c r="N120" s="585"/>
      <c r="O120" s="585"/>
      <c r="P120" s="585"/>
      <c r="Q120" s="585"/>
      <c r="R120" s="585"/>
      <c r="S120" s="585"/>
      <c r="T120" s="585"/>
      <c r="U120" s="585"/>
      <c r="V120" s="585"/>
      <c r="W120" s="585"/>
      <c r="X120" s="585"/>
      <c r="Y120" s="585"/>
      <c r="Z120" s="585"/>
      <c r="AA120" s="585"/>
      <c r="AB120" s="585"/>
      <c r="AC120" s="586"/>
      <c r="AD120" s="586"/>
      <c r="AE120" s="586"/>
      <c r="AF120" s="586"/>
      <c r="AG120" s="586"/>
      <c r="AH120" s="586"/>
      <c r="AI120" s="586"/>
      <c r="AJ120" s="586"/>
      <c r="AK120" s="586"/>
      <c r="AL120" s="586"/>
      <c r="AM120" s="586"/>
      <c r="AN120" s="586"/>
      <c r="AO120" s="586"/>
      <c r="AP120" s="586">
        <f>IF(Table_NFI[[#This Row],[Winter Clothes Adult]]+Table_NFI[[#This Row],[Winter Clothes Children]]+Table_NFI[[#This Row],[Winter Items Other]]+Table_NFI[[#This Row],[Winter Blanket]]&gt;0,1,0)</f>
        <v>0</v>
      </c>
      <c r="AQ120" s="586"/>
      <c r="AR120" s="586"/>
      <c r="AS120" s="586"/>
      <c r="AT120" s="220" t="str">
        <f>IFERROR(VLOOKUP(Table_NFI[[#This Row],[Location]],CL,2,0),"")</f>
        <v>MMR015CMP215</v>
      </c>
      <c r="AU120" s="197"/>
    </row>
    <row r="121" spans="2:120" ht="18.75" hidden="1" customHeight="1" x14ac:dyDescent="0.25">
      <c r="B121" s="596">
        <v>43096</v>
      </c>
      <c r="C121" s="596" t="str">
        <f>MONTH(Table_NFI[[#This Row],[Distribution Date]]) &amp; "/" &amp; YEAR(Table_NFI[[#This Row],[Distribution Date]])</f>
        <v>12/2017</v>
      </c>
      <c r="D121" s="213" t="s">
        <v>826</v>
      </c>
      <c r="E121" s="213"/>
      <c r="F121" s="213" t="s">
        <v>378</v>
      </c>
      <c r="G121" s="213" t="s">
        <v>5</v>
      </c>
      <c r="H121" s="213" t="s">
        <v>1479</v>
      </c>
      <c r="I121" s="197"/>
      <c r="J121" s="585"/>
      <c r="K121" s="585"/>
      <c r="L121" s="585"/>
      <c r="M121" s="585"/>
      <c r="N121" s="585"/>
      <c r="O121" s="585"/>
      <c r="P121" s="585"/>
      <c r="Q121" s="585"/>
      <c r="R121" s="585"/>
      <c r="S121" s="585"/>
      <c r="T121" s="585"/>
      <c r="U121" s="585"/>
      <c r="V121" s="585"/>
      <c r="W121" s="585"/>
      <c r="X121" s="585">
        <v>257</v>
      </c>
      <c r="Y121" s="585"/>
      <c r="Z121" s="585"/>
      <c r="AA121" s="585"/>
      <c r="AB121" s="585"/>
      <c r="AC121" s="586"/>
      <c r="AD121" s="586"/>
      <c r="AE121" s="586"/>
      <c r="AF121" s="586"/>
      <c r="AG121" s="586"/>
      <c r="AH121" s="586"/>
      <c r="AI121" s="586"/>
      <c r="AJ121" s="586"/>
      <c r="AK121" s="586"/>
      <c r="AL121" s="586"/>
      <c r="AM121" s="586"/>
      <c r="AN121" s="586"/>
      <c r="AO121" s="586"/>
      <c r="AP121" s="586">
        <f>IF(Table_NFI[[#This Row],[Winter Clothes Adult]]+Table_NFI[[#This Row],[Winter Clothes Children]]+Table_NFI[[#This Row],[Winter Items Other]]+Table_NFI[[#This Row],[Winter Blanket]]&gt;0,1,0)</f>
        <v>1</v>
      </c>
      <c r="AQ121" s="586"/>
      <c r="AR121" s="586"/>
      <c r="AS121" s="586"/>
      <c r="AT121" s="220" t="str">
        <f>IFERROR(VLOOKUP(Table_NFI[[#This Row],[Location]],CL,2,0),"")</f>
        <v/>
      </c>
      <c r="AU121" s="197"/>
    </row>
    <row r="122" spans="2:120" ht="18.75" hidden="1" customHeight="1" x14ac:dyDescent="0.25">
      <c r="B122" s="596">
        <v>43096</v>
      </c>
      <c r="C122" s="596" t="str">
        <f>MONTH(Table_NFI[[#This Row],[Distribution Date]]) &amp; "/" &amp; YEAR(Table_NFI[[#This Row],[Distribution Date]])</f>
        <v>12/2017</v>
      </c>
      <c r="D122" s="213" t="s">
        <v>826</v>
      </c>
      <c r="E122" s="213"/>
      <c r="F122" s="213" t="s">
        <v>378</v>
      </c>
      <c r="G122" s="213" t="s">
        <v>5</v>
      </c>
      <c r="H122" s="213" t="s">
        <v>18</v>
      </c>
      <c r="I122" s="197"/>
      <c r="J122" s="585"/>
      <c r="K122" s="585"/>
      <c r="L122" s="585"/>
      <c r="M122" s="585"/>
      <c r="N122" s="585"/>
      <c r="O122" s="585"/>
      <c r="P122" s="585"/>
      <c r="Q122" s="585"/>
      <c r="R122" s="585"/>
      <c r="S122" s="585"/>
      <c r="T122" s="585"/>
      <c r="U122" s="585"/>
      <c r="V122" s="585"/>
      <c r="W122" s="585"/>
      <c r="X122" s="585">
        <v>130</v>
      </c>
      <c r="Y122" s="585"/>
      <c r="Z122" s="585"/>
      <c r="AA122" s="585"/>
      <c r="AB122" s="585"/>
      <c r="AC122" s="586"/>
      <c r="AD122" s="586"/>
      <c r="AE122" s="586"/>
      <c r="AF122" s="586"/>
      <c r="AG122" s="586"/>
      <c r="AH122" s="586"/>
      <c r="AI122" s="586"/>
      <c r="AJ122" s="586"/>
      <c r="AK122" s="586"/>
      <c r="AL122" s="586"/>
      <c r="AM122" s="586"/>
      <c r="AN122" s="586"/>
      <c r="AO122" s="586"/>
      <c r="AP122" s="586">
        <f>IF(Table_NFI[[#This Row],[Winter Clothes Adult]]+Table_NFI[[#This Row],[Winter Clothes Children]]+Table_NFI[[#This Row],[Winter Items Other]]+Table_NFI[[#This Row],[Winter Blanket]]&gt;0,1,0)</f>
        <v>1</v>
      </c>
      <c r="AQ122" s="586"/>
      <c r="AR122" s="586"/>
      <c r="AS122" s="586"/>
      <c r="AT122" s="220" t="str">
        <f>IFERROR(VLOOKUP(Table_NFI[[#This Row],[Location]],CL,2,0),"")</f>
        <v>MMR001CMP049</v>
      </c>
      <c r="AU122" s="197"/>
    </row>
    <row r="123" spans="2:120" ht="18.75" hidden="1" customHeight="1" x14ac:dyDescent="0.25">
      <c r="B123" s="596">
        <v>43096</v>
      </c>
      <c r="C123" s="596" t="str">
        <f>MONTH(Table_NFI[[#This Row],[Distribution Date]]) &amp; "/" &amp; YEAR(Table_NFI[[#This Row],[Distribution Date]])</f>
        <v>12/2017</v>
      </c>
      <c r="D123" s="213" t="s">
        <v>826</v>
      </c>
      <c r="E123" s="213"/>
      <c r="F123" s="213" t="s">
        <v>378</v>
      </c>
      <c r="G123" s="213" t="s">
        <v>5</v>
      </c>
      <c r="H123" s="213" t="s">
        <v>1487</v>
      </c>
      <c r="I123" s="197"/>
      <c r="J123" s="585"/>
      <c r="K123" s="585"/>
      <c r="L123" s="585"/>
      <c r="M123" s="585"/>
      <c r="N123" s="585"/>
      <c r="O123" s="585"/>
      <c r="P123" s="585"/>
      <c r="Q123" s="585"/>
      <c r="R123" s="585"/>
      <c r="S123" s="585"/>
      <c r="T123" s="585"/>
      <c r="U123" s="585"/>
      <c r="V123" s="585"/>
      <c r="W123" s="585"/>
      <c r="X123" s="585">
        <v>21</v>
      </c>
      <c r="Y123" s="585"/>
      <c r="Z123" s="585"/>
      <c r="AA123" s="585"/>
      <c r="AB123" s="585"/>
      <c r="AC123" s="586"/>
      <c r="AD123" s="586"/>
      <c r="AE123" s="586"/>
      <c r="AF123" s="586"/>
      <c r="AG123" s="586"/>
      <c r="AH123" s="586"/>
      <c r="AI123" s="586"/>
      <c r="AJ123" s="586"/>
      <c r="AK123" s="586"/>
      <c r="AL123" s="586"/>
      <c r="AM123" s="586"/>
      <c r="AN123" s="586"/>
      <c r="AO123" s="586"/>
      <c r="AP123" s="586">
        <f>IF(Table_NFI[[#This Row],[Winter Clothes Adult]]+Table_NFI[[#This Row],[Winter Clothes Children]]+Table_NFI[[#This Row],[Winter Items Other]]+Table_NFI[[#This Row],[Winter Blanket]]&gt;0,1,0)</f>
        <v>1</v>
      </c>
      <c r="AQ123" s="586"/>
      <c r="AR123" s="586"/>
      <c r="AS123" s="586"/>
      <c r="AT123" s="220" t="str">
        <f>IFERROR(VLOOKUP(Table_NFI[[#This Row],[Location]],CL,2,0),"")</f>
        <v/>
      </c>
      <c r="AU123" s="197"/>
    </row>
    <row r="124" spans="2:120" ht="18.75" hidden="1" customHeight="1" x14ac:dyDescent="0.25">
      <c r="B124" s="596">
        <v>43096</v>
      </c>
      <c r="C124" s="596" t="str">
        <f>MONTH(Table_NFI[[#This Row],[Distribution Date]]) &amp; "/" &amp; YEAR(Table_NFI[[#This Row],[Distribution Date]])</f>
        <v>12/2017</v>
      </c>
      <c r="D124" s="213" t="s">
        <v>826</v>
      </c>
      <c r="E124" s="213"/>
      <c r="F124" s="213" t="s">
        <v>378</v>
      </c>
      <c r="G124" s="213" t="s">
        <v>5</v>
      </c>
      <c r="H124" s="213" t="s">
        <v>364</v>
      </c>
      <c r="I124" s="197"/>
      <c r="J124" s="585"/>
      <c r="K124" s="585"/>
      <c r="L124" s="585"/>
      <c r="M124" s="585"/>
      <c r="N124" s="585"/>
      <c r="O124" s="585"/>
      <c r="P124" s="585"/>
      <c r="Q124" s="585"/>
      <c r="R124" s="585"/>
      <c r="S124" s="585"/>
      <c r="T124" s="585"/>
      <c r="U124" s="585"/>
      <c r="V124" s="585"/>
      <c r="W124" s="585"/>
      <c r="X124" s="585">
        <v>144</v>
      </c>
      <c r="Y124" s="585"/>
      <c r="Z124" s="585"/>
      <c r="AA124" s="585"/>
      <c r="AB124" s="585"/>
      <c r="AC124" s="586"/>
      <c r="AD124" s="586"/>
      <c r="AE124" s="586"/>
      <c r="AF124" s="586"/>
      <c r="AG124" s="586"/>
      <c r="AH124" s="586"/>
      <c r="AI124" s="586"/>
      <c r="AJ124" s="586"/>
      <c r="AK124" s="586"/>
      <c r="AL124" s="586"/>
      <c r="AM124" s="586"/>
      <c r="AN124" s="586"/>
      <c r="AO124" s="586"/>
      <c r="AP124" s="586">
        <f>IF(Table_NFI[[#This Row],[Winter Clothes Adult]]+Table_NFI[[#This Row],[Winter Clothes Children]]+Table_NFI[[#This Row],[Winter Items Other]]+Table_NFI[[#This Row],[Winter Blanket]]&gt;0,1,0)</f>
        <v>1</v>
      </c>
      <c r="AQ124" s="586"/>
      <c r="AR124" s="586"/>
      <c r="AS124" s="586"/>
      <c r="AT124" s="220" t="str">
        <f>IFERROR(VLOOKUP(Table_NFI[[#This Row],[Location]],CL,2,0),"")</f>
        <v>MMR001CMP193</v>
      </c>
      <c r="AU124" s="197"/>
    </row>
    <row r="125" spans="2:120" ht="18.75" hidden="1" customHeight="1" x14ac:dyDescent="0.25">
      <c r="B125" s="596">
        <v>43096</v>
      </c>
      <c r="C125" s="596" t="str">
        <f>MONTH(Table_NFI[[#This Row],[Distribution Date]]) &amp; "/" &amp; YEAR(Table_NFI[[#This Row],[Distribution Date]])</f>
        <v>12/2017</v>
      </c>
      <c r="D125" s="213" t="s">
        <v>826</v>
      </c>
      <c r="E125" s="213"/>
      <c r="F125" s="213" t="s">
        <v>378</v>
      </c>
      <c r="G125" s="213" t="s">
        <v>5</v>
      </c>
      <c r="H125" s="213" t="s">
        <v>24</v>
      </c>
      <c r="I125" s="197"/>
      <c r="J125" s="585"/>
      <c r="K125" s="585"/>
      <c r="L125" s="585"/>
      <c r="M125" s="585"/>
      <c r="N125" s="585"/>
      <c r="O125" s="585"/>
      <c r="P125" s="585"/>
      <c r="Q125" s="585"/>
      <c r="R125" s="585"/>
      <c r="S125" s="585"/>
      <c r="T125" s="585"/>
      <c r="U125" s="585"/>
      <c r="V125" s="585"/>
      <c r="W125" s="585"/>
      <c r="X125" s="585">
        <v>20</v>
      </c>
      <c r="Y125" s="585"/>
      <c r="Z125" s="585"/>
      <c r="AA125" s="585"/>
      <c r="AB125" s="585"/>
      <c r="AC125" s="586"/>
      <c r="AD125" s="586"/>
      <c r="AE125" s="586"/>
      <c r="AF125" s="586"/>
      <c r="AG125" s="586"/>
      <c r="AH125" s="586"/>
      <c r="AI125" s="586"/>
      <c r="AJ125" s="586"/>
      <c r="AK125" s="586"/>
      <c r="AL125" s="586"/>
      <c r="AM125" s="586"/>
      <c r="AN125" s="586"/>
      <c r="AO125" s="586"/>
      <c r="AP125" s="586">
        <f>IF(Table_NFI[[#This Row],[Winter Clothes Adult]]+Table_NFI[[#This Row],[Winter Clothes Children]]+Table_NFI[[#This Row],[Winter Items Other]]+Table_NFI[[#This Row],[Winter Blanket]]&gt;0,1,0)</f>
        <v>1</v>
      </c>
      <c r="AQ125" s="586"/>
      <c r="AR125" s="586"/>
      <c r="AS125" s="586"/>
      <c r="AT125" s="220" t="str">
        <f>IFERROR(VLOOKUP(Table_NFI[[#This Row],[Location]],CL,2,0),"")</f>
        <v>MMR001CMP055</v>
      </c>
      <c r="AU125" s="197"/>
    </row>
    <row r="126" spans="2:120" ht="18.75" hidden="1" customHeight="1" x14ac:dyDescent="0.25">
      <c r="B126" s="596">
        <v>43096</v>
      </c>
      <c r="C126" s="596" t="str">
        <f>MONTH(Table_NFI[[#This Row],[Distribution Date]]) &amp; "/" &amp; YEAR(Table_NFI[[#This Row],[Distribution Date]])</f>
        <v>12/2017</v>
      </c>
      <c r="D126" s="213" t="s">
        <v>826</v>
      </c>
      <c r="E126" s="213"/>
      <c r="F126" s="213" t="s">
        <v>378</v>
      </c>
      <c r="G126" s="213" t="s">
        <v>5</v>
      </c>
      <c r="H126" s="213" t="s">
        <v>26</v>
      </c>
      <c r="I126" s="197"/>
      <c r="J126" s="585"/>
      <c r="K126" s="585"/>
      <c r="L126" s="585"/>
      <c r="M126" s="585"/>
      <c r="N126" s="585"/>
      <c r="O126" s="585"/>
      <c r="P126" s="585"/>
      <c r="Q126" s="585"/>
      <c r="R126" s="585"/>
      <c r="S126" s="585"/>
      <c r="T126" s="585"/>
      <c r="U126" s="585"/>
      <c r="V126" s="585"/>
      <c r="W126" s="585"/>
      <c r="X126" s="585">
        <v>14</v>
      </c>
      <c r="Y126" s="585"/>
      <c r="Z126" s="585"/>
      <c r="AA126" s="585"/>
      <c r="AB126" s="585"/>
      <c r="AC126" s="586"/>
      <c r="AD126" s="586"/>
      <c r="AE126" s="586"/>
      <c r="AF126" s="586"/>
      <c r="AG126" s="586"/>
      <c r="AH126" s="586"/>
      <c r="AI126" s="586"/>
      <c r="AJ126" s="586"/>
      <c r="AK126" s="586"/>
      <c r="AL126" s="586"/>
      <c r="AM126" s="586"/>
      <c r="AN126" s="586"/>
      <c r="AO126" s="586"/>
      <c r="AP126" s="586">
        <f>IF(Table_NFI[[#This Row],[Winter Clothes Adult]]+Table_NFI[[#This Row],[Winter Clothes Children]]+Table_NFI[[#This Row],[Winter Items Other]]+Table_NFI[[#This Row],[Winter Blanket]]&gt;0,1,0)</f>
        <v>1</v>
      </c>
      <c r="AQ126" s="586"/>
      <c r="AR126" s="586"/>
      <c r="AS126" s="586"/>
      <c r="AT126" s="220" t="str">
        <f>IFERROR(VLOOKUP(Table_NFI[[#This Row],[Location]],CL,2,0),"")</f>
        <v>MMR001CMP053</v>
      </c>
      <c r="AU126" s="197"/>
    </row>
    <row r="127" spans="2:120" ht="18.75" hidden="1" customHeight="1" x14ac:dyDescent="0.25">
      <c r="B127" s="596">
        <v>43096</v>
      </c>
      <c r="C127" s="596" t="str">
        <f>MONTH(Table_NFI[[#This Row],[Distribution Date]]) &amp; "/" &amp; YEAR(Table_NFI[[#This Row],[Distribution Date]])</f>
        <v>12/2017</v>
      </c>
      <c r="D127" s="213" t="s">
        <v>826</v>
      </c>
      <c r="E127" s="213"/>
      <c r="F127" s="213" t="s">
        <v>378</v>
      </c>
      <c r="G127" s="213" t="s">
        <v>5</v>
      </c>
      <c r="H127" s="213" t="s">
        <v>8</v>
      </c>
      <c r="I127" s="197"/>
      <c r="J127" s="585"/>
      <c r="K127" s="585"/>
      <c r="L127" s="585"/>
      <c r="M127" s="585"/>
      <c r="N127" s="585"/>
      <c r="O127" s="585"/>
      <c r="P127" s="585"/>
      <c r="Q127" s="585"/>
      <c r="R127" s="585"/>
      <c r="S127" s="585"/>
      <c r="T127" s="585"/>
      <c r="U127" s="585"/>
      <c r="V127" s="585"/>
      <c r="W127" s="585"/>
      <c r="X127" s="585">
        <v>13</v>
      </c>
      <c r="Y127" s="585"/>
      <c r="Z127" s="585"/>
      <c r="AA127" s="585"/>
      <c r="AB127" s="585"/>
      <c r="AC127" s="586"/>
      <c r="AD127" s="586"/>
      <c r="AE127" s="586"/>
      <c r="AF127" s="586"/>
      <c r="AG127" s="586"/>
      <c r="AH127" s="586"/>
      <c r="AI127" s="586"/>
      <c r="AJ127" s="586"/>
      <c r="AK127" s="586"/>
      <c r="AL127" s="586"/>
      <c r="AM127" s="586"/>
      <c r="AN127" s="586"/>
      <c r="AO127" s="586"/>
      <c r="AP127" s="586">
        <f>IF(Table_NFI[[#This Row],[Winter Clothes Adult]]+Table_NFI[[#This Row],[Winter Clothes Children]]+Table_NFI[[#This Row],[Winter Items Other]]+Table_NFI[[#This Row],[Winter Blanket]]&gt;0,1,0)</f>
        <v>1</v>
      </c>
      <c r="AQ127" s="586"/>
      <c r="AR127" s="586"/>
      <c r="AS127" s="586"/>
      <c r="AT127" s="220" t="str">
        <f>IFERROR(VLOOKUP(Table_NFI[[#This Row],[Location]],CL,2,0),"")</f>
        <v>MMR001CMP051</v>
      </c>
      <c r="AU127" s="197"/>
    </row>
    <row r="128" spans="2:120" ht="18.75" hidden="1" customHeight="1" x14ac:dyDescent="0.25">
      <c r="B128" s="596">
        <v>43096</v>
      </c>
      <c r="C128" s="596" t="str">
        <f>MONTH(Table_NFI[[#This Row],[Distribution Date]]) &amp; "/" &amp; YEAR(Table_NFI[[#This Row],[Distribution Date]])</f>
        <v>12/2017</v>
      </c>
      <c r="D128" s="213" t="s">
        <v>826</v>
      </c>
      <c r="E128" s="213"/>
      <c r="F128" s="213" t="s">
        <v>378</v>
      </c>
      <c r="G128" s="213" t="s">
        <v>5</v>
      </c>
      <c r="H128" s="213" t="s">
        <v>14</v>
      </c>
      <c r="I128" s="197"/>
      <c r="J128" s="585"/>
      <c r="K128" s="585"/>
      <c r="L128" s="585"/>
      <c r="M128" s="585"/>
      <c r="N128" s="585"/>
      <c r="O128" s="585"/>
      <c r="P128" s="585"/>
      <c r="Q128" s="585"/>
      <c r="R128" s="585"/>
      <c r="S128" s="585"/>
      <c r="T128" s="585"/>
      <c r="U128" s="585"/>
      <c r="V128" s="585"/>
      <c r="W128" s="585"/>
      <c r="X128" s="585">
        <v>39</v>
      </c>
      <c r="Y128" s="585"/>
      <c r="Z128" s="585"/>
      <c r="AA128" s="585"/>
      <c r="AB128" s="585"/>
      <c r="AC128" s="586"/>
      <c r="AD128" s="586"/>
      <c r="AE128" s="586"/>
      <c r="AF128" s="586"/>
      <c r="AG128" s="586"/>
      <c r="AH128" s="586"/>
      <c r="AI128" s="586"/>
      <c r="AJ128" s="586"/>
      <c r="AK128" s="586"/>
      <c r="AL128" s="586"/>
      <c r="AM128" s="586"/>
      <c r="AN128" s="586"/>
      <c r="AO128" s="586"/>
      <c r="AP128" s="586">
        <f>IF(Table_NFI[[#This Row],[Winter Clothes Adult]]+Table_NFI[[#This Row],[Winter Clothes Children]]+Table_NFI[[#This Row],[Winter Items Other]]+Table_NFI[[#This Row],[Winter Blanket]]&gt;0,1,0)</f>
        <v>1</v>
      </c>
      <c r="AQ128" s="586"/>
      <c r="AR128" s="586"/>
      <c r="AS128" s="586"/>
      <c r="AT128" s="220" t="str">
        <f>IFERROR(VLOOKUP(Table_NFI[[#This Row],[Location]],CL,2,0),"")</f>
        <v>MMR001CMP052</v>
      </c>
      <c r="AU128" s="197"/>
    </row>
    <row r="129" spans="2:47" ht="18.75" hidden="1" customHeight="1" x14ac:dyDescent="0.25">
      <c r="B129" s="596">
        <v>43096</v>
      </c>
      <c r="C129" s="596" t="str">
        <f>MONTH(Table_NFI[[#This Row],[Distribution Date]]) &amp; "/" &amp; YEAR(Table_NFI[[#This Row],[Distribution Date]])</f>
        <v>12/2017</v>
      </c>
      <c r="D129" s="213" t="s">
        <v>826</v>
      </c>
      <c r="E129" s="213"/>
      <c r="F129" s="213" t="s">
        <v>378</v>
      </c>
      <c r="G129" s="213" t="s">
        <v>5</v>
      </c>
      <c r="H129" s="213" t="s">
        <v>22</v>
      </c>
      <c r="I129" s="197"/>
      <c r="J129" s="585"/>
      <c r="K129" s="585"/>
      <c r="L129" s="585"/>
      <c r="M129" s="585"/>
      <c r="N129" s="585"/>
      <c r="O129" s="585"/>
      <c r="P129" s="585"/>
      <c r="Q129" s="585"/>
      <c r="R129" s="585"/>
      <c r="S129" s="585"/>
      <c r="T129" s="585"/>
      <c r="U129" s="585"/>
      <c r="V129" s="585"/>
      <c r="W129" s="585"/>
      <c r="X129" s="585">
        <v>508</v>
      </c>
      <c r="Y129" s="585"/>
      <c r="Z129" s="585"/>
      <c r="AA129" s="585"/>
      <c r="AB129" s="585"/>
      <c r="AC129" s="586"/>
      <c r="AD129" s="586"/>
      <c r="AE129" s="586"/>
      <c r="AF129" s="586"/>
      <c r="AG129" s="586"/>
      <c r="AH129" s="586"/>
      <c r="AI129" s="586"/>
      <c r="AJ129" s="586"/>
      <c r="AK129" s="586"/>
      <c r="AL129" s="586"/>
      <c r="AM129" s="586"/>
      <c r="AN129" s="586"/>
      <c r="AO129" s="586"/>
      <c r="AP129" s="586">
        <f>IF(Table_NFI[[#This Row],[Winter Clothes Adult]]+Table_NFI[[#This Row],[Winter Clothes Children]]+Table_NFI[[#This Row],[Winter Items Other]]+Table_NFI[[#This Row],[Winter Blanket]]&gt;0,1,0)</f>
        <v>1</v>
      </c>
      <c r="AQ129" s="586"/>
      <c r="AR129" s="586"/>
      <c r="AS129" s="586"/>
      <c r="AT129" s="220" t="str">
        <f>IFERROR(VLOOKUP(Table_NFI[[#This Row],[Location]],CL,2,0),"")</f>
        <v>MMR001CMP047</v>
      </c>
      <c r="AU129" s="197"/>
    </row>
    <row r="130" spans="2:47" ht="18.75" hidden="1" customHeight="1" x14ac:dyDescent="0.25">
      <c r="B130" s="596">
        <v>43096</v>
      </c>
      <c r="C130" s="596" t="str">
        <f>MONTH(Table_NFI[[#This Row],[Distribution Date]]) &amp; "/" &amp; YEAR(Table_NFI[[#This Row],[Distribution Date]])</f>
        <v>12/2017</v>
      </c>
      <c r="D130" s="213" t="s">
        <v>826</v>
      </c>
      <c r="E130" s="213"/>
      <c r="F130" s="213" t="s">
        <v>378</v>
      </c>
      <c r="G130" s="213" t="s">
        <v>185</v>
      </c>
      <c r="H130" s="213" t="s">
        <v>1590</v>
      </c>
      <c r="I130" s="197"/>
      <c r="J130" s="585"/>
      <c r="K130" s="585"/>
      <c r="L130" s="585"/>
      <c r="M130" s="585"/>
      <c r="N130" s="585"/>
      <c r="O130" s="585"/>
      <c r="P130" s="585"/>
      <c r="Q130" s="585"/>
      <c r="R130" s="585"/>
      <c r="S130" s="585"/>
      <c r="T130" s="585"/>
      <c r="U130" s="585"/>
      <c r="V130" s="585"/>
      <c r="W130" s="585"/>
      <c r="X130" s="585">
        <v>5</v>
      </c>
      <c r="Y130" s="585"/>
      <c r="Z130" s="585"/>
      <c r="AA130" s="585"/>
      <c r="AB130" s="585"/>
      <c r="AC130" s="586"/>
      <c r="AD130" s="586"/>
      <c r="AE130" s="586"/>
      <c r="AF130" s="586"/>
      <c r="AG130" s="586"/>
      <c r="AH130" s="586"/>
      <c r="AI130" s="586"/>
      <c r="AJ130" s="586"/>
      <c r="AK130" s="586"/>
      <c r="AL130" s="586"/>
      <c r="AM130" s="586"/>
      <c r="AN130" s="586"/>
      <c r="AO130" s="586"/>
      <c r="AP130" s="586">
        <f>IF(Table_NFI[[#This Row],[Winter Clothes Adult]]+Table_NFI[[#This Row],[Winter Clothes Children]]+Table_NFI[[#This Row],[Winter Items Other]]+Table_NFI[[#This Row],[Winter Blanket]]&gt;0,1,0)</f>
        <v>1</v>
      </c>
      <c r="AQ130" s="586"/>
      <c r="AR130" s="586"/>
      <c r="AS130" s="586"/>
      <c r="AT130" s="220" t="str">
        <f>IFERROR(VLOOKUP(Table_NFI[[#This Row],[Location]],CL,2,0),"")</f>
        <v/>
      </c>
      <c r="AU130" s="197"/>
    </row>
    <row r="131" spans="2:47" ht="18.75" hidden="1" customHeight="1" x14ac:dyDescent="0.25">
      <c r="B131" s="596">
        <v>43096</v>
      </c>
      <c r="C131" s="596" t="str">
        <f>MONTH(Table_NFI[[#This Row],[Distribution Date]]) &amp; "/" &amp; YEAR(Table_NFI[[#This Row],[Distribution Date]])</f>
        <v>12/2017</v>
      </c>
      <c r="D131" s="213" t="s">
        <v>826</v>
      </c>
      <c r="E131" s="213"/>
      <c r="F131" s="213" t="s">
        <v>378</v>
      </c>
      <c r="G131" s="213" t="s">
        <v>185</v>
      </c>
      <c r="H131" s="213" t="s">
        <v>202</v>
      </c>
      <c r="I131" s="197"/>
      <c r="J131" s="585"/>
      <c r="K131" s="585"/>
      <c r="L131" s="585"/>
      <c r="M131" s="585"/>
      <c r="N131" s="585"/>
      <c r="O131" s="585"/>
      <c r="P131" s="585"/>
      <c r="Q131" s="585"/>
      <c r="R131" s="585"/>
      <c r="S131" s="585"/>
      <c r="T131" s="585"/>
      <c r="U131" s="585"/>
      <c r="V131" s="585"/>
      <c r="W131" s="585"/>
      <c r="X131" s="585">
        <v>223</v>
      </c>
      <c r="Y131" s="585"/>
      <c r="Z131" s="585"/>
      <c r="AA131" s="585"/>
      <c r="AB131" s="585"/>
      <c r="AC131" s="586"/>
      <c r="AD131" s="586"/>
      <c r="AE131" s="586"/>
      <c r="AF131" s="586"/>
      <c r="AG131" s="586"/>
      <c r="AH131" s="586"/>
      <c r="AI131" s="586"/>
      <c r="AJ131" s="586"/>
      <c r="AK131" s="586"/>
      <c r="AL131" s="586"/>
      <c r="AM131" s="586"/>
      <c r="AN131" s="586"/>
      <c r="AO131" s="586"/>
      <c r="AP131" s="586">
        <f>IF(Table_NFI[[#This Row],[Winter Clothes Adult]]+Table_NFI[[#This Row],[Winter Clothes Children]]+Table_NFI[[#This Row],[Winter Items Other]]+Table_NFI[[#This Row],[Winter Blanket]]&gt;0,1,0)</f>
        <v>1</v>
      </c>
      <c r="AQ131" s="586"/>
      <c r="AR131" s="586"/>
      <c r="AS131" s="586"/>
      <c r="AT131" s="220" t="str">
        <f>IFERROR(VLOOKUP(Table_NFI[[#This Row],[Location]],CL,2,0),"")</f>
        <v>MMR001CMP062</v>
      </c>
      <c r="AU131" s="197"/>
    </row>
    <row r="132" spans="2:47" ht="18.75" hidden="1" customHeight="1" x14ac:dyDescent="0.25">
      <c r="B132" s="596">
        <v>43096</v>
      </c>
      <c r="C132" s="596" t="str">
        <f>MONTH(Table_NFI[[#This Row],[Distribution Date]]) &amp; "/" &amp; YEAR(Table_NFI[[#This Row],[Distribution Date]])</f>
        <v>12/2017</v>
      </c>
      <c r="D132" s="213" t="s">
        <v>826</v>
      </c>
      <c r="E132" s="213"/>
      <c r="F132" s="213" t="s">
        <v>378</v>
      </c>
      <c r="G132" s="213" t="s">
        <v>185</v>
      </c>
      <c r="H132" s="213" t="s">
        <v>209</v>
      </c>
      <c r="I132" s="197"/>
      <c r="J132" s="585"/>
      <c r="K132" s="585"/>
      <c r="L132" s="585"/>
      <c r="M132" s="585"/>
      <c r="N132" s="585"/>
      <c r="O132" s="585"/>
      <c r="P132" s="585"/>
      <c r="Q132" s="585"/>
      <c r="R132" s="585"/>
      <c r="S132" s="585"/>
      <c r="T132" s="585"/>
      <c r="U132" s="585"/>
      <c r="V132" s="585"/>
      <c r="W132" s="585"/>
      <c r="X132" s="585">
        <v>383</v>
      </c>
      <c r="Y132" s="585"/>
      <c r="Z132" s="585"/>
      <c r="AA132" s="585"/>
      <c r="AB132" s="585"/>
      <c r="AC132" s="586"/>
      <c r="AD132" s="586"/>
      <c r="AE132" s="586"/>
      <c r="AF132" s="586"/>
      <c r="AG132" s="586"/>
      <c r="AH132" s="586"/>
      <c r="AI132" s="586"/>
      <c r="AJ132" s="586"/>
      <c r="AK132" s="586"/>
      <c r="AL132" s="586"/>
      <c r="AM132" s="586"/>
      <c r="AN132" s="586"/>
      <c r="AO132" s="586"/>
      <c r="AP132" s="586">
        <f>IF(Table_NFI[[#This Row],[Winter Clothes Adult]]+Table_NFI[[#This Row],[Winter Clothes Children]]+Table_NFI[[#This Row],[Winter Items Other]]+Table_NFI[[#This Row],[Winter Blanket]]&gt;0,1,0)</f>
        <v>1</v>
      </c>
      <c r="AQ132" s="586"/>
      <c r="AR132" s="586"/>
      <c r="AS132" s="586"/>
      <c r="AT132" s="220" t="str">
        <f>IFERROR(VLOOKUP(Table_NFI[[#This Row],[Location]],CL,2,0),"")</f>
        <v>MMR001CMP056</v>
      </c>
      <c r="AU132" s="197"/>
    </row>
    <row r="133" spans="2:47" ht="18.75" hidden="1" customHeight="1" x14ac:dyDescent="0.25">
      <c r="B133" s="596">
        <v>43096</v>
      </c>
      <c r="C133" s="596" t="str">
        <f>MONTH(Table_NFI[[#This Row],[Distribution Date]]) &amp; "/" &amp; YEAR(Table_NFI[[#This Row],[Distribution Date]])</f>
        <v>12/2017</v>
      </c>
      <c r="D133" s="213" t="s">
        <v>826</v>
      </c>
      <c r="E133" s="213"/>
      <c r="F133" s="213" t="s">
        <v>378</v>
      </c>
      <c r="G133" s="213" t="s">
        <v>237</v>
      </c>
      <c r="H133" s="598" t="s">
        <v>252</v>
      </c>
      <c r="I133" s="197"/>
      <c r="J133" s="585"/>
      <c r="K133" s="585"/>
      <c r="L133" s="585"/>
      <c r="M133" s="585"/>
      <c r="N133" s="585"/>
      <c r="O133" s="585"/>
      <c r="P133" s="585"/>
      <c r="Q133" s="585"/>
      <c r="R133" s="585"/>
      <c r="S133" s="585"/>
      <c r="T133" s="585"/>
      <c r="U133" s="585"/>
      <c r="V133" s="585"/>
      <c r="W133" s="585"/>
      <c r="X133" s="585">
        <v>202</v>
      </c>
      <c r="Y133" s="585"/>
      <c r="Z133" s="585"/>
      <c r="AA133" s="585"/>
      <c r="AB133" s="585"/>
      <c r="AC133" s="586"/>
      <c r="AD133" s="586"/>
      <c r="AE133" s="586"/>
      <c r="AF133" s="586"/>
      <c r="AG133" s="586"/>
      <c r="AH133" s="586"/>
      <c r="AI133" s="586"/>
      <c r="AJ133" s="586"/>
      <c r="AK133" s="586"/>
      <c r="AL133" s="586"/>
      <c r="AM133" s="586"/>
      <c r="AN133" s="586"/>
      <c r="AO133" s="586"/>
      <c r="AP133" s="586">
        <f>IF(Table_NFI[[#This Row],[Winter Clothes Adult]]+Table_NFI[[#This Row],[Winter Clothes Children]]+Table_NFI[[#This Row],[Winter Items Other]]+Table_NFI[[#This Row],[Winter Blanket]]&gt;0,1,0)</f>
        <v>1</v>
      </c>
      <c r="AQ133" s="586"/>
      <c r="AR133" s="586"/>
      <c r="AS133" s="586"/>
      <c r="AT133" s="220" t="str">
        <f>IFERROR(VLOOKUP(Table_NFI[[#This Row],[Location]],CL,2,0),"")</f>
        <v>MMR001CMP018</v>
      </c>
      <c r="AU133" s="197"/>
    </row>
    <row r="134" spans="2:47" ht="18.75" hidden="1" customHeight="1" x14ac:dyDescent="0.25">
      <c r="B134" s="596">
        <v>43096</v>
      </c>
      <c r="C134" s="596" t="str">
        <f>MONTH(Table_NFI[[#This Row],[Distribution Date]]) &amp; "/" &amp; YEAR(Table_NFI[[#This Row],[Distribution Date]])</f>
        <v>12/2017</v>
      </c>
      <c r="D134" s="213" t="s">
        <v>826</v>
      </c>
      <c r="E134" s="213"/>
      <c r="F134" s="213" t="s">
        <v>378</v>
      </c>
      <c r="G134" s="213" t="s">
        <v>237</v>
      </c>
      <c r="H134" s="598" t="s">
        <v>254</v>
      </c>
      <c r="I134" s="197"/>
      <c r="J134" s="585"/>
      <c r="K134" s="585"/>
      <c r="L134" s="585"/>
      <c r="M134" s="585"/>
      <c r="N134" s="585"/>
      <c r="O134" s="585"/>
      <c r="P134" s="585"/>
      <c r="Q134" s="585"/>
      <c r="R134" s="585"/>
      <c r="S134" s="585"/>
      <c r="T134" s="585"/>
      <c r="U134" s="585"/>
      <c r="V134" s="585"/>
      <c r="W134" s="585"/>
      <c r="X134" s="585">
        <v>86</v>
      </c>
      <c r="Y134" s="585"/>
      <c r="Z134" s="585"/>
      <c r="AA134" s="585"/>
      <c r="AB134" s="585"/>
      <c r="AC134" s="586"/>
      <c r="AD134" s="586"/>
      <c r="AE134" s="586"/>
      <c r="AF134" s="586"/>
      <c r="AG134" s="586"/>
      <c r="AH134" s="586"/>
      <c r="AI134" s="586"/>
      <c r="AJ134" s="586"/>
      <c r="AK134" s="586"/>
      <c r="AL134" s="586"/>
      <c r="AM134" s="586"/>
      <c r="AN134" s="586"/>
      <c r="AO134" s="586"/>
      <c r="AP134" s="586">
        <f>IF(Table_NFI[[#This Row],[Winter Clothes Adult]]+Table_NFI[[#This Row],[Winter Clothes Children]]+Table_NFI[[#This Row],[Winter Items Other]]+Table_NFI[[#This Row],[Winter Blanket]]&gt;0,1,0)</f>
        <v>1</v>
      </c>
      <c r="AQ134" s="586"/>
      <c r="AR134" s="586"/>
      <c r="AS134" s="586"/>
      <c r="AT134" s="220" t="str">
        <f>IFERROR(VLOOKUP(Table_NFI[[#This Row],[Location]],CL,2,0),"")</f>
        <v>MMR001CMP019</v>
      </c>
      <c r="AU134" s="197"/>
    </row>
    <row r="135" spans="2:47" ht="18.75" hidden="1" customHeight="1" x14ac:dyDescent="0.25">
      <c r="B135" s="596">
        <v>43096</v>
      </c>
      <c r="C135" s="596" t="str">
        <f>MONTH(Table_NFI[[#This Row],[Distribution Date]]) &amp; "/" &amp; YEAR(Table_NFI[[#This Row],[Distribution Date]])</f>
        <v>12/2017</v>
      </c>
      <c r="D135" s="213" t="s">
        <v>826</v>
      </c>
      <c r="E135" s="213"/>
      <c r="F135" s="213" t="s">
        <v>378</v>
      </c>
      <c r="G135" s="213" t="s">
        <v>237</v>
      </c>
      <c r="H135" s="598" t="s">
        <v>256</v>
      </c>
      <c r="I135" s="197"/>
      <c r="J135" s="585"/>
      <c r="K135" s="585"/>
      <c r="L135" s="585"/>
      <c r="M135" s="585"/>
      <c r="N135" s="585"/>
      <c r="O135" s="585"/>
      <c r="P135" s="585"/>
      <c r="Q135" s="585"/>
      <c r="R135" s="585"/>
      <c r="S135" s="585"/>
      <c r="T135" s="585"/>
      <c r="U135" s="585"/>
      <c r="V135" s="585"/>
      <c r="W135" s="585"/>
      <c r="X135" s="585">
        <v>17</v>
      </c>
      <c r="Y135" s="585"/>
      <c r="Z135" s="585"/>
      <c r="AA135" s="585"/>
      <c r="AB135" s="585"/>
      <c r="AC135" s="586"/>
      <c r="AD135" s="586"/>
      <c r="AE135" s="586"/>
      <c r="AF135" s="586"/>
      <c r="AG135" s="586"/>
      <c r="AH135" s="586"/>
      <c r="AI135" s="586"/>
      <c r="AJ135" s="586"/>
      <c r="AK135" s="586"/>
      <c r="AL135" s="586"/>
      <c r="AM135" s="586"/>
      <c r="AN135" s="586"/>
      <c r="AO135" s="586"/>
      <c r="AP135" s="586">
        <f>IF(Table_NFI[[#This Row],[Winter Clothes Adult]]+Table_NFI[[#This Row],[Winter Clothes Children]]+Table_NFI[[#This Row],[Winter Items Other]]+Table_NFI[[#This Row],[Winter Blanket]]&gt;0,1,0)</f>
        <v>1</v>
      </c>
      <c r="AQ135" s="586"/>
      <c r="AR135" s="586"/>
      <c r="AS135" s="586"/>
      <c r="AT135" s="220" t="str">
        <f>IFERROR(VLOOKUP(Table_NFI[[#This Row],[Location]],CL,2,0),"")</f>
        <v>MMR001CMP013</v>
      </c>
      <c r="AU135" s="197"/>
    </row>
    <row r="136" spans="2:47" ht="18.75" hidden="1" customHeight="1" x14ac:dyDescent="0.25">
      <c r="B136" s="596">
        <v>43096</v>
      </c>
      <c r="C136" s="596" t="str">
        <f>MONTH(Table_NFI[[#This Row],[Distribution Date]]) &amp; "/" &amp; YEAR(Table_NFI[[#This Row],[Distribution Date]])</f>
        <v>12/2017</v>
      </c>
      <c r="D136" s="213" t="s">
        <v>826</v>
      </c>
      <c r="E136" s="213"/>
      <c r="F136" s="213" t="s">
        <v>378</v>
      </c>
      <c r="G136" s="213" t="s">
        <v>237</v>
      </c>
      <c r="H136" s="598" t="s">
        <v>240</v>
      </c>
      <c r="I136" s="197"/>
      <c r="J136" s="585"/>
      <c r="K136" s="585"/>
      <c r="L136" s="585"/>
      <c r="M136" s="585"/>
      <c r="N136" s="585"/>
      <c r="O136" s="585"/>
      <c r="P136" s="585"/>
      <c r="Q136" s="585"/>
      <c r="R136" s="585"/>
      <c r="S136" s="585"/>
      <c r="T136" s="585"/>
      <c r="U136" s="585"/>
      <c r="V136" s="585"/>
      <c r="W136" s="585"/>
      <c r="X136" s="585">
        <v>30</v>
      </c>
      <c r="Y136" s="585"/>
      <c r="Z136" s="585"/>
      <c r="AA136" s="585"/>
      <c r="AB136" s="585"/>
      <c r="AC136" s="586"/>
      <c r="AD136" s="586"/>
      <c r="AE136" s="586"/>
      <c r="AF136" s="586"/>
      <c r="AG136" s="586"/>
      <c r="AH136" s="586"/>
      <c r="AI136" s="586"/>
      <c r="AJ136" s="586"/>
      <c r="AK136" s="586"/>
      <c r="AL136" s="586"/>
      <c r="AM136" s="586"/>
      <c r="AN136" s="586"/>
      <c r="AO136" s="586"/>
      <c r="AP136" s="586">
        <f>IF(Table_NFI[[#This Row],[Winter Clothes Adult]]+Table_NFI[[#This Row],[Winter Clothes Children]]+Table_NFI[[#This Row],[Winter Items Other]]+Table_NFI[[#This Row],[Winter Blanket]]&gt;0,1,0)</f>
        <v>1</v>
      </c>
      <c r="AQ136" s="586"/>
      <c r="AR136" s="586"/>
      <c r="AS136" s="586"/>
      <c r="AT136" s="220" t="str">
        <f>IFERROR(VLOOKUP(Table_NFI[[#This Row],[Location]],CL,2,0),"")</f>
        <v>MMR001CMP015</v>
      </c>
      <c r="AU136" s="197"/>
    </row>
    <row r="137" spans="2:47" ht="18.75" hidden="1" customHeight="1" x14ac:dyDescent="0.25">
      <c r="B137" s="596">
        <v>43096</v>
      </c>
      <c r="C137" s="596" t="str">
        <f>MONTH(Table_NFI[[#This Row],[Distribution Date]]) &amp; "/" &amp; YEAR(Table_NFI[[#This Row],[Distribution Date]])</f>
        <v>12/2017</v>
      </c>
      <c r="D137" s="213" t="s">
        <v>826</v>
      </c>
      <c r="E137" s="213"/>
      <c r="F137" s="213" t="s">
        <v>378</v>
      </c>
      <c r="G137" s="213" t="s">
        <v>237</v>
      </c>
      <c r="H137" s="598" t="s">
        <v>284</v>
      </c>
      <c r="I137" s="197"/>
      <c r="J137" s="585"/>
      <c r="K137" s="585"/>
      <c r="L137" s="585"/>
      <c r="M137" s="585"/>
      <c r="N137" s="585"/>
      <c r="O137" s="585"/>
      <c r="P137" s="585"/>
      <c r="Q137" s="585"/>
      <c r="R137" s="585"/>
      <c r="S137" s="585"/>
      <c r="T137" s="585"/>
      <c r="U137" s="585"/>
      <c r="V137" s="585"/>
      <c r="W137" s="585"/>
      <c r="X137" s="585">
        <v>86</v>
      </c>
      <c r="Y137" s="585"/>
      <c r="Z137" s="585"/>
      <c r="AA137" s="585"/>
      <c r="AB137" s="585"/>
      <c r="AC137" s="586"/>
      <c r="AD137" s="586"/>
      <c r="AE137" s="586"/>
      <c r="AF137" s="586"/>
      <c r="AG137" s="586"/>
      <c r="AH137" s="586"/>
      <c r="AI137" s="586"/>
      <c r="AJ137" s="586"/>
      <c r="AK137" s="586"/>
      <c r="AL137" s="586"/>
      <c r="AM137" s="586"/>
      <c r="AN137" s="586"/>
      <c r="AO137" s="586"/>
      <c r="AP137" s="586">
        <f>IF(Table_NFI[[#This Row],[Winter Clothes Adult]]+Table_NFI[[#This Row],[Winter Clothes Children]]+Table_NFI[[#This Row],[Winter Items Other]]+Table_NFI[[#This Row],[Winter Blanket]]&gt;0,1,0)</f>
        <v>1</v>
      </c>
      <c r="AQ137" s="586"/>
      <c r="AR137" s="586"/>
      <c r="AS137" s="586"/>
      <c r="AT137" s="220" t="str">
        <f>IFERROR(VLOOKUP(Table_NFI[[#This Row],[Location]],CL,2,0),"")</f>
        <v>MMR001CMP014</v>
      </c>
      <c r="AU137" s="197"/>
    </row>
    <row r="138" spans="2:47" ht="18.75" hidden="1" customHeight="1" x14ac:dyDescent="0.25">
      <c r="B138" s="596">
        <v>43096</v>
      </c>
      <c r="C138" s="596" t="str">
        <f>MONTH(Table_NFI[[#This Row],[Distribution Date]]) &amp; "/" &amp; YEAR(Table_NFI[[#This Row],[Distribution Date]])</f>
        <v>12/2017</v>
      </c>
      <c r="D138" s="213" t="s">
        <v>826</v>
      </c>
      <c r="E138" s="213"/>
      <c r="F138" s="213" t="s">
        <v>378</v>
      </c>
      <c r="G138" s="213" t="s">
        <v>237</v>
      </c>
      <c r="H138" s="598" t="s">
        <v>258</v>
      </c>
      <c r="I138" s="197"/>
      <c r="J138" s="585"/>
      <c r="K138" s="585"/>
      <c r="L138" s="585"/>
      <c r="M138" s="585"/>
      <c r="N138" s="585"/>
      <c r="O138" s="585"/>
      <c r="P138" s="585"/>
      <c r="Q138" s="585"/>
      <c r="R138" s="585"/>
      <c r="S138" s="585"/>
      <c r="T138" s="585"/>
      <c r="U138" s="585"/>
      <c r="V138" s="585"/>
      <c r="W138" s="585"/>
      <c r="X138" s="585">
        <v>61</v>
      </c>
      <c r="Y138" s="585"/>
      <c r="Z138" s="585"/>
      <c r="AA138" s="585"/>
      <c r="AB138" s="585"/>
      <c r="AC138" s="586"/>
      <c r="AD138" s="586"/>
      <c r="AE138" s="586"/>
      <c r="AF138" s="586"/>
      <c r="AG138" s="586"/>
      <c r="AH138" s="586"/>
      <c r="AI138" s="586"/>
      <c r="AJ138" s="586"/>
      <c r="AK138" s="586"/>
      <c r="AL138" s="586"/>
      <c r="AM138" s="586"/>
      <c r="AN138" s="586"/>
      <c r="AO138" s="586"/>
      <c r="AP138" s="586">
        <f>IF(Table_NFI[[#This Row],[Winter Clothes Adult]]+Table_NFI[[#This Row],[Winter Clothes Children]]+Table_NFI[[#This Row],[Winter Items Other]]+Table_NFI[[#This Row],[Winter Blanket]]&gt;0,1,0)</f>
        <v>1</v>
      </c>
      <c r="AQ138" s="586"/>
      <c r="AR138" s="586"/>
      <c r="AS138" s="586"/>
      <c r="AT138" s="220" t="str">
        <f>IFERROR(VLOOKUP(Table_NFI[[#This Row],[Location]],CL,2,0),"")</f>
        <v>MMR001CMP016</v>
      </c>
      <c r="AU138" s="197"/>
    </row>
    <row r="139" spans="2:47" ht="18.75" hidden="1" customHeight="1" x14ac:dyDescent="0.25">
      <c r="B139" s="596">
        <v>43096</v>
      </c>
      <c r="C139" s="596" t="str">
        <f>MONTH(Table_NFI[[#This Row],[Distribution Date]]) &amp; "/" &amp; YEAR(Table_NFI[[#This Row],[Distribution Date]])</f>
        <v>12/2017</v>
      </c>
      <c r="D139" s="213" t="s">
        <v>826</v>
      </c>
      <c r="E139" s="213"/>
      <c r="F139" s="213" t="s">
        <v>378</v>
      </c>
      <c r="G139" s="213" t="s">
        <v>237</v>
      </c>
      <c r="H139" s="598" t="s">
        <v>260</v>
      </c>
      <c r="I139" s="197"/>
      <c r="J139" s="585"/>
      <c r="K139" s="585"/>
      <c r="L139" s="585"/>
      <c r="M139" s="585"/>
      <c r="N139" s="585"/>
      <c r="O139" s="585"/>
      <c r="P139" s="585"/>
      <c r="Q139" s="585"/>
      <c r="R139" s="585"/>
      <c r="S139" s="585"/>
      <c r="T139" s="585"/>
      <c r="U139" s="585"/>
      <c r="V139" s="585"/>
      <c r="W139" s="585"/>
      <c r="X139" s="585">
        <v>103</v>
      </c>
      <c r="Y139" s="585"/>
      <c r="Z139" s="585"/>
      <c r="AA139" s="585"/>
      <c r="AB139" s="585"/>
      <c r="AC139" s="586"/>
      <c r="AD139" s="586"/>
      <c r="AE139" s="586"/>
      <c r="AF139" s="586"/>
      <c r="AG139" s="586"/>
      <c r="AH139" s="586"/>
      <c r="AI139" s="586"/>
      <c r="AJ139" s="586"/>
      <c r="AK139" s="586"/>
      <c r="AL139" s="586"/>
      <c r="AM139" s="586"/>
      <c r="AN139" s="586"/>
      <c r="AO139" s="586"/>
      <c r="AP139" s="586">
        <f>IF(Table_NFI[[#This Row],[Winter Clothes Adult]]+Table_NFI[[#This Row],[Winter Clothes Children]]+Table_NFI[[#This Row],[Winter Items Other]]+Table_NFI[[#This Row],[Winter Blanket]]&gt;0,1,0)</f>
        <v>1</v>
      </c>
      <c r="AQ139" s="586"/>
      <c r="AR139" s="586"/>
      <c r="AS139" s="586"/>
      <c r="AT139" s="220" t="str">
        <f>IFERROR(VLOOKUP(Table_NFI[[#This Row],[Location]],CL,2,0),"")</f>
        <v>MMR001CMP008</v>
      </c>
      <c r="AU139" s="197"/>
    </row>
    <row r="140" spans="2:47" ht="18.75" hidden="1" customHeight="1" x14ac:dyDescent="0.25">
      <c r="B140" s="596">
        <v>43096</v>
      </c>
      <c r="C140" s="596" t="str">
        <f>MONTH(Table_NFI[[#This Row],[Distribution Date]]) &amp; "/" &amp; YEAR(Table_NFI[[#This Row],[Distribution Date]])</f>
        <v>12/2017</v>
      </c>
      <c r="D140" s="213" t="s">
        <v>826</v>
      </c>
      <c r="E140" s="213"/>
      <c r="F140" s="213" t="s">
        <v>378</v>
      </c>
      <c r="G140" s="213" t="s">
        <v>237</v>
      </c>
      <c r="H140" s="598" t="s">
        <v>262</v>
      </c>
      <c r="I140" s="197"/>
      <c r="J140" s="585"/>
      <c r="K140" s="585"/>
      <c r="L140" s="585"/>
      <c r="M140" s="585"/>
      <c r="N140" s="585"/>
      <c r="O140" s="585"/>
      <c r="P140" s="585"/>
      <c r="Q140" s="585"/>
      <c r="R140" s="585"/>
      <c r="S140" s="585"/>
      <c r="T140" s="585"/>
      <c r="U140" s="585"/>
      <c r="V140" s="585"/>
      <c r="W140" s="585"/>
      <c r="X140" s="585">
        <v>24</v>
      </c>
      <c r="Y140" s="585"/>
      <c r="Z140" s="585"/>
      <c r="AA140" s="585"/>
      <c r="AB140" s="585"/>
      <c r="AC140" s="586"/>
      <c r="AD140" s="586"/>
      <c r="AE140" s="586"/>
      <c r="AF140" s="586"/>
      <c r="AG140" s="586"/>
      <c r="AH140" s="586"/>
      <c r="AI140" s="586"/>
      <c r="AJ140" s="586"/>
      <c r="AK140" s="586"/>
      <c r="AL140" s="586"/>
      <c r="AM140" s="586"/>
      <c r="AN140" s="586"/>
      <c r="AO140" s="586"/>
      <c r="AP140" s="586">
        <f>IF(Table_NFI[[#This Row],[Winter Clothes Adult]]+Table_NFI[[#This Row],[Winter Clothes Children]]+Table_NFI[[#This Row],[Winter Items Other]]+Table_NFI[[#This Row],[Winter Blanket]]&gt;0,1,0)</f>
        <v>1</v>
      </c>
      <c r="AQ140" s="586"/>
      <c r="AR140" s="586"/>
      <c r="AS140" s="586"/>
      <c r="AT140" s="220" t="str">
        <f>IFERROR(VLOOKUP(Table_NFI[[#This Row],[Location]],CL,2,0),"")</f>
        <v>MMR001CMP020</v>
      </c>
      <c r="AU140" s="197"/>
    </row>
    <row r="141" spans="2:47" ht="18.75" hidden="1" customHeight="1" x14ac:dyDescent="0.25">
      <c r="B141" s="596">
        <v>43096</v>
      </c>
      <c r="C141" s="596" t="str">
        <f>MONTH(Table_NFI[[#This Row],[Distribution Date]]) &amp; "/" &amp; YEAR(Table_NFI[[#This Row],[Distribution Date]])</f>
        <v>12/2017</v>
      </c>
      <c r="D141" s="213" t="s">
        <v>826</v>
      </c>
      <c r="E141" s="213"/>
      <c r="F141" s="213" t="s">
        <v>378</v>
      </c>
      <c r="G141" s="213" t="s">
        <v>237</v>
      </c>
      <c r="H141" s="598" t="s">
        <v>264</v>
      </c>
      <c r="I141" s="197"/>
      <c r="J141" s="585"/>
      <c r="K141" s="585"/>
      <c r="L141" s="585"/>
      <c r="M141" s="585"/>
      <c r="N141" s="585"/>
      <c r="O141" s="585"/>
      <c r="P141" s="585"/>
      <c r="Q141" s="585"/>
      <c r="R141" s="585"/>
      <c r="S141" s="585"/>
      <c r="T141" s="585"/>
      <c r="U141" s="585"/>
      <c r="V141" s="585"/>
      <c r="W141" s="585"/>
      <c r="X141" s="585">
        <v>14</v>
      </c>
      <c r="Y141" s="585"/>
      <c r="Z141" s="585"/>
      <c r="AA141" s="585"/>
      <c r="AB141" s="585"/>
      <c r="AC141" s="586"/>
      <c r="AD141" s="586"/>
      <c r="AE141" s="586"/>
      <c r="AF141" s="586"/>
      <c r="AG141" s="586"/>
      <c r="AH141" s="586"/>
      <c r="AI141" s="586"/>
      <c r="AJ141" s="586"/>
      <c r="AK141" s="586"/>
      <c r="AL141" s="586"/>
      <c r="AM141" s="586"/>
      <c r="AN141" s="586"/>
      <c r="AO141" s="586"/>
      <c r="AP141" s="586">
        <f>IF(Table_NFI[[#This Row],[Winter Clothes Adult]]+Table_NFI[[#This Row],[Winter Clothes Children]]+Table_NFI[[#This Row],[Winter Items Other]]+Table_NFI[[#This Row],[Winter Blanket]]&gt;0,1,0)</f>
        <v>1</v>
      </c>
      <c r="AQ141" s="586"/>
      <c r="AR141" s="586"/>
      <c r="AS141" s="586"/>
      <c r="AT141" s="220" t="str">
        <f>IFERROR(VLOOKUP(Table_NFI[[#This Row],[Location]],CL,2,0),"")</f>
        <v>MMR001CMP021</v>
      </c>
      <c r="AU141" s="197"/>
    </row>
    <row r="142" spans="2:47" ht="18.75" hidden="1" customHeight="1" x14ac:dyDescent="0.25">
      <c r="B142" s="596">
        <v>43096</v>
      </c>
      <c r="C142" s="596" t="str">
        <f>MONTH(Table_NFI[[#This Row],[Distribution Date]]) &amp; "/" &amp; YEAR(Table_NFI[[#This Row],[Distribution Date]])</f>
        <v>12/2017</v>
      </c>
      <c r="D142" s="213" t="s">
        <v>826</v>
      </c>
      <c r="E142" s="213"/>
      <c r="F142" s="213" t="s">
        <v>378</v>
      </c>
      <c r="G142" s="213" t="s">
        <v>237</v>
      </c>
      <c r="H142" s="598" t="s">
        <v>270</v>
      </c>
      <c r="I142" s="197"/>
      <c r="J142" s="585"/>
      <c r="K142" s="585"/>
      <c r="L142" s="585"/>
      <c r="M142" s="585"/>
      <c r="N142" s="585"/>
      <c r="O142" s="585"/>
      <c r="P142" s="585"/>
      <c r="Q142" s="585"/>
      <c r="R142" s="585"/>
      <c r="S142" s="585"/>
      <c r="T142" s="585"/>
      <c r="U142" s="585"/>
      <c r="V142" s="585"/>
      <c r="W142" s="585"/>
      <c r="X142" s="585">
        <v>60</v>
      </c>
      <c r="Y142" s="585"/>
      <c r="Z142" s="585"/>
      <c r="AA142" s="585"/>
      <c r="AB142" s="585"/>
      <c r="AC142" s="586"/>
      <c r="AD142" s="586"/>
      <c r="AE142" s="586"/>
      <c r="AF142" s="586"/>
      <c r="AG142" s="586"/>
      <c r="AH142" s="586"/>
      <c r="AI142" s="586"/>
      <c r="AJ142" s="586"/>
      <c r="AK142" s="586"/>
      <c r="AL142" s="586"/>
      <c r="AM142" s="586"/>
      <c r="AN142" s="586"/>
      <c r="AO142" s="586"/>
      <c r="AP142" s="586">
        <f>IF(Table_NFI[[#This Row],[Winter Clothes Adult]]+Table_NFI[[#This Row],[Winter Clothes Children]]+Table_NFI[[#This Row],[Winter Items Other]]+Table_NFI[[#This Row],[Winter Blanket]]&gt;0,1,0)</f>
        <v>1</v>
      </c>
      <c r="AQ142" s="586"/>
      <c r="AR142" s="586"/>
      <c r="AS142" s="586"/>
      <c r="AT142" s="220" t="str">
        <f>IFERROR(VLOOKUP(Table_NFI[[#This Row],[Location]],CL,2,0),"")</f>
        <v>MMR001CMP024</v>
      </c>
      <c r="AU142" s="197"/>
    </row>
    <row r="143" spans="2:47" ht="18.75" hidden="1" customHeight="1" x14ac:dyDescent="0.25">
      <c r="B143" s="596">
        <v>43096</v>
      </c>
      <c r="C143" s="596" t="str">
        <f>MONTH(Table_NFI[[#This Row],[Distribution Date]]) &amp; "/" &amp; YEAR(Table_NFI[[#This Row],[Distribution Date]])</f>
        <v>12/2017</v>
      </c>
      <c r="D143" s="213" t="s">
        <v>826</v>
      </c>
      <c r="E143" s="213"/>
      <c r="F143" s="213" t="s">
        <v>378</v>
      </c>
      <c r="G143" s="213" t="s">
        <v>237</v>
      </c>
      <c r="H143" s="598" t="s">
        <v>268</v>
      </c>
      <c r="I143" s="197"/>
      <c r="J143" s="585"/>
      <c r="K143" s="585"/>
      <c r="L143" s="585"/>
      <c r="M143" s="585"/>
      <c r="N143" s="585"/>
      <c r="O143" s="585"/>
      <c r="P143" s="585"/>
      <c r="Q143" s="585"/>
      <c r="R143" s="585"/>
      <c r="S143" s="585"/>
      <c r="T143" s="585"/>
      <c r="U143" s="585"/>
      <c r="V143" s="585"/>
      <c r="W143" s="585"/>
      <c r="X143" s="585">
        <v>66</v>
      </c>
      <c r="Y143" s="585"/>
      <c r="Z143" s="585"/>
      <c r="AA143" s="585"/>
      <c r="AB143" s="585"/>
      <c r="AC143" s="586"/>
      <c r="AD143" s="586"/>
      <c r="AE143" s="586"/>
      <c r="AF143" s="586"/>
      <c r="AG143" s="586"/>
      <c r="AH143" s="586"/>
      <c r="AI143" s="586"/>
      <c r="AJ143" s="586"/>
      <c r="AK143" s="586"/>
      <c r="AL143" s="586"/>
      <c r="AM143" s="586"/>
      <c r="AN143" s="586"/>
      <c r="AO143" s="586"/>
      <c r="AP143" s="586">
        <f>IF(Table_NFI[[#This Row],[Winter Clothes Adult]]+Table_NFI[[#This Row],[Winter Clothes Children]]+Table_NFI[[#This Row],[Winter Items Other]]+Table_NFI[[#This Row],[Winter Blanket]]&gt;0,1,0)</f>
        <v>1</v>
      </c>
      <c r="AQ143" s="586"/>
      <c r="AR143" s="586"/>
      <c r="AS143" s="586"/>
      <c r="AT143" s="220" t="str">
        <f>IFERROR(VLOOKUP(Table_NFI[[#This Row],[Location]],CL,2,0),"")</f>
        <v>MMR001CMP002</v>
      </c>
      <c r="AU143" s="197"/>
    </row>
    <row r="144" spans="2:47" ht="18.75" hidden="1" customHeight="1" x14ac:dyDescent="0.25">
      <c r="B144" s="596">
        <v>43096</v>
      </c>
      <c r="C144" s="596" t="str">
        <f>MONTH(Table_NFI[[#This Row],[Distribution Date]]) &amp; "/" &amp; YEAR(Table_NFI[[#This Row],[Distribution Date]])</f>
        <v>12/2017</v>
      </c>
      <c r="D144" s="213" t="s">
        <v>826</v>
      </c>
      <c r="E144" s="213"/>
      <c r="F144" s="213" t="s">
        <v>378</v>
      </c>
      <c r="G144" s="213" t="s">
        <v>237</v>
      </c>
      <c r="H144" s="598" t="s">
        <v>272</v>
      </c>
      <c r="I144" s="197"/>
      <c r="J144" s="585"/>
      <c r="K144" s="585"/>
      <c r="L144" s="585"/>
      <c r="M144" s="585"/>
      <c r="N144" s="585"/>
      <c r="O144" s="585"/>
      <c r="P144" s="585"/>
      <c r="Q144" s="585"/>
      <c r="R144" s="585"/>
      <c r="S144" s="585"/>
      <c r="T144" s="585"/>
      <c r="U144" s="585"/>
      <c r="V144" s="585"/>
      <c r="W144" s="585"/>
      <c r="X144" s="585">
        <v>46</v>
      </c>
      <c r="Y144" s="585"/>
      <c r="Z144" s="585"/>
      <c r="AA144" s="585"/>
      <c r="AB144" s="585"/>
      <c r="AC144" s="586"/>
      <c r="AD144" s="586"/>
      <c r="AE144" s="586"/>
      <c r="AF144" s="586"/>
      <c r="AG144" s="586"/>
      <c r="AH144" s="586"/>
      <c r="AI144" s="586"/>
      <c r="AJ144" s="586"/>
      <c r="AK144" s="586"/>
      <c r="AL144" s="586"/>
      <c r="AM144" s="586"/>
      <c r="AN144" s="586"/>
      <c r="AO144" s="586"/>
      <c r="AP144" s="586">
        <f>IF(Table_NFI[[#This Row],[Winter Clothes Adult]]+Table_NFI[[#This Row],[Winter Clothes Children]]+Table_NFI[[#This Row],[Winter Items Other]]+Table_NFI[[#This Row],[Winter Blanket]]&gt;0,1,0)</f>
        <v>1</v>
      </c>
      <c r="AQ144" s="586"/>
      <c r="AR144" s="586"/>
      <c r="AS144" s="586"/>
      <c r="AT144" s="220" t="str">
        <f>IFERROR(VLOOKUP(Table_NFI[[#This Row],[Location]],CL,2,0),"")</f>
        <v>MMR001CMP162</v>
      </c>
      <c r="AU144" s="197"/>
    </row>
    <row r="145" spans="2:47" ht="18.75" hidden="1" customHeight="1" x14ac:dyDescent="0.25">
      <c r="B145" s="596">
        <v>43096</v>
      </c>
      <c r="C145" s="596" t="str">
        <f>MONTH(Table_NFI[[#This Row],[Distribution Date]]) &amp; "/" &amp; YEAR(Table_NFI[[#This Row],[Distribution Date]])</f>
        <v>12/2017</v>
      </c>
      <c r="D145" s="213" t="s">
        <v>826</v>
      </c>
      <c r="E145" s="213"/>
      <c r="F145" s="213" t="s">
        <v>378</v>
      </c>
      <c r="G145" s="213" t="s">
        <v>237</v>
      </c>
      <c r="H145" s="598" t="s">
        <v>276</v>
      </c>
      <c r="I145" s="197"/>
      <c r="J145" s="585"/>
      <c r="K145" s="585"/>
      <c r="L145" s="585"/>
      <c r="M145" s="585"/>
      <c r="N145" s="585"/>
      <c r="O145" s="585"/>
      <c r="P145" s="585"/>
      <c r="Q145" s="585"/>
      <c r="R145" s="585"/>
      <c r="S145" s="585"/>
      <c r="T145" s="585"/>
      <c r="U145" s="585"/>
      <c r="V145" s="585"/>
      <c r="W145" s="585"/>
      <c r="X145" s="585">
        <v>119</v>
      </c>
      <c r="Y145" s="585"/>
      <c r="Z145" s="585"/>
      <c r="AA145" s="585"/>
      <c r="AB145" s="585"/>
      <c r="AC145" s="586"/>
      <c r="AD145" s="586"/>
      <c r="AE145" s="586"/>
      <c r="AF145" s="586"/>
      <c r="AG145" s="586"/>
      <c r="AH145" s="586"/>
      <c r="AI145" s="586"/>
      <c r="AJ145" s="586"/>
      <c r="AK145" s="586"/>
      <c r="AL145" s="586"/>
      <c r="AM145" s="586"/>
      <c r="AN145" s="586"/>
      <c r="AO145" s="586"/>
      <c r="AP145" s="586">
        <f>IF(Table_NFI[[#This Row],[Winter Clothes Adult]]+Table_NFI[[#This Row],[Winter Clothes Children]]+Table_NFI[[#This Row],[Winter Items Other]]+Table_NFI[[#This Row],[Winter Blanket]]&gt;0,1,0)</f>
        <v>1</v>
      </c>
      <c r="AQ145" s="586"/>
      <c r="AR145" s="586"/>
      <c r="AS145" s="586"/>
      <c r="AT145" s="220" t="str">
        <f>IFERROR(VLOOKUP(Table_NFI[[#This Row],[Location]],CL,2,0),"")</f>
        <v>MMR001CMP006</v>
      </c>
      <c r="AU145" s="197"/>
    </row>
    <row r="146" spans="2:47" ht="18.75" hidden="1" customHeight="1" x14ac:dyDescent="0.25">
      <c r="B146" s="596">
        <v>43096</v>
      </c>
      <c r="C146" s="596" t="str">
        <f>MONTH(Table_NFI[[#This Row],[Distribution Date]]) &amp; "/" &amp; YEAR(Table_NFI[[#This Row],[Distribution Date]])</f>
        <v>12/2017</v>
      </c>
      <c r="D146" s="213" t="s">
        <v>826</v>
      </c>
      <c r="E146" s="213"/>
      <c r="F146" s="213" t="s">
        <v>378</v>
      </c>
      <c r="G146" s="213" t="s">
        <v>237</v>
      </c>
      <c r="H146" s="598" t="s">
        <v>278</v>
      </c>
      <c r="I146" s="197"/>
      <c r="J146" s="585"/>
      <c r="K146" s="585"/>
      <c r="L146" s="585"/>
      <c r="M146" s="585"/>
      <c r="N146" s="585"/>
      <c r="O146" s="585"/>
      <c r="P146" s="585"/>
      <c r="Q146" s="585"/>
      <c r="R146" s="585"/>
      <c r="S146" s="585"/>
      <c r="T146" s="585"/>
      <c r="U146" s="585"/>
      <c r="V146" s="585"/>
      <c r="W146" s="585"/>
      <c r="X146" s="585">
        <v>23</v>
      </c>
      <c r="Y146" s="585"/>
      <c r="Z146" s="585"/>
      <c r="AA146" s="585"/>
      <c r="AB146" s="585"/>
      <c r="AC146" s="586"/>
      <c r="AD146" s="586"/>
      <c r="AE146" s="586"/>
      <c r="AF146" s="586"/>
      <c r="AG146" s="586"/>
      <c r="AH146" s="586"/>
      <c r="AI146" s="586"/>
      <c r="AJ146" s="586"/>
      <c r="AK146" s="586"/>
      <c r="AL146" s="586"/>
      <c r="AM146" s="586"/>
      <c r="AN146" s="586"/>
      <c r="AO146" s="586"/>
      <c r="AP146" s="586">
        <f>IF(Table_NFI[[#This Row],[Winter Clothes Adult]]+Table_NFI[[#This Row],[Winter Clothes Children]]+Table_NFI[[#This Row],[Winter Items Other]]+Table_NFI[[#This Row],[Winter Blanket]]&gt;0,1,0)</f>
        <v>1</v>
      </c>
      <c r="AQ146" s="586"/>
      <c r="AR146" s="586"/>
      <c r="AS146" s="586"/>
      <c r="AT146" s="220" t="str">
        <f>IFERROR(VLOOKUP(Table_NFI[[#This Row],[Location]],CL,2,0),"")</f>
        <v>MMR001CMP007</v>
      </c>
      <c r="AU146" s="197"/>
    </row>
    <row r="147" spans="2:47" ht="18.75" hidden="1" customHeight="1" x14ac:dyDescent="0.25">
      <c r="B147" s="596">
        <v>43096</v>
      </c>
      <c r="C147" s="596" t="str">
        <f>MONTH(Table_NFI[[#This Row],[Distribution Date]]) &amp; "/" &amp; YEAR(Table_NFI[[#This Row],[Distribution Date]])</f>
        <v>12/2017</v>
      </c>
      <c r="D147" s="213" t="s">
        <v>826</v>
      </c>
      <c r="E147" s="213"/>
      <c r="F147" s="213" t="s">
        <v>378</v>
      </c>
      <c r="G147" s="213" t="s">
        <v>237</v>
      </c>
      <c r="H147" s="598" t="s">
        <v>280</v>
      </c>
      <c r="I147" s="197"/>
      <c r="J147" s="585"/>
      <c r="K147" s="585"/>
      <c r="L147" s="585"/>
      <c r="M147" s="585"/>
      <c r="N147" s="585"/>
      <c r="O147" s="585"/>
      <c r="P147" s="585"/>
      <c r="Q147" s="585"/>
      <c r="R147" s="585"/>
      <c r="S147" s="585"/>
      <c r="T147" s="585"/>
      <c r="U147" s="585"/>
      <c r="V147" s="585"/>
      <c r="W147" s="585"/>
      <c r="X147" s="585">
        <v>91</v>
      </c>
      <c r="Y147" s="585"/>
      <c r="Z147" s="585"/>
      <c r="AA147" s="585"/>
      <c r="AB147" s="585"/>
      <c r="AC147" s="586"/>
      <c r="AD147" s="586"/>
      <c r="AE147" s="586"/>
      <c r="AF147" s="586"/>
      <c r="AG147" s="586"/>
      <c r="AH147" s="586"/>
      <c r="AI147" s="586"/>
      <c r="AJ147" s="586"/>
      <c r="AK147" s="586"/>
      <c r="AL147" s="586"/>
      <c r="AM147" s="586"/>
      <c r="AN147" s="586"/>
      <c r="AO147" s="586"/>
      <c r="AP147" s="586">
        <f>IF(Table_NFI[[#This Row],[Winter Clothes Adult]]+Table_NFI[[#This Row],[Winter Clothes Children]]+Table_NFI[[#This Row],[Winter Items Other]]+Table_NFI[[#This Row],[Winter Blanket]]&gt;0,1,0)</f>
        <v>1</v>
      </c>
      <c r="AQ147" s="586"/>
      <c r="AR147" s="586"/>
      <c r="AS147" s="586"/>
      <c r="AT147" s="220" t="str">
        <f>IFERROR(VLOOKUP(Table_NFI[[#This Row],[Location]],CL,2,0),"")</f>
        <v>MMR001CMP009</v>
      </c>
      <c r="AU147" s="197"/>
    </row>
    <row r="148" spans="2:47" ht="18.75" hidden="1" customHeight="1" x14ac:dyDescent="0.25">
      <c r="B148" s="596">
        <v>43096</v>
      </c>
      <c r="C148" s="596" t="str">
        <f>MONTH(Table_NFI[[#This Row],[Distribution Date]]) &amp; "/" &amp; YEAR(Table_NFI[[#This Row],[Distribution Date]])</f>
        <v>12/2017</v>
      </c>
      <c r="D148" s="213" t="s">
        <v>826</v>
      </c>
      <c r="E148" s="213"/>
      <c r="F148" s="213" t="s">
        <v>378</v>
      </c>
      <c r="G148" s="213" t="s">
        <v>237</v>
      </c>
      <c r="H148" s="598" t="s">
        <v>238</v>
      </c>
      <c r="I148" s="197"/>
      <c r="J148" s="585"/>
      <c r="K148" s="585"/>
      <c r="L148" s="585"/>
      <c r="M148" s="585"/>
      <c r="N148" s="585"/>
      <c r="O148" s="585"/>
      <c r="P148" s="585"/>
      <c r="Q148" s="585"/>
      <c r="R148" s="585"/>
      <c r="S148" s="585"/>
      <c r="T148" s="585"/>
      <c r="U148" s="585"/>
      <c r="V148" s="585"/>
      <c r="W148" s="585"/>
      <c r="X148" s="585">
        <v>69</v>
      </c>
      <c r="Y148" s="585"/>
      <c r="Z148" s="585"/>
      <c r="AA148" s="585"/>
      <c r="AB148" s="585"/>
      <c r="AC148" s="586"/>
      <c r="AD148" s="586"/>
      <c r="AE148" s="586"/>
      <c r="AF148" s="586"/>
      <c r="AG148" s="586"/>
      <c r="AH148" s="586"/>
      <c r="AI148" s="586"/>
      <c r="AJ148" s="586"/>
      <c r="AK148" s="586"/>
      <c r="AL148" s="586"/>
      <c r="AM148" s="586"/>
      <c r="AN148" s="586"/>
      <c r="AO148" s="586"/>
      <c r="AP148" s="586">
        <f>IF(Table_NFI[[#This Row],[Winter Clothes Adult]]+Table_NFI[[#This Row],[Winter Clothes Children]]+Table_NFI[[#This Row],[Winter Items Other]]+Table_NFI[[#This Row],[Winter Blanket]]&gt;0,1,0)</f>
        <v>1</v>
      </c>
      <c r="AQ148" s="586"/>
      <c r="AR148" s="586"/>
      <c r="AS148" s="586"/>
      <c r="AT148" s="220" t="str">
        <f>IFERROR(VLOOKUP(Table_NFI[[#This Row],[Location]],CL,2,0),"")</f>
        <v>MMR001CMP001</v>
      </c>
      <c r="AU148" s="197"/>
    </row>
    <row r="149" spans="2:47" ht="18.75" hidden="1" customHeight="1" x14ac:dyDescent="0.25">
      <c r="B149" s="596">
        <v>43096</v>
      </c>
      <c r="C149" s="596" t="str">
        <f>MONTH(Table_NFI[[#This Row],[Distribution Date]]) &amp; "/" &amp; YEAR(Table_NFI[[#This Row],[Distribution Date]])</f>
        <v>12/2017</v>
      </c>
      <c r="D149" s="213" t="s">
        <v>826</v>
      </c>
      <c r="E149" s="213"/>
      <c r="F149" s="213" t="s">
        <v>378</v>
      </c>
      <c r="G149" s="213" t="s">
        <v>237</v>
      </c>
      <c r="H149" s="598" t="s">
        <v>248</v>
      </c>
      <c r="I149" s="197"/>
      <c r="J149" s="585"/>
      <c r="K149" s="585"/>
      <c r="L149" s="585"/>
      <c r="M149" s="585"/>
      <c r="N149" s="585"/>
      <c r="O149" s="585"/>
      <c r="P149" s="585"/>
      <c r="Q149" s="585"/>
      <c r="R149" s="585"/>
      <c r="S149" s="585"/>
      <c r="T149" s="585"/>
      <c r="U149" s="585"/>
      <c r="V149" s="585"/>
      <c r="W149" s="585"/>
      <c r="X149" s="585">
        <v>7</v>
      </c>
      <c r="Y149" s="585"/>
      <c r="Z149" s="585"/>
      <c r="AA149" s="585"/>
      <c r="AB149" s="585"/>
      <c r="AC149" s="586"/>
      <c r="AD149" s="586"/>
      <c r="AE149" s="586"/>
      <c r="AF149" s="586"/>
      <c r="AG149" s="586"/>
      <c r="AH149" s="586"/>
      <c r="AI149" s="586"/>
      <c r="AJ149" s="586"/>
      <c r="AK149" s="586"/>
      <c r="AL149" s="586"/>
      <c r="AM149" s="586"/>
      <c r="AN149" s="586"/>
      <c r="AO149" s="586"/>
      <c r="AP149" s="586">
        <f>IF(Table_NFI[[#This Row],[Winter Clothes Adult]]+Table_NFI[[#This Row],[Winter Clothes Children]]+Table_NFI[[#This Row],[Winter Items Other]]+Table_NFI[[#This Row],[Winter Blanket]]&gt;0,1,0)</f>
        <v>1</v>
      </c>
      <c r="AQ149" s="586"/>
      <c r="AR149" s="586"/>
      <c r="AS149" s="586"/>
      <c r="AT149" s="220" t="str">
        <f>IFERROR(VLOOKUP(Table_NFI[[#This Row],[Location]],CL,2,0),"")</f>
        <v>MMR001CMP004</v>
      </c>
      <c r="AU149" s="197"/>
    </row>
    <row r="150" spans="2:47" ht="18.75" hidden="1" customHeight="1" x14ac:dyDescent="0.25">
      <c r="B150" s="596">
        <v>43096</v>
      </c>
      <c r="C150" s="596" t="str">
        <f>MONTH(Table_NFI[[#This Row],[Distribution Date]]) &amp; "/" &amp; YEAR(Table_NFI[[#This Row],[Distribution Date]])</f>
        <v>12/2017</v>
      </c>
      <c r="D150" s="213" t="s">
        <v>826</v>
      </c>
      <c r="E150" s="213"/>
      <c r="F150" s="213" t="s">
        <v>378</v>
      </c>
      <c r="G150" s="213" t="s">
        <v>237</v>
      </c>
      <c r="H150" s="598" t="s">
        <v>250</v>
      </c>
      <c r="I150" s="197"/>
      <c r="J150" s="585"/>
      <c r="K150" s="585"/>
      <c r="L150" s="585"/>
      <c r="M150" s="585"/>
      <c r="N150" s="585"/>
      <c r="O150" s="585"/>
      <c r="P150" s="585"/>
      <c r="Q150" s="585"/>
      <c r="R150" s="585"/>
      <c r="S150" s="585"/>
      <c r="T150" s="585"/>
      <c r="U150" s="585"/>
      <c r="V150" s="585"/>
      <c r="W150" s="585"/>
      <c r="X150" s="585">
        <v>30</v>
      </c>
      <c r="Y150" s="585"/>
      <c r="Z150" s="585"/>
      <c r="AA150" s="585"/>
      <c r="AB150" s="585"/>
      <c r="AC150" s="586"/>
      <c r="AD150" s="586"/>
      <c r="AE150" s="586"/>
      <c r="AF150" s="586"/>
      <c r="AG150" s="586"/>
      <c r="AH150" s="586"/>
      <c r="AI150" s="586"/>
      <c r="AJ150" s="586"/>
      <c r="AK150" s="586"/>
      <c r="AL150" s="586"/>
      <c r="AM150" s="586"/>
      <c r="AN150" s="586"/>
      <c r="AO150" s="586"/>
      <c r="AP150" s="586">
        <f>IF(Table_NFI[[#This Row],[Winter Clothes Adult]]+Table_NFI[[#This Row],[Winter Clothes Children]]+Table_NFI[[#This Row],[Winter Items Other]]+Table_NFI[[#This Row],[Winter Blanket]]&gt;0,1,0)</f>
        <v>1</v>
      </c>
      <c r="AQ150" s="586"/>
      <c r="AR150" s="586"/>
      <c r="AS150" s="586"/>
      <c r="AT150" s="220" t="str">
        <f>IFERROR(VLOOKUP(Table_NFI[[#This Row],[Location]],CL,2,0),"")</f>
        <v>MMR001CMP003</v>
      </c>
      <c r="AU150" s="197"/>
    </row>
    <row r="151" spans="2:47" ht="18.75" hidden="1" customHeight="1" x14ac:dyDescent="0.25">
      <c r="B151" s="596">
        <v>43096</v>
      </c>
      <c r="C151" s="596" t="str">
        <f>MONTH(Table_NFI[[#This Row],[Distribution Date]]) &amp; "/" &amp; YEAR(Table_NFI[[#This Row],[Distribution Date]])</f>
        <v>12/2017</v>
      </c>
      <c r="D151" s="213" t="s">
        <v>826</v>
      </c>
      <c r="E151" s="213"/>
      <c r="F151" s="213" t="s">
        <v>378</v>
      </c>
      <c r="G151" s="213" t="s">
        <v>237</v>
      </c>
      <c r="H151" s="598" t="s">
        <v>274</v>
      </c>
      <c r="I151" s="197"/>
      <c r="J151" s="585"/>
      <c r="K151" s="585"/>
      <c r="L151" s="585"/>
      <c r="M151" s="585"/>
      <c r="N151" s="585"/>
      <c r="O151" s="585"/>
      <c r="P151" s="585"/>
      <c r="Q151" s="585"/>
      <c r="R151" s="585"/>
      <c r="S151" s="585"/>
      <c r="T151" s="585"/>
      <c r="U151" s="585"/>
      <c r="V151" s="585"/>
      <c r="W151" s="585"/>
      <c r="X151" s="585">
        <v>46</v>
      </c>
      <c r="Y151" s="585"/>
      <c r="Z151" s="585"/>
      <c r="AA151" s="585"/>
      <c r="AB151" s="585"/>
      <c r="AC151" s="586"/>
      <c r="AD151" s="586"/>
      <c r="AE151" s="586"/>
      <c r="AF151" s="586"/>
      <c r="AG151" s="586"/>
      <c r="AH151" s="586"/>
      <c r="AI151" s="586"/>
      <c r="AJ151" s="586"/>
      <c r="AK151" s="586"/>
      <c r="AL151" s="586"/>
      <c r="AM151" s="586"/>
      <c r="AN151" s="586"/>
      <c r="AO151" s="586"/>
      <c r="AP151" s="586">
        <f>IF(Table_NFI[[#This Row],[Winter Clothes Adult]]+Table_NFI[[#This Row],[Winter Clothes Children]]+Table_NFI[[#This Row],[Winter Items Other]]+Table_NFI[[#This Row],[Winter Blanket]]&gt;0,1,0)</f>
        <v>1</v>
      </c>
      <c r="AQ151" s="586"/>
      <c r="AR151" s="586"/>
      <c r="AS151" s="586"/>
      <c r="AT151" s="220" t="str">
        <f>IFERROR(VLOOKUP(Table_NFI[[#This Row],[Location]],CL,2,0),"")</f>
        <v>MMR001CMP005</v>
      </c>
      <c r="AU151" s="197"/>
    </row>
    <row r="152" spans="2:47" ht="18.75" hidden="1" customHeight="1" x14ac:dyDescent="0.25">
      <c r="B152" s="596">
        <v>43096</v>
      </c>
      <c r="C152" s="596" t="str">
        <f>MONTH(Table_NFI[[#This Row],[Distribution Date]]) &amp; "/" &amp; YEAR(Table_NFI[[#This Row],[Distribution Date]])</f>
        <v>12/2017</v>
      </c>
      <c r="D152" s="213" t="s">
        <v>826</v>
      </c>
      <c r="E152" s="213"/>
      <c r="F152" s="213" t="s">
        <v>378</v>
      </c>
      <c r="G152" s="213" t="s">
        <v>237</v>
      </c>
      <c r="H152" s="598" t="s">
        <v>1033</v>
      </c>
      <c r="I152" s="197"/>
      <c r="J152" s="585"/>
      <c r="K152" s="585"/>
      <c r="L152" s="585"/>
      <c r="M152" s="585"/>
      <c r="N152" s="585"/>
      <c r="O152" s="585"/>
      <c r="P152" s="585"/>
      <c r="Q152" s="585"/>
      <c r="R152" s="585"/>
      <c r="S152" s="585"/>
      <c r="T152" s="585"/>
      <c r="U152" s="585"/>
      <c r="V152" s="585"/>
      <c r="W152" s="585"/>
      <c r="X152" s="585">
        <v>54</v>
      </c>
      <c r="Y152" s="585"/>
      <c r="Z152" s="585"/>
      <c r="AA152" s="585"/>
      <c r="AB152" s="585"/>
      <c r="AC152" s="586"/>
      <c r="AD152" s="586"/>
      <c r="AE152" s="586"/>
      <c r="AF152" s="586"/>
      <c r="AG152" s="586"/>
      <c r="AH152" s="586"/>
      <c r="AI152" s="586"/>
      <c r="AJ152" s="586"/>
      <c r="AK152" s="586"/>
      <c r="AL152" s="586"/>
      <c r="AM152" s="586"/>
      <c r="AN152" s="586"/>
      <c r="AO152" s="586"/>
      <c r="AP152" s="586">
        <f>IF(Table_NFI[[#This Row],[Winter Clothes Adult]]+Table_NFI[[#This Row],[Winter Clothes Children]]+Table_NFI[[#This Row],[Winter Items Other]]+Table_NFI[[#This Row],[Winter Blanket]]&gt;0,1,0)</f>
        <v>1</v>
      </c>
      <c r="AQ152" s="586"/>
      <c r="AR152" s="586"/>
      <c r="AS152" s="586"/>
      <c r="AT152" s="220" t="str">
        <f>IFERROR(VLOOKUP(Table_NFI[[#This Row],[Location]],CL,2,0),"")</f>
        <v>MMR001CMP023</v>
      </c>
      <c r="AU152" s="197"/>
    </row>
    <row r="153" spans="2:47" ht="18.75" hidden="1" customHeight="1" x14ac:dyDescent="0.25">
      <c r="B153" s="596">
        <v>43096</v>
      </c>
      <c r="C153" s="596" t="str">
        <f>MONTH(Table_NFI[[#This Row],[Distribution Date]]) &amp; "/" &amp; YEAR(Table_NFI[[#This Row],[Distribution Date]])</f>
        <v>12/2017</v>
      </c>
      <c r="D153" s="213" t="s">
        <v>826</v>
      </c>
      <c r="E153" s="213"/>
      <c r="F153" s="213" t="s">
        <v>378</v>
      </c>
      <c r="G153" s="213" t="s">
        <v>237</v>
      </c>
      <c r="H153" s="598" t="s">
        <v>1533</v>
      </c>
      <c r="I153" s="197"/>
      <c r="J153" s="585"/>
      <c r="K153" s="585"/>
      <c r="L153" s="585"/>
      <c r="M153" s="585"/>
      <c r="N153" s="585"/>
      <c r="O153" s="585"/>
      <c r="P153" s="585"/>
      <c r="Q153" s="585"/>
      <c r="R153" s="585"/>
      <c r="S153" s="585"/>
      <c r="T153" s="585"/>
      <c r="U153" s="585"/>
      <c r="V153" s="585"/>
      <c r="W153" s="585"/>
      <c r="X153" s="585">
        <v>20</v>
      </c>
      <c r="Y153" s="585"/>
      <c r="Z153" s="585"/>
      <c r="AA153" s="585"/>
      <c r="AB153" s="585"/>
      <c r="AC153" s="586"/>
      <c r="AD153" s="586"/>
      <c r="AE153" s="586"/>
      <c r="AF153" s="586"/>
      <c r="AG153" s="586"/>
      <c r="AH153" s="586"/>
      <c r="AI153" s="586"/>
      <c r="AJ153" s="586"/>
      <c r="AK153" s="586"/>
      <c r="AL153" s="586"/>
      <c r="AM153" s="586"/>
      <c r="AN153" s="586"/>
      <c r="AO153" s="586"/>
      <c r="AP153" s="586">
        <f>IF(Table_NFI[[#This Row],[Winter Clothes Adult]]+Table_NFI[[#This Row],[Winter Clothes Children]]+Table_NFI[[#This Row],[Winter Items Other]]+Table_NFI[[#This Row],[Winter Blanket]]&gt;0,1,0)</f>
        <v>1</v>
      </c>
      <c r="AQ153" s="586"/>
      <c r="AR153" s="586"/>
      <c r="AS153" s="586"/>
      <c r="AT153" s="220" t="str">
        <f>IFERROR(VLOOKUP(Table_NFI[[#This Row],[Location]],CL,2,0),"")</f>
        <v>MMR001CMP010</v>
      </c>
      <c r="AU153" s="197"/>
    </row>
    <row r="154" spans="2:47" ht="18.75" hidden="1" customHeight="1" x14ac:dyDescent="0.25">
      <c r="B154" s="596">
        <v>43096</v>
      </c>
      <c r="C154" s="596" t="str">
        <f>MONTH(Table_NFI[[#This Row],[Distribution Date]]) &amp; "/" &amp; YEAR(Table_NFI[[#This Row],[Distribution Date]])</f>
        <v>12/2017</v>
      </c>
      <c r="D154" s="213" t="s">
        <v>826</v>
      </c>
      <c r="E154" s="213"/>
      <c r="F154" s="213" t="s">
        <v>378</v>
      </c>
      <c r="G154" s="599" t="s">
        <v>180</v>
      </c>
      <c r="H154" s="213" t="s">
        <v>286</v>
      </c>
      <c r="I154" s="197"/>
      <c r="J154" s="585"/>
      <c r="K154" s="585"/>
      <c r="L154" s="585"/>
      <c r="M154" s="585"/>
      <c r="N154" s="585"/>
      <c r="O154" s="585"/>
      <c r="P154" s="585"/>
      <c r="Q154" s="585"/>
      <c r="R154" s="585"/>
      <c r="S154" s="585"/>
      <c r="T154" s="585"/>
      <c r="U154" s="585"/>
      <c r="V154" s="585"/>
      <c r="W154" s="585"/>
      <c r="X154" s="585">
        <v>23</v>
      </c>
      <c r="Y154" s="585"/>
      <c r="Z154" s="585"/>
      <c r="AA154" s="585"/>
      <c r="AB154" s="585"/>
      <c r="AC154" s="586"/>
      <c r="AD154" s="586"/>
      <c r="AE154" s="586"/>
      <c r="AF154" s="586"/>
      <c r="AG154" s="586"/>
      <c r="AH154" s="586"/>
      <c r="AI154" s="586"/>
      <c r="AJ154" s="586"/>
      <c r="AK154" s="586"/>
      <c r="AL154" s="586"/>
      <c r="AM154" s="586"/>
      <c r="AN154" s="586"/>
      <c r="AO154" s="586"/>
      <c r="AP154" s="586">
        <f>IF(Table_NFI[[#This Row],[Winter Clothes Adult]]+Table_NFI[[#This Row],[Winter Clothes Children]]+Table_NFI[[#This Row],[Winter Items Other]]+Table_NFI[[#This Row],[Winter Blanket]]&gt;0,1,0)</f>
        <v>1</v>
      </c>
      <c r="AQ154" s="586"/>
      <c r="AR154" s="586"/>
      <c r="AS154" s="586"/>
      <c r="AT154" s="220" t="str">
        <f>IFERROR(VLOOKUP(Table_NFI[[#This Row],[Location]],CL,2,0),"")</f>
        <v>MMR001CMP152</v>
      </c>
      <c r="AU154" s="197"/>
    </row>
    <row r="155" spans="2:47" ht="18.75" hidden="1" customHeight="1" x14ac:dyDescent="0.25">
      <c r="B155" s="596">
        <v>43096</v>
      </c>
      <c r="C155" s="596" t="str">
        <f>MONTH(Table_NFI[[#This Row],[Distribution Date]]) &amp; "/" &amp; YEAR(Table_NFI[[#This Row],[Distribution Date]])</f>
        <v>12/2017</v>
      </c>
      <c r="D155" s="213" t="s">
        <v>826</v>
      </c>
      <c r="E155" s="213"/>
      <c r="F155" s="213" t="s">
        <v>378</v>
      </c>
      <c r="G155" s="599" t="s">
        <v>180</v>
      </c>
      <c r="H155" s="213" t="s">
        <v>181</v>
      </c>
      <c r="I155" s="197"/>
      <c r="J155" s="585"/>
      <c r="K155" s="585"/>
      <c r="L155" s="585"/>
      <c r="M155" s="585"/>
      <c r="N155" s="585"/>
      <c r="O155" s="585"/>
      <c r="P155" s="585"/>
      <c r="Q155" s="585"/>
      <c r="R155" s="585"/>
      <c r="S155" s="585"/>
      <c r="T155" s="585"/>
      <c r="U155" s="585"/>
      <c r="V155" s="585"/>
      <c r="W155" s="585"/>
      <c r="X155" s="585">
        <v>11</v>
      </c>
      <c r="Y155" s="585"/>
      <c r="Z155" s="585"/>
      <c r="AA155" s="585"/>
      <c r="AB155" s="585"/>
      <c r="AC155" s="586"/>
      <c r="AD155" s="586"/>
      <c r="AE155" s="586"/>
      <c r="AF155" s="586"/>
      <c r="AG155" s="586"/>
      <c r="AH155" s="586"/>
      <c r="AI155" s="586"/>
      <c r="AJ155" s="586"/>
      <c r="AK155" s="586"/>
      <c r="AL155" s="586"/>
      <c r="AM155" s="586"/>
      <c r="AN155" s="586"/>
      <c r="AO155" s="586"/>
      <c r="AP155" s="586">
        <f>IF(Table_NFI[[#This Row],[Winter Clothes Adult]]+Table_NFI[[#This Row],[Winter Clothes Children]]+Table_NFI[[#This Row],[Winter Items Other]]+Table_NFI[[#This Row],[Winter Blanket]]&gt;0,1,0)</f>
        <v>1</v>
      </c>
      <c r="AQ155" s="586"/>
      <c r="AR155" s="586"/>
      <c r="AS155" s="586"/>
      <c r="AT155" s="220" t="str">
        <f>IFERROR(VLOOKUP(Table_NFI[[#This Row],[Location]],CL,2,0),"")</f>
        <v>MMR001CMP080</v>
      </c>
      <c r="AU155" s="197"/>
    </row>
    <row r="156" spans="2:47" ht="18.75" hidden="1" customHeight="1" x14ac:dyDescent="0.25">
      <c r="B156" s="596">
        <v>43096</v>
      </c>
      <c r="C156" s="596" t="str">
        <f>MONTH(Table_NFI[[#This Row],[Distribution Date]]) &amp; "/" &amp; YEAR(Table_NFI[[#This Row],[Distribution Date]])</f>
        <v>12/2017</v>
      </c>
      <c r="D156" s="213" t="s">
        <v>826</v>
      </c>
      <c r="E156" s="213"/>
      <c r="F156" s="213" t="s">
        <v>378</v>
      </c>
      <c r="G156" s="599" t="s">
        <v>180</v>
      </c>
      <c r="H156" s="213" t="s">
        <v>1591</v>
      </c>
      <c r="I156" s="197"/>
      <c r="J156" s="585"/>
      <c r="K156" s="585"/>
      <c r="L156" s="585"/>
      <c r="M156" s="585"/>
      <c r="N156" s="585"/>
      <c r="O156" s="585"/>
      <c r="P156" s="585"/>
      <c r="Q156" s="585"/>
      <c r="R156" s="585"/>
      <c r="S156" s="585"/>
      <c r="T156" s="585"/>
      <c r="U156" s="585"/>
      <c r="V156" s="585"/>
      <c r="W156" s="585"/>
      <c r="X156" s="585">
        <v>54</v>
      </c>
      <c r="Y156" s="585"/>
      <c r="Z156" s="585"/>
      <c r="AA156" s="585"/>
      <c r="AB156" s="585"/>
      <c r="AC156" s="586"/>
      <c r="AD156" s="586"/>
      <c r="AE156" s="586"/>
      <c r="AF156" s="586"/>
      <c r="AG156" s="586"/>
      <c r="AH156" s="586"/>
      <c r="AI156" s="586"/>
      <c r="AJ156" s="586"/>
      <c r="AK156" s="586"/>
      <c r="AL156" s="586"/>
      <c r="AM156" s="586"/>
      <c r="AN156" s="586"/>
      <c r="AO156" s="586"/>
      <c r="AP156" s="586">
        <f>IF(Table_NFI[[#This Row],[Winter Clothes Adult]]+Table_NFI[[#This Row],[Winter Clothes Children]]+Table_NFI[[#This Row],[Winter Items Other]]+Table_NFI[[#This Row],[Winter Blanket]]&gt;0,1,0)</f>
        <v>1</v>
      </c>
      <c r="AQ156" s="586"/>
      <c r="AR156" s="586"/>
      <c r="AS156" s="586"/>
      <c r="AT156" s="220" t="str">
        <f>IFERROR(VLOOKUP(Table_NFI[[#This Row],[Location]],CL,2,0),"")</f>
        <v/>
      </c>
      <c r="AU156" s="197"/>
    </row>
    <row r="157" spans="2:47" ht="18.75" hidden="1" customHeight="1" x14ac:dyDescent="0.25">
      <c r="B157" s="596">
        <v>43096</v>
      </c>
      <c r="C157" s="596" t="str">
        <f>MONTH(Table_NFI[[#This Row],[Distribution Date]]) &amp; "/" &amp; YEAR(Table_NFI[[#This Row],[Distribution Date]])</f>
        <v>12/2017</v>
      </c>
      <c r="D157" s="213" t="s">
        <v>826</v>
      </c>
      <c r="E157" s="213" t="s">
        <v>1592</v>
      </c>
      <c r="F157" s="213" t="s">
        <v>378</v>
      </c>
      <c r="G157" s="213" t="s">
        <v>301</v>
      </c>
      <c r="H157" s="599" t="s">
        <v>305</v>
      </c>
      <c r="I157" s="197"/>
      <c r="J157" s="585"/>
      <c r="K157" s="585"/>
      <c r="L157" s="585"/>
      <c r="M157" s="585"/>
      <c r="N157" s="585"/>
      <c r="O157" s="585"/>
      <c r="P157" s="585"/>
      <c r="Q157" s="585"/>
      <c r="R157" s="585"/>
      <c r="S157" s="585"/>
      <c r="T157" s="585"/>
      <c r="U157" s="585">
        <v>344</v>
      </c>
      <c r="V157" s="585">
        <v>602</v>
      </c>
      <c r="W157" s="585">
        <v>1032</v>
      </c>
      <c r="X157" s="585">
        <v>172</v>
      </c>
      <c r="Y157" s="585"/>
      <c r="Z157" s="585"/>
      <c r="AA157" s="585"/>
      <c r="AB157" s="585"/>
      <c r="AC157" s="586"/>
      <c r="AD157" s="586"/>
      <c r="AE157" s="586"/>
      <c r="AF157" s="586"/>
      <c r="AG157" s="586"/>
      <c r="AH157" s="586"/>
      <c r="AI157" s="586"/>
      <c r="AJ157" s="586"/>
      <c r="AK157" s="586"/>
      <c r="AL157" s="586"/>
      <c r="AM157" s="586"/>
      <c r="AN157" s="586"/>
      <c r="AO157" s="586"/>
      <c r="AP157" s="586">
        <f>IF(Table_NFI[[#This Row],[Winter Clothes Adult]]+Table_NFI[[#This Row],[Winter Clothes Children]]+Table_NFI[[#This Row],[Winter Items Other]]+Table_NFI[[#This Row],[Winter Blanket]]&gt;0,1,0)</f>
        <v>1</v>
      </c>
      <c r="AQ157" s="586"/>
      <c r="AR157" s="586"/>
      <c r="AS157" s="586"/>
      <c r="AT157" s="220" t="str">
        <f>IFERROR(VLOOKUP(Table_NFI[[#This Row],[Location]],CL,2,0),"")</f>
        <v>MMR001CMP067</v>
      </c>
      <c r="AU157" s="197"/>
    </row>
    <row r="158" spans="2:47" ht="18.75" hidden="1" customHeight="1" x14ac:dyDescent="0.25">
      <c r="B158" s="596">
        <v>43096</v>
      </c>
      <c r="C158" s="596" t="str">
        <f>MONTH(Table_NFI[[#This Row],[Distribution Date]]) &amp; "/" &amp; YEAR(Table_NFI[[#This Row],[Distribution Date]])</f>
        <v>12/2017</v>
      </c>
      <c r="D158" s="213" t="s">
        <v>826</v>
      </c>
      <c r="E158" s="213" t="s">
        <v>1592</v>
      </c>
      <c r="F158" s="213" t="s">
        <v>378</v>
      </c>
      <c r="G158" s="213" t="s">
        <v>301</v>
      </c>
      <c r="H158" s="599" t="s">
        <v>307</v>
      </c>
      <c r="I158" s="197"/>
      <c r="J158" s="585"/>
      <c r="K158" s="585"/>
      <c r="L158" s="585"/>
      <c r="M158" s="585"/>
      <c r="N158" s="585"/>
      <c r="O158" s="585"/>
      <c r="P158" s="585"/>
      <c r="Q158" s="585"/>
      <c r="R158" s="585"/>
      <c r="S158" s="585"/>
      <c r="T158" s="585"/>
      <c r="U158" s="585">
        <v>212</v>
      </c>
      <c r="V158" s="585">
        <v>371</v>
      </c>
      <c r="W158" s="585">
        <v>636</v>
      </c>
      <c r="X158" s="585">
        <v>106</v>
      </c>
      <c r="Y158" s="585"/>
      <c r="Z158" s="585"/>
      <c r="AA158" s="585"/>
      <c r="AB158" s="585"/>
      <c r="AC158" s="586"/>
      <c r="AD158" s="586"/>
      <c r="AE158" s="586"/>
      <c r="AF158" s="586"/>
      <c r="AG158" s="586"/>
      <c r="AH158" s="586"/>
      <c r="AI158" s="586"/>
      <c r="AJ158" s="586"/>
      <c r="AK158" s="586"/>
      <c r="AL158" s="586"/>
      <c r="AM158" s="586"/>
      <c r="AN158" s="586"/>
      <c r="AO158" s="586"/>
      <c r="AP158" s="586">
        <f>IF(Table_NFI[[#This Row],[Winter Clothes Adult]]+Table_NFI[[#This Row],[Winter Clothes Children]]+Table_NFI[[#This Row],[Winter Items Other]]+Table_NFI[[#This Row],[Winter Blanket]]&gt;0,1,0)</f>
        <v>1</v>
      </c>
      <c r="AQ158" s="586"/>
      <c r="AR158" s="586"/>
      <c r="AS158" s="586"/>
      <c r="AT158" s="220" t="str">
        <f>IFERROR(VLOOKUP(Table_NFI[[#This Row],[Location]],CL,2,0),"")</f>
        <v>MMR001CMP068</v>
      </c>
      <c r="AU158" s="197"/>
    </row>
    <row r="159" spans="2:47" ht="18.75" customHeight="1" x14ac:dyDescent="0.25">
      <c r="B159" s="596">
        <v>43096</v>
      </c>
      <c r="C159" s="596" t="str">
        <f>MONTH(Table_NFI[[#This Row],[Distribution Date]]) &amp; "/" &amp; YEAR(Table_NFI[[#This Row],[Distribution Date]])</f>
        <v>12/2017</v>
      </c>
      <c r="D159" s="213" t="s">
        <v>1488</v>
      </c>
      <c r="E159" s="213" t="s">
        <v>1619</v>
      </c>
      <c r="F159" s="213" t="s">
        <v>506</v>
      </c>
      <c r="G159" s="213" t="s">
        <v>1603</v>
      </c>
      <c r="H159" s="599" t="s">
        <v>291</v>
      </c>
      <c r="I159" s="197"/>
      <c r="J159" s="585"/>
      <c r="K159" s="585">
        <v>7</v>
      </c>
      <c r="L159" s="585"/>
      <c r="M159" s="585"/>
      <c r="N159" s="585"/>
      <c r="O159" s="585"/>
      <c r="P159" s="585"/>
      <c r="Q159" s="585"/>
      <c r="R159" s="585"/>
      <c r="S159" s="585"/>
      <c r="T159" s="585"/>
      <c r="U159" s="585"/>
      <c r="V159" s="585"/>
      <c r="W159" s="585"/>
      <c r="X159" s="585"/>
      <c r="Y159" s="585"/>
      <c r="Z159" s="585"/>
      <c r="AA159" s="585"/>
      <c r="AB159" s="585"/>
      <c r="AC159" s="586"/>
      <c r="AD159" s="586"/>
      <c r="AE159" s="586"/>
      <c r="AF159" s="586"/>
      <c r="AG159" s="586"/>
      <c r="AH159" s="586"/>
      <c r="AI159" s="586"/>
      <c r="AJ159" s="586"/>
      <c r="AK159" s="586"/>
      <c r="AL159" s="586"/>
      <c r="AM159" s="586"/>
      <c r="AN159" s="586"/>
      <c r="AO159" s="586"/>
      <c r="AP159" s="586">
        <f>IF(Table_NFI[[#This Row],[Winter Clothes Adult]]+Table_NFI[[#This Row],[Winter Clothes Children]]+Table_NFI[[#This Row],[Winter Items Other]]+Table_NFI[[#This Row],[Winter Blanket]]&gt;0,1,0)</f>
        <v>0</v>
      </c>
      <c r="AQ159" s="586"/>
      <c r="AR159" s="586"/>
      <c r="AS159" s="586"/>
      <c r="AT159" s="220" t="str">
        <f>IFERROR(VLOOKUP(Table_NFI[[#This Row],[Location]],CL,2,0),"")</f>
        <v>MMR015CMP004</v>
      </c>
      <c r="AU159" s="197"/>
    </row>
    <row r="160" spans="2:47" ht="18.75" customHeight="1" x14ac:dyDescent="0.25">
      <c r="B160" s="584">
        <v>43098</v>
      </c>
      <c r="C160" s="584" t="str">
        <f>MONTH(Table_NFI[[#This Row],[Distribution Date]]) &amp; "/" &amp; YEAR(Table_NFI[[#This Row],[Distribution Date]])</f>
        <v>12/2017</v>
      </c>
      <c r="D160" s="213" t="s">
        <v>1597</v>
      </c>
      <c r="E160" s="213" t="s">
        <v>1597</v>
      </c>
      <c r="F160" s="213" t="s">
        <v>506</v>
      </c>
      <c r="G160" s="213" t="s">
        <v>1603</v>
      </c>
      <c r="H160" s="213" t="s">
        <v>919</v>
      </c>
      <c r="I160" s="197"/>
      <c r="J160" s="585"/>
      <c r="K160" s="585"/>
      <c r="L160" s="585"/>
      <c r="M160" s="585"/>
      <c r="N160" s="585"/>
      <c r="O160" s="585"/>
      <c r="P160" s="585"/>
      <c r="Q160" s="585"/>
      <c r="R160" s="585"/>
      <c r="S160" s="585"/>
      <c r="T160" s="585"/>
      <c r="U160" s="585"/>
      <c r="V160" s="585"/>
      <c r="W160" s="585">
        <v>15</v>
      </c>
      <c r="X160" s="585"/>
      <c r="Y160" s="585"/>
      <c r="Z160" s="585"/>
      <c r="AA160" s="585"/>
      <c r="AB160" s="585"/>
      <c r="AC160" s="586"/>
      <c r="AD160" s="586"/>
      <c r="AE160" s="586"/>
      <c r="AF160" s="586"/>
      <c r="AG160" s="586"/>
      <c r="AH160" s="586"/>
      <c r="AI160" s="586"/>
      <c r="AJ160" s="586"/>
      <c r="AK160" s="586"/>
      <c r="AL160" s="586"/>
      <c r="AM160" s="586"/>
      <c r="AN160" s="586"/>
      <c r="AO160" s="586"/>
      <c r="AP160" s="586">
        <f>IF(Table_NFI[[#This Row],[Winter Clothes Adult]]+Table_NFI[[#This Row],[Winter Clothes Children]]+Table_NFI[[#This Row],[Winter Items Other]]+Table_NFI[[#This Row],[Winter Blanket]]&gt;0,1,0)</f>
        <v>1</v>
      </c>
      <c r="AQ160" s="586"/>
      <c r="AR160" s="586"/>
      <c r="AS160" s="586"/>
      <c r="AT160" s="220" t="str">
        <f>IFERROR(VLOOKUP(Table_NFI[[#This Row],[Location]],CL,2,0),"")</f>
        <v>MMR015CMP215</v>
      </c>
      <c r="AU160" s="197"/>
    </row>
    <row r="161" spans="2:47" ht="18.75" customHeight="1" x14ac:dyDescent="0.25">
      <c r="B161" s="584">
        <v>43098</v>
      </c>
      <c r="C161" s="584" t="str">
        <f>MONTH(Table_NFI[[#This Row],[Distribution Date]]) &amp; "/" &amp; YEAR(Table_NFI[[#This Row],[Distribution Date]])</f>
        <v>12/2017</v>
      </c>
      <c r="D161" s="213" t="s">
        <v>1597</v>
      </c>
      <c r="E161" s="213" t="s">
        <v>1597</v>
      </c>
      <c r="F161" s="213" t="s">
        <v>506</v>
      </c>
      <c r="G161" s="213" t="s">
        <v>1603</v>
      </c>
      <c r="H161" s="213" t="s">
        <v>291</v>
      </c>
      <c r="I161" s="197"/>
      <c r="J161" s="585"/>
      <c r="K161" s="585"/>
      <c r="L161" s="585"/>
      <c r="M161" s="585"/>
      <c r="N161" s="585"/>
      <c r="O161" s="585"/>
      <c r="P161" s="585"/>
      <c r="Q161" s="585"/>
      <c r="R161" s="585"/>
      <c r="S161" s="585"/>
      <c r="T161" s="585"/>
      <c r="U161" s="585"/>
      <c r="V161" s="585"/>
      <c r="W161" s="585">
        <v>8</v>
      </c>
      <c r="X161" s="585"/>
      <c r="Y161" s="585"/>
      <c r="Z161" s="585"/>
      <c r="AA161" s="585"/>
      <c r="AB161" s="585"/>
      <c r="AC161" s="586"/>
      <c r="AD161" s="586"/>
      <c r="AE161" s="586"/>
      <c r="AF161" s="586"/>
      <c r="AG161" s="586"/>
      <c r="AH161" s="586"/>
      <c r="AI161" s="586"/>
      <c r="AJ161" s="586"/>
      <c r="AK161" s="586"/>
      <c r="AL161" s="586"/>
      <c r="AM161" s="586"/>
      <c r="AN161" s="586"/>
      <c r="AO161" s="586"/>
      <c r="AP161" s="586">
        <f>IF(Table_NFI[[#This Row],[Winter Clothes Adult]]+Table_NFI[[#This Row],[Winter Clothes Children]]+Table_NFI[[#This Row],[Winter Items Other]]+Table_NFI[[#This Row],[Winter Blanket]]&gt;0,1,0)</f>
        <v>1</v>
      </c>
      <c r="AQ161" s="586"/>
      <c r="AR161" s="586"/>
      <c r="AS161" s="586"/>
      <c r="AT161" s="220" t="str">
        <f>IFERROR(VLOOKUP(Table_NFI[[#This Row],[Location]],CL,2,0),"")</f>
        <v>MMR015CMP004</v>
      </c>
      <c r="AU161" s="197"/>
    </row>
    <row r="162" spans="2:47" ht="18.75" customHeight="1" x14ac:dyDescent="0.25">
      <c r="B162" s="584">
        <v>43098</v>
      </c>
      <c r="C162" s="584" t="str">
        <f>MONTH(Table_NFI[[#This Row],[Distribution Date]]) &amp; "/" &amp; YEAR(Table_NFI[[#This Row],[Distribution Date]])</f>
        <v>12/2017</v>
      </c>
      <c r="D162" s="213" t="s">
        <v>1597</v>
      </c>
      <c r="E162" s="213" t="s">
        <v>1597</v>
      </c>
      <c r="F162" s="213" t="s">
        <v>506</v>
      </c>
      <c r="G162" s="213" t="s">
        <v>1603</v>
      </c>
      <c r="H162" s="213" t="s">
        <v>372</v>
      </c>
      <c r="I162" s="197"/>
      <c r="J162" s="585"/>
      <c r="K162" s="585"/>
      <c r="L162" s="585"/>
      <c r="M162" s="585"/>
      <c r="N162" s="585"/>
      <c r="O162" s="585"/>
      <c r="P162" s="585"/>
      <c r="Q162" s="585"/>
      <c r="R162" s="585"/>
      <c r="S162" s="585"/>
      <c r="T162" s="585"/>
      <c r="U162" s="585"/>
      <c r="V162" s="585"/>
      <c r="W162" s="585">
        <v>1</v>
      </c>
      <c r="X162" s="585"/>
      <c r="Y162" s="585"/>
      <c r="Z162" s="585"/>
      <c r="AA162" s="585"/>
      <c r="AB162" s="585"/>
      <c r="AC162" s="586"/>
      <c r="AD162" s="586"/>
      <c r="AE162" s="586"/>
      <c r="AF162" s="586"/>
      <c r="AG162" s="586"/>
      <c r="AH162" s="586"/>
      <c r="AI162" s="586"/>
      <c r="AJ162" s="586"/>
      <c r="AK162" s="586"/>
      <c r="AL162" s="586"/>
      <c r="AM162" s="586"/>
      <c r="AN162" s="586"/>
      <c r="AO162" s="586"/>
      <c r="AP162" s="586">
        <f>IF(Table_NFI[[#This Row],[Winter Clothes Adult]]+Table_NFI[[#This Row],[Winter Clothes Children]]+Table_NFI[[#This Row],[Winter Items Other]]+Table_NFI[[#This Row],[Winter Blanket]]&gt;0,1,0)</f>
        <v>1</v>
      </c>
      <c r="AQ162" s="586"/>
      <c r="AR162" s="586"/>
      <c r="AS162" s="586"/>
      <c r="AT162" s="220" t="str">
        <f>IFERROR(VLOOKUP(Table_NFI[[#This Row],[Location]],CL,2,0),"")</f>
        <v>MMR015CMP003</v>
      </c>
      <c r="AU162" s="197"/>
    </row>
    <row r="163" spans="2:47" ht="18.75" hidden="1" customHeight="1" x14ac:dyDescent="0.25">
      <c r="B163" s="596">
        <v>43098</v>
      </c>
      <c r="C163" s="596" t="str">
        <f>MONTH(Table_NFI[[#This Row],[Distribution Date]]) &amp; "/" &amp; YEAR(Table_NFI[[#This Row],[Distribution Date]])</f>
        <v>12/2017</v>
      </c>
      <c r="D163" s="235" t="s">
        <v>1583</v>
      </c>
      <c r="E163" s="235" t="s">
        <v>1583</v>
      </c>
      <c r="F163" s="235" t="s">
        <v>378</v>
      </c>
      <c r="G163" s="213" t="s">
        <v>151</v>
      </c>
      <c r="H163" s="599" t="s">
        <v>154</v>
      </c>
      <c r="I163" s="197"/>
      <c r="J163" s="585"/>
      <c r="K163" s="585"/>
      <c r="L163" s="585">
        <v>11</v>
      </c>
      <c r="M163" s="585"/>
      <c r="N163" s="585"/>
      <c r="O163" s="585"/>
      <c r="P163" s="585"/>
      <c r="Q163" s="585"/>
      <c r="R163" s="585"/>
      <c r="S163" s="585"/>
      <c r="T163" s="585"/>
      <c r="U163" s="585"/>
      <c r="V163" s="585"/>
      <c r="W163" s="585"/>
      <c r="X163" s="585"/>
      <c r="Y163" s="585"/>
      <c r="Z163" s="585"/>
      <c r="AA163" s="585"/>
      <c r="AB163" s="585"/>
      <c r="AC163" s="586"/>
      <c r="AD163" s="586"/>
      <c r="AE163" s="586"/>
      <c r="AF163" s="586"/>
      <c r="AG163" s="586"/>
      <c r="AH163" s="586"/>
      <c r="AI163" s="586"/>
      <c r="AJ163" s="586"/>
      <c r="AK163" s="586"/>
      <c r="AL163" s="586"/>
      <c r="AM163" s="586"/>
      <c r="AN163" s="586"/>
      <c r="AO163" s="586"/>
      <c r="AP163" s="586">
        <f>IF(Table_NFI[[#This Row],[Winter Clothes Adult]]+Table_NFI[[#This Row],[Winter Clothes Children]]+Table_NFI[[#This Row],[Winter Items Other]]+Table_NFI[[#This Row],[Winter Blanket]]&gt;0,1,0)</f>
        <v>0</v>
      </c>
      <c r="AQ163" s="586"/>
      <c r="AR163" s="586"/>
      <c r="AS163" s="586"/>
      <c r="AT163" s="220" t="str">
        <f>IFERROR(VLOOKUP(Table_NFI[[#This Row],[Location]],CL,2,0),"")</f>
        <v>MMR001CMP132</v>
      </c>
      <c r="AU163" s="197" t="s">
        <v>1587</v>
      </c>
    </row>
    <row r="164" spans="2:47" ht="18.75" hidden="1" customHeight="1" x14ac:dyDescent="0.25">
      <c r="B164" s="596">
        <v>43098</v>
      </c>
      <c r="C164" s="596" t="str">
        <f>MONTH(Table_NFI[[#This Row],[Distribution Date]]) &amp; "/" &amp; YEAR(Table_NFI[[#This Row],[Distribution Date]])</f>
        <v>12/2017</v>
      </c>
      <c r="D164" s="235" t="s">
        <v>1583</v>
      </c>
      <c r="E164" s="235" t="s">
        <v>1583</v>
      </c>
      <c r="F164" s="235" t="s">
        <v>378</v>
      </c>
      <c r="G164" s="213" t="s">
        <v>151</v>
      </c>
      <c r="H164" s="599" t="s">
        <v>913</v>
      </c>
      <c r="I164" s="197"/>
      <c r="J164" s="585"/>
      <c r="K164" s="585"/>
      <c r="L164" s="585">
        <v>3</v>
      </c>
      <c r="M164" s="585"/>
      <c r="N164" s="585"/>
      <c r="O164" s="585"/>
      <c r="P164" s="585"/>
      <c r="Q164" s="585"/>
      <c r="R164" s="585"/>
      <c r="S164" s="585"/>
      <c r="T164" s="585"/>
      <c r="U164" s="585"/>
      <c r="V164" s="585"/>
      <c r="W164" s="585"/>
      <c r="X164" s="585"/>
      <c r="Y164" s="585"/>
      <c r="Z164" s="585"/>
      <c r="AA164" s="585"/>
      <c r="AB164" s="585"/>
      <c r="AC164" s="586"/>
      <c r="AD164" s="586"/>
      <c r="AE164" s="586"/>
      <c r="AF164" s="586"/>
      <c r="AG164" s="586"/>
      <c r="AH164" s="586"/>
      <c r="AI164" s="586"/>
      <c r="AJ164" s="586"/>
      <c r="AK164" s="586"/>
      <c r="AL164" s="586"/>
      <c r="AM164" s="586"/>
      <c r="AN164" s="586"/>
      <c r="AO164" s="586"/>
      <c r="AP164" s="586">
        <f>IF(Table_NFI[[#This Row],[Winter Clothes Adult]]+Table_NFI[[#This Row],[Winter Clothes Children]]+Table_NFI[[#This Row],[Winter Items Other]]+Table_NFI[[#This Row],[Winter Blanket]]&gt;0,1,0)</f>
        <v>0</v>
      </c>
      <c r="AQ164" s="586"/>
      <c r="AR164" s="586"/>
      <c r="AS164" s="586"/>
      <c r="AT164" s="220" t="str">
        <f>IFERROR(VLOOKUP(Table_NFI[[#This Row],[Location]],CL,2,0),"")</f>
        <v>MMR001CMP228</v>
      </c>
      <c r="AU164" s="197" t="s">
        <v>1587</v>
      </c>
    </row>
    <row r="165" spans="2:47" ht="18.75" hidden="1" customHeight="1" x14ac:dyDescent="0.25">
      <c r="B165" s="596">
        <v>43098</v>
      </c>
      <c r="C165" s="596" t="str">
        <f>MONTH(Table_NFI[[#This Row],[Distribution Date]]) &amp; "/" &amp; YEAR(Table_NFI[[#This Row],[Distribution Date]])</f>
        <v>12/2017</v>
      </c>
      <c r="D165" s="235" t="s">
        <v>1583</v>
      </c>
      <c r="E165" s="235" t="s">
        <v>1583</v>
      </c>
      <c r="F165" s="235" t="s">
        <v>378</v>
      </c>
      <c r="G165" s="213" t="s">
        <v>151</v>
      </c>
      <c r="H165" s="598" t="s">
        <v>940</v>
      </c>
      <c r="I165" s="197"/>
      <c r="J165" s="585"/>
      <c r="K165" s="585"/>
      <c r="L165" s="585">
        <v>20</v>
      </c>
      <c r="M165" s="585"/>
      <c r="N165" s="585"/>
      <c r="O165" s="585"/>
      <c r="P165" s="585"/>
      <c r="Q165" s="585"/>
      <c r="R165" s="585"/>
      <c r="S165" s="585"/>
      <c r="T165" s="585"/>
      <c r="U165" s="585"/>
      <c r="V165" s="585"/>
      <c r="W165" s="585"/>
      <c r="X165" s="585"/>
      <c r="Y165" s="585"/>
      <c r="Z165" s="585"/>
      <c r="AA165" s="585"/>
      <c r="AB165" s="585"/>
      <c r="AC165" s="586"/>
      <c r="AD165" s="586"/>
      <c r="AE165" s="586"/>
      <c r="AF165" s="586"/>
      <c r="AG165" s="586"/>
      <c r="AH165" s="586"/>
      <c r="AI165" s="586"/>
      <c r="AJ165" s="586"/>
      <c r="AK165" s="586"/>
      <c r="AL165" s="586"/>
      <c r="AM165" s="586"/>
      <c r="AN165" s="586"/>
      <c r="AO165" s="586"/>
      <c r="AP165" s="586">
        <f>IF(Table_NFI[[#This Row],[Winter Clothes Adult]]+Table_NFI[[#This Row],[Winter Clothes Children]]+Table_NFI[[#This Row],[Winter Items Other]]+Table_NFI[[#This Row],[Winter Blanket]]&gt;0,1,0)</f>
        <v>0</v>
      </c>
      <c r="AQ165" s="586"/>
      <c r="AR165" s="586"/>
      <c r="AS165" s="586"/>
      <c r="AT165" s="220" t="str">
        <f>IFERROR(VLOOKUP(Table_NFI[[#This Row],[Location]],CL,2,0),"")</f>
        <v>MMR001CMP230</v>
      </c>
      <c r="AU165" s="197" t="s">
        <v>1587</v>
      </c>
    </row>
    <row r="166" spans="2:47" ht="18.75" customHeight="1" x14ac:dyDescent="0.25">
      <c r="B166" s="596">
        <v>43098</v>
      </c>
      <c r="C166" s="596" t="str">
        <f>MONTH(Table_NFI[[#This Row],[Distribution Date]]) &amp; "/" &amp; YEAR(Table_NFI[[#This Row],[Distribution Date]])</f>
        <v>12/2017</v>
      </c>
      <c r="D166" s="235" t="s">
        <v>1583</v>
      </c>
      <c r="E166" s="235" t="s">
        <v>1583</v>
      </c>
      <c r="F166" s="235" t="s">
        <v>506</v>
      </c>
      <c r="G166" s="235" t="s">
        <v>1603</v>
      </c>
      <c r="H166" s="599" t="s">
        <v>919</v>
      </c>
      <c r="I166" s="197"/>
      <c r="J166" s="585"/>
      <c r="K166" s="585"/>
      <c r="L166" s="585">
        <v>14</v>
      </c>
      <c r="M166" s="585"/>
      <c r="N166" s="585"/>
      <c r="O166" s="585"/>
      <c r="P166" s="585"/>
      <c r="Q166" s="585"/>
      <c r="R166" s="585"/>
      <c r="S166" s="585"/>
      <c r="T166" s="585"/>
      <c r="U166" s="585"/>
      <c r="V166" s="585"/>
      <c r="W166" s="585"/>
      <c r="X166" s="585"/>
      <c r="Y166" s="585"/>
      <c r="Z166" s="585"/>
      <c r="AA166" s="585"/>
      <c r="AB166" s="585"/>
      <c r="AC166" s="586"/>
      <c r="AD166" s="586"/>
      <c r="AE166" s="586"/>
      <c r="AF166" s="586"/>
      <c r="AG166" s="586"/>
      <c r="AH166" s="586"/>
      <c r="AI166" s="586"/>
      <c r="AJ166" s="586"/>
      <c r="AK166" s="586"/>
      <c r="AL166" s="586"/>
      <c r="AM166" s="586"/>
      <c r="AN166" s="586"/>
      <c r="AO166" s="586"/>
      <c r="AP166" s="586">
        <f>IF(Table_NFI[[#This Row],[Winter Clothes Adult]]+Table_NFI[[#This Row],[Winter Clothes Children]]+Table_NFI[[#This Row],[Winter Items Other]]+Table_NFI[[#This Row],[Winter Blanket]]&gt;0,1,0)</f>
        <v>0</v>
      </c>
      <c r="AQ166" s="586"/>
      <c r="AR166" s="586"/>
      <c r="AS166" s="586"/>
      <c r="AT166" s="220" t="str">
        <f>IFERROR(VLOOKUP(Table_NFI[[#This Row],[Location]],CL,2,0),"")</f>
        <v>MMR015CMP215</v>
      </c>
      <c r="AU166" s="197" t="s">
        <v>1587</v>
      </c>
    </row>
    <row r="167" spans="2:47" ht="18.75" customHeight="1" x14ac:dyDescent="0.25">
      <c r="B167" s="596">
        <v>43098</v>
      </c>
      <c r="C167" s="596" t="str">
        <f>MONTH(Table_NFI[[#This Row],[Distribution Date]]) &amp; "/" &amp; YEAR(Table_NFI[[#This Row],[Distribution Date]])</f>
        <v>12/2017</v>
      </c>
      <c r="D167" s="235" t="s">
        <v>1583</v>
      </c>
      <c r="E167" s="235" t="s">
        <v>1583</v>
      </c>
      <c r="F167" s="235" t="s">
        <v>506</v>
      </c>
      <c r="G167" s="235" t="s">
        <v>1603</v>
      </c>
      <c r="H167" s="213" t="s">
        <v>291</v>
      </c>
      <c r="I167" s="197"/>
      <c r="J167" s="585"/>
      <c r="K167" s="585"/>
      <c r="L167" s="585">
        <v>8</v>
      </c>
      <c r="M167" s="585"/>
      <c r="N167" s="585"/>
      <c r="O167" s="585"/>
      <c r="P167" s="585"/>
      <c r="Q167" s="585"/>
      <c r="R167" s="585"/>
      <c r="S167" s="585"/>
      <c r="T167" s="585"/>
      <c r="U167" s="585"/>
      <c r="V167" s="585"/>
      <c r="W167" s="585"/>
      <c r="X167" s="585"/>
      <c r="Y167" s="585"/>
      <c r="Z167" s="585"/>
      <c r="AA167" s="585"/>
      <c r="AB167" s="585"/>
      <c r="AC167" s="586"/>
      <c r="AD167" s="586"/>
      <c r="AE167" s="586"/>
      <c r="AF167" s="586"/>
      <c r="AG167" s="586"/>
      <c r="AH167" s="586"/>
      <c r="AI167" s="586"/>
      <c r="AJ167" s="586"/>
      <c r="AK167" s="586"/>
      <c r="AL167" s="586"/>
      <c r="AM167" s="586"/>
      <c r="AN167" s="586"/>
      <c r="AO167" s="586"/>
      <c r="AP167" s="586">
        <f>IF(Table_NFI[[#This Row],[Winter Clothes Adult]]+Table_NFI[[#This Row],[Winter Clothes Children]]+Table_NFI[[#This Row],[Winter Items Other]]+Table_NFI[[#This Row],[Winter Blanket]]&gt;0,1,0)</f>
        <v>0</v>
      </c>
      <c r="AQ167" s="586"/>
      <c r="AR167" s="586"/>
      <c r="AS167" s="586"/>
      <c r="AT167" s="220" t="str">
        <f>IFERROR(VLOOKUP(Table_NFI[[#This Row],[Location]],CL,2,0),"")</f>
        <v>MMR015CMP004</v>
      </c>
      <c r="AU167" s="197" t="s">
        <v>1587</v>
      </c>
    </row>
    <row r="168" spans="2:47" ht="18.75" hidden="1" customHeight="1" x14ac:dyDescent="0.25">
      <c r="B168" s="584">
        <v>43105</v>
      </c>
      <c r="C168" s="584" t="str">
        <f>MONTH(Table_NFI[[#This Row],[Distribution Date]]) &amp; "/" &amp; YEAR(Table_NFI[[#This Row],[Distribution Date]])</f>
        <v>1/2018</v>
      </c>
      <c r="D168" s="213" t="s">
        <v>1597</v>
      </c>
      <c r="E168" s="213" t="s">
        <v>1597</v>
      </c>
      <c r="F168" s="213" t="s">
        <v>506</v>
      </c>
      <c r="G168" s="213" t="s">
        <v>494</v>
      </c>
      <c r="H168" s="213" t="s">
        <v>1604</v>
      </c>
      <c r="I168" s="197"/>
      <c r="J168" s="585"/>
      <c r="K168" s="585"/>
      <c r="L168" s="585"/>
      <c r="M168" s="585"/>
      <c r="N168" s="585"/>
      <c r="O168" s="585"/>
      <c r="P168" s="585"/>
      <c r="Q168" s="585"/>
      <c r="R168" s="585"/>
      <c r="S168" s="585"/>
      <c r="T168" s="585"/>
      <c r="U168" s="585"/>
      <c r="V168" s="585"/>
      <c r="W168" s="585">
        <v>72</v>
      </c>
      <c r="X168" s="585"/>
      <c r="Y168" s="585"/>
      <c r="Z168" s="585"/>
      <c r="AA168" s="585">
        <v>10</v>
      </c>
      <c r="AB168" s="585"/>
      <c r="AC168" s="586"/>
      <c r="AD168" s="586"/>
      <c r="AE168" s="586"/>
      <c r="AF168" s="586"/>
      <c r="AG168" s="586"/>
      <c r="AH168" s="586"/>
      <c r="AI168" s="586"/>
      <c r="AJ168" s="586"/>
      <c r="AK168" s="586"/>
      <c r="AL168" s="586"/>
      <c r="AM168" s="586"/>
      <c r="AN168" s="586"/>
      <c r="AO168" s="586"/>
      <c r="AP168" s="586">
        <f>IF(Table_NFI[[#This Row],[Winter Clothes Adult]]+Table_NFI[[#This Row],[Winter Clothes Children]]+Table_NFI[[#This Row],[Winter Items Other]]+Table_NFI[[#This Row],[Winter Blanket]]&gt;0,1,0)</f>
        <v>1</v>
      </c>
      <c r="AQ168" s="586"/>
      <c r="AR168" s="586"/>
      <c r="AS168" s="586"/>
      <c r="AT168" s="220" t="str">
        <f>IFERROR(VLOOKUP(Table_NFI[[#This Row],[Location]],CL,2,0),"")</f>
        <v/>
      </c>
      <c r="AU168" s="197"/>
    </row>
    <row r="169" spans="2:47" ht="18.75" hidden="1" customHeight="1" x14ac:dyDescent="0.25">
      <c r="B169" s="596">
        <v>43105</v>
      </c>
      <c r="C169" s="596" t="str">
        <f>MONTH(Table_NFI[[#This Row],[Distribution Date]]) &amp; "/" &amp; YEAR(Table_NFI[[#This Row],[Distribution Date]])</f>
        <v>1/2018</v>
      </c>
      <c r="D169" s="600" t="s">
        <v>1597</v>
      </c>
      <c r="E169" s="600" t="s">
        <v>1621</v>
      </c>
      <c r="F169" s="213" t="s">
        <v>506</v>
      </c>
      <c r="G169" s="213" t="s">
        <v>494</v>
      </c>
      <c r="H169" s="576" t="s">
        <v>1604</v>
      </c>
      <c r="I169" s="197"/>
      <c r="J169" s="585"/>
      <c r="K169" s="585"/>
      <c r="L169" s="585"/>
      <c r="M169" s="585"/>
      <c r="N169" s="585"/>
      <c r="O169" s="585"/>
      <c r="P169" s="585"/>
      <c r="Q169" s="585"/>
      <c r="R169" s="585"/>
      <c r="S169" s="585"/>
      <c r="T169" s="585"/>
      <c r="U169" s="601">
        <v>144</v>
      </c>
      <c r="V169" s="585"/>
      <c r="W169" s="601">
        <v>144</v>
      </c>
      <c r="X169" s="601">
        <v>144</v>
      </c>
      <c r="Y169" s="585"/>
      <c r="Z169" s="585"/>
      <c r="AA169" s="585">
        <v>10</v>
      </c>
      <c r="AB169" s="585"/>
      <c r="AC169" s="586"/>
      <c r="AD169" s="586"/>
      <c r="AE169" s="586"/>
      <c r="AF169" s="586"/>
      <c r="AG169" s="586"/>
      <c r="AH169" s="586"/>
      <c r="AI169" s="586"/>
      <c r="AJ169" s="586"/>
      <c r="AK169" s="586"/>
      <c r="AL169" s="586"/>
      <c r="AM169" s="586"/>
      <c r="AN169" s="586"/>
      <c r="AO169" s="586"/>
      <c r="AP169" s="586">
        <f>IF(Table_NFI[[#This Row],[Winter Clothes Adult]]+Table_NFI[[#This Row],[Winter Clothes Children]]+Table_NFI[[#This Row],[Winter Items Other]]+Table_NFI[[#This Row],[Winter Blanket]]&gt;0,1,0)</f>
        <v>1</v>
      </c>
      <c r="AQ169" s="586"/>
      <c r="AR169" s="586"/>
      <c r="AS169" s="586"/>
      <c r="AT169" s="220" t="str">
        <f>IFERROR(VLOOKUP(Table_NFI[[#This Row],[Location]],CL,2,0),"")</f>
        <v/>
      </c>
      <c r="AU169" s="197"/>
    </row>
    <row r="170" spans="2:47" ht="18.75" hidden="1" customHeight="1" x14ac:dyDescent="0.25">
      <c r="B170" s="596">
        <v>43105</v>
      </c>
      <c r="C170" s="596" t="str">
        <f>MONTH(Table_NFI[[#This Row],[Distribution Date]]) &amp; "/" &amp; YEAR(Table_NFI[[#This Row],[Distribution Date]])</f>
        <v>1/2018</v>
      </c>
      <c r="D170" s="600" t="s">
        <v>1597</v>
      </c>
      <c r="E170" s="600" t="s">
        <v>1621</v>
      </c>
      <c r="F170" s="213" t="s">
        <v>506</v>
      </c>
      <c r="G170" s="213" t="s">
        <v>494</v>
      </c>
      <c r="H170" s="576" t="s">
        <v>1622</v>
      </c>
      <c r="I170" s="197"/>
      <c r="J170" s="585"/>
      <c r="K170" s="585"/>
      <c r="L170" s="585"/>
      <c r="M170" s="585"/>
      <c r="N170" s="585"/>
      <c r="O170" s="585"/>
      <c r="P170" s="585"/>
      <c r="Q170" s="585"/>
      <c r="R170" s="585"/>
      <c r="S170" s="585"/>
      <c r="T170" s="585"/>
      <c r="U170" s="601">
        <v>102</v>
      </c>
      <c r="V170" s="585"/>
      <c r="W170" s="601">
        <v>102</v>
      </c>
      <c r="X170" s="601">
        <v>102</v>
      </c>
      <c r="Y170" s="585"/>
      <c r="Z170" s="585"/>
      <c r="AA170" s="585">
        <v>10</v>
      </c>
      <c r="AB170" s="585"/>
      <c r="AC170" s="586"/>
      <c r="AD170" s="586"/>
      <c r="AE170" s="586"/>
      <c r="AF170" s="586"/>
      <c r="AG170" s="586"/>
      <c r="AH170" s="586"/>
      <c r="AI170" s="586"/>
      <c r="AJ170" s="586"/>
      <c r="AK170" s="586"/>
      <c r="AL170" s="586"/>
      <c r="AM170" s="586"/>
      <c r="AN170" s="586"/>
      <c r="AO170" s="586"/>
      <c r="AP170" s="586">
        <f>IF(Table_NFI[[#This Row],[Winter Clothes Adult]]+Table_NFI[[#This Row],[Winter Clothes Children]]+Table_NFI[[#This Row],[Winter Items Other]]+Table_NFI[[#This Row],[Winter Blanket]]&gt;0,1,0)</f>
        <v>1</v>
      </c>
      <c r="AQ170" s="586"/>
      <c r="AR170" s="586"/>
      <c r="AS170" s="586"/>
      <c r="AT170" s="220" t="str">
        <f>IFERROR(VLOOKUP(Table_NFI[[#This Row],[Location]],CL,2,0),"")</f>
        <v/>
      </c>
      <c r="AU170" s="197"/>
    </row>
    <row r="171" spans="2:47" ht="18.75" hidden="1" customHeight="1" x14ac:dyDescent="0.25">
      <c r="B171" s="596">
        <v>43105</v>
      </c>
      <c r="C171" s="596" t="str">
        <f>MONTH(Table_NFI[[#This Row],[Distribution Date]]) &amp; "/" &amp; YEAR(Table_NFI[[#This Row],[Distribution Date]])</f>
        <v>1/2018</v>
      </c>
      <c r="D171" s="600" t="s">
        <v>1597</v>
      </c>
      <c r="E171" s="600" t="s">
        <v>1621</v>
      </c>
      <c r="F171" s="213" t="s">
        <v>506</v>
      </c>
      <c r="G171" s="213" t="s">
        <v>494</v>
      </c>
      <c r="H171" s="576" t="s">
        <v>1626</v>
      </c>
      <c r="I171" s="197"/>
      <c r="J171" s="585"/>
      <c r="K171" s="585"/>
      <c r="L171" s="585"/>
      <c r="M171" s="585"/>
      <c r="N171" s="585"/>
      <c r="O171" s="585"/>
      <c r="P171" s="585"/>
      <c r="Q171" s="585"/>
      <c r="R171" s="585"/>
      <c r="S171" s="585"/>
      <c r="T171" s="585"/>
      <c r="U171" s="601">
        <v>152</v>
      </c>
      <c r="V171" s="585"/>
      <c r="W171" s="601">
        <v>152</v>
      </c>
      <c r="X171" s="601">
        <v>152</v>
      </c>
      <c r="Y171" s="585"/>
      <c r="Z171" s="585"/>
      <c r="AA171" s="585"/>
      <c r="AB171" s="585"/>
      <c r="AC171" s="586"/>
      <c r="AD171" s="586"/>
      <c r="AE171" s="586"/>
      <c r="AF171" s="586"/>
      <c r="AG171" s="586"/>
      <c r="AH171" s="586"/>
      <c r="AI171" s="586"/>
      <c r="AJ171" s="586"/>
      <c r="AK171" s="586"/>
      <c r="AL171" s="586"/>
      <c r="AM171" s="586"/>
      <c r="AN171" s="586"/>
      <c r="AO171" s="586"/>
      <c r="AP171" s="586">
        <f>IF(Table_NFI[[#This Row],[Winter Clothes Adult]]+Table_NFI[[#This Row],[Winter Clothes Children]]+Table_NFI[[#This Row],[Winter Items Other]]+Table_NFI[[#This Row],[Winter Blanket]]&gt;0,1,0)</f>
        <v>1</v>
      </c>
      <c r="AQ171" s="586"/>
      <c r="AR171" s="586"/>
      <c r="AS171" s="586"/>
      <c r="AT171" s="220" t="str">
        <f>IFERROR(VLOOKUP(Table_NFI[[#This Row],[Location]],CL,2,0),"")</f>
        <v/>
      </c>
      <c r="AU171" s="197"/>
    </row>
    <row r="172" spans="2:47" ht="18.75" hidden="1" customHeight="1" x14ac:dyDescent="0.25">
      <c r="B172" s="596">
        <v>43105</v>
      </c>
      <c r="C172" s="596" t="str">
        <f>MONTH(Table_NFI[[#This Row],[Distribution Date]]) &amp; "/" &amp; YEAR(Table_NFI[[#This Row],[Distribution Date]])</f>
        <v>1/2018</v>
      </c>
      <c r="D172" s="600" t="s">
        <v>1597</v>
      </c>
      <c r="E172" s="600" t="s">
        <v>1621</v>
      </c>
      <c r="F172" s="213" t="s">
        <v>506</v>
      </c>
      <c r="G172" s="213" t="s">
        <v>494</v>
      </c>
      <c r="H172" s="576" t="s">
        <v>1627</v>
      </c>
      <c r="I172" s="197"/>
      <c r="J172" s="585"/>
      <c r="K172" s="585"/>
      <c r="L172" s="585"/>
      <c r="M172" s="585"/>
      <c r="N172" s="585"/>
      <c r="O172" s="585"/>
      <c r="P172" s="585"/>
      <c r="Q172" s="585"/>
      <c r="R172" s="585"/>
      <c r="S172" s="585"/>
      <c r="T172" s="585"/>
      <c r="U172" s="601">
        <v>62</v>
      </c>
      <c r="V172" s="585"/>
      <c r="W172" s="601">
        <v>62</v>
      </c>
      <c r="X172" s="601">
        <v>62</v>
      </c>
      <c r="Y172" s="585"/>
      <c r="Z172" s="585"/>
      <c r="AA172" s="585"/>
      <c r="AB172" s="585"/>
      <c r="AC172" s="586"/>
      <c r="AD172" s="586"/>
      <c r="AE172" s="586"/>
      <c r="AF172" s="586"/>
      <c r="AG172" s="586"/>
      <c r="AH172" s="586"/>
      <c r="AI172" s="586"/>
      <c r="AJ172" s="586"/>
      <c r="AK172" s="586"/>
      <c r="AL172" s="586"/>
      <c r="AM172" s="586"/>
      <c r="AN172" s="586"/>
      <c r="AO172" s="586"/>
      <c r="AP172" s="586">
        <f>IF(Table_NFI[[#This Row],[Winter Clothes Adult]]+Table_NFI[[#This Row],[Winter Clothes Children]]+Table_NFI[[#This Row],[Winter Items Other]]+Table_NFI[[#This Row],[Winter Blanket]]&gt;0,1,0)</f>
        <v>1</v>
      </c>
      <c r="AQ172" s="586"/>
      <c r="AR172" s="586"/>
      <c r="AS172" s="586"/>
      <c r="AT172" s="220" t="str">
        <f>IFERROR(VLOOKUP(Table_NFI[[#This Row],[Location]],CL,2,0),"")</f>
        <v/>
      </c>
      <c r="AU172" s="197"/>
    </row>
    <row r="173" spans="2:47" ht="18.75" hidden="1" customHeight="1" x14ac:dyDescent="0.25">
      <c r="B173" s="584">
        <v>43106</v>
      </c>
      <c r="C173" s="584" t="str">
        <f>MONTH(Table_NFI[[#This Row],[Distribution Date]]) &amp; "/" &amp; YEAR(Table_NFI[[#This Row],[Distribution Date]])</f>
        <v>1/2018</v>
      </c>
      <c r="D173" s="213" t="s">
        <v>1597</v>
      </c>
      <c r="E173" s="213" t="s">
        <v>1597</v>
      </c>
      <c r="F173" s="213" t="s">
        <v>506</v>
      </c>
      <c r="G173" s="213" t="s">
        <v>494</v>
      </c>
      <c r="H173" s="213" t="s">
        <v>1600</v>
      </c>
      <c r="I173" s="197"/>
      <c r="J173" s="585"/>
      <c r="K173" s="585"/>
      <c r="L173" s="585"/>
      <c r="M173" s="585"/>
      <c r="N173" s="585"/>
      <c r="O173" s="585"/>
      <c r="P173" s="585"/>
      <c r="Q173" s="585"/>
      <c r="R173" s="585"/>
      <c r="S173" s="585"/>
      <c r="T173" s="585"/>
      <c r="U173" s="585"/>
      <c r="V173" s="585"/>
      <c r="W173" s="585">
        <v>51</v>
      </c>
      <c r="X173" s="585"/>
      <c r="Y173" s="585"/>
      <c r="Z173" s="585"/>
      <c r="AA173" s="585">
        <v>10</v>
      </c>
      <c r="AB173" s="585"/>
      <c r="AC173" s="586"/>
      <c r="AD173" s="586"/>
      <c r="AE173" s="586"/>
      <c r="AF173" s="586"/>
      <c r="AG173" s="586"/>
      <c r="AH173" s="586"/>
      <c r="AI173" s="586"/>
      <c r="AJ173" s="586"/>
      <c r="AK173" s="586"/>
      <c r="AL173" s="586"/>
      <c r="AM173" s="586"/>
      <c r="AN173" s="586"/>
      <c r="AO173" s="586"/>
      <c r="AP173" s="586">
        <f>IF(Table_NFI[[#This Row],[Winter Clothes Adult]]+Table_NFI[[#This Row],[Winter Clothes Children]]+Table_NFI[[#This Row],[Winter Items Other]]+Table_NFI[[#This Row],[Winter Blanket]]&gt;0,1,0)</f>
        <v>1</v>
      </c>
      <c r="AQ173" s="586"/>
      <c r="AR173" s="586"/>
      <c r="AS173" s="586"/>
      <c r="AT173" s="220" t="str">
        <f>IFERROR(VLOOKUP(Table_NFI[[#This Row],[Location]],CL,2,0),"")</f>
        <v/>
      </c>
      <c r="AU173" s="197"/>
    </row>
    <row r="174" spans="2:47" ht="18.75" hidden="1" customHeight="1" x14ac:dyDescent="0.25">
      <c r="B174" s="584">
        <v>43107</v>
      </c>
      <c r="C174" s="584" t="str">
        <f>MONTH(Table_NFI[[#This Row],[Distribution Date]]) &amp; "/" &amp; YEAR(Table_NFI[[#This Row],[Distribution Date]])</f>
        <v>1/2018</v>
      </c>
      <c r="D174" s="213" t="s">
        <v>1597</v>
      </c>
      <c r="E174" s="213" t="s">
        <v>1597</v>
      </c>
      <c r="F174" s="213" t="s">
        <v>506</v>
      </c>
      <c r="G174" s="213" t="s">
        <v>494</v>
      </c>
      <c r="H174" s="213" t="s">
        <v>1602</v>
      </c>
      <c r="I174" s="197"/>
      <c r="J174" s="585"/>
      <c r="K174" s="585"/>
      <c r="L174" s="585"/>
      <c r="M174" s="585"/>
      <c r="N174" s="585"/>
      <c r="O174" s="585"/>
      <c r="P174" s="585"/>
      <c r="Q174" s="585"/>
      <c r="R174" s="585"/>
      <c r="S174" s="585"/>
      <c r="T174" s="585"/>
      <c r="U174" s="585"/>
      <c r="V174" s="585"/>
      <c r="W174" s="585">
        <v>76</v>
      </c>
      <c r="X174" s="585"/>
      <c r="Y174" s="585"/>
      <c r="Z174" s="585"/>
      <c r="AA174" s="585"/>
      <c r="AB174" s="585"/>
      <c r="AC174" s="586"/>
      <c r="AD174" s="586"/>
      <c r="AE174" s="586"/>
      <c r="AF174" s="586"/>
      <c r="AG174" s="586"/>
      <c r="AH174" s="586"/>
      <c r="AI174" s="586"/>
      <c r="AJ174" s="586"/>
      <c r="AK174" s="586"/>
      <c r="AL174" s="586"/>
      <c r="AM174" s="586"/>
      <c r="AN174" s="586"/>
      <c r="AO174" s="586"/>
      <c r="AP174" s="586">
        <f>IF(Table_NFI[[#This Row],[Winter Clothes Adult]]+Table_NFI[[#This Row],[Winter Clothes Children]]+Table_NFI[[#This Row],[Winter Items Other]]+Table_NFI[[#This Row],[Winter Blanket]]&gt;0,1,0)</f>
        <v>1</v>
      </c>
      <c r="AQ174" s="586"/>
      <c r="AR174" s="586"/>
      <c r="AS174" s="586"/>
      <c r="AT174" s="220" t="str">
        <f>IFERROR(VLOOKUP(Table_NFI[[#This Row],[Location]],CL,2,0),"")</f>
        <v/>
      </c>
      <c r="AU174" s="197"/>
    </row>
    <row r="175" spans="2:47" ht="18.75" hidden="1" customHeight="1" x14ac:dyDescent="0.25">
      <c r="B175" s="584">
        <v>43108</v>
      </c>
      <c r="C175" s="584" t="str">
        <f>MONTH(Table_NFI[[#This Row],[Distribution Date]]) &amp; "/" &amp; YEAR(Table_NFI[[#This Row],[Distribution Date]])</f>
        <v>1/2018</v>
      </c>
      <c r="D175" s="213" t="s">
        <v>1597</v>
      </c>
      <c r="E175" s="213" t="s">
        <v>1597</v>
      </c>
      <c r="F175" s="213" t="s">
        <v>506</v>
      </c>
      <c r="G175" s="213" t="s">
        <v>494</v>
      </c>
      <c r="H175" s="213" t="s">
        <v>1601</v>
      </c>
      <c r="I175" s="197"/>
      <c r="J175" s="585"/>
      <c r="K175" s="585"/>
      <c r="L175" s="585"/>
      <c r="M175" s="585"/>
      <c r="N175" s="585"/>
      <c r="O175" s="585"/>
      <c r="P175" s="585"/>
      <c r="Q175" s="585"/>
      <c r="R175" s="585"/>
      <c r="S175" s="585"/>
      <c r="T175" s="585"/>
      <c r="U175" s="585"/>
      <c r="V175" s="585"/>
      <c r="W175" s="585">
        <v>31</v>
      </c>
      <c r="X175" s="585"/>
      <c r="Y175" s="585"/>
      <c r="Z175" s="585"/>
      <c r="AA175" s="585"/>
      <c r="AB175" s="585"/>
      <c r="AC175" s="586"/>
      <c r="AD175" s="586"/>
      <c r="AE175" s="586"/>
      <c r="AF175" s="586"/>
      <c r="AG175" s="586"/>
      <c r="AH175" s="586"/>
      <c r="AI175" s="586"/>
      <c r="AJ175" s="586"/>
      <c r="AK175" s="586"/>
      <c r="AL175" s="586"/>
      <c r="AM175" s="586"/>
      <c r="AN175" s="586"/>
      <c r="AO175" s="586"/>
      <c r="AP175" s="586">
        <f>IF(Table_NFI[[#This Row],[Winter Clothes Adult]]+Table_NFI[[#This Row],[Winter Clothes Children]]+Table_NFI[[#This Row],[Winter Items Other]]+Table_NFI[[#This Row],[Winter Blanket]]&gt;0,1,0)</f>
        <v>1</v>
      </c>
      <c r="AQ175" s="586"/>
      <c r="AR175" s="586"/>
      <c r="AS175" s="586"/>
      <c r="AT175" s="220" t="str">
        <f>IFERROR(VLOOKUP(Table_NFI[[#This Row],[Location]],CL,2,0),"")</f>
        <v/>
      </c>
      <c r="AU175" s="197"/>
    </row>
    <row r="176" spans="2:47" ht="18.75" hidden="1" customHeight="1" x14ac:dyDescent="0.25">
      <c r="B176" s="596">
        <v>43126</v>
      </c>
      <c r="C176" s="596" t="str">
        <f>MONTH(Table_NFI[[#This Row],[Distribution Date]]) &amp; "/" &amp; YEAR(Table_NFI[[#This Row],[Distribution Date]])</f>
        <v>1/2018</v>
      </c>
      <c r="D176" s="600" t="s">
        <v>1597</v>
      </c>
      <c r="E176" s="600" t="s">
        <v>1621</v>
      </c>
      <c r="F176" s="213" t="s">
        <v>506</v>
      </c>
      <c r="G176" s="213" t="s">
        <v>297</v>
      </c>
      <c r="H176" s="602" t="s">
        <v>1623</v>
      </c>
      <c r="I176" s="197"/>
      <c r="J176" s="585">
        <v>18</v>
      </c>
      <c r="K176" s="585"/>
      <c r="L176" s="585"/>
      <c r="M176" s="585"/>
      <c r="N176" s="585"/>
      <c r="O176" s="585"/>
      <c r="P176" s="585"/>
      <c r="Q176" s="585"/>
      <c r="R176" s="585"/>
      <c r="S176" s="585"/>
      <c r="T176" s="585"/>
      <c r="U176" s="585"/>
      <c r="V176" s="585"/>
      <c r="W176" s="585"/>
      <c r="X176" s="585"/>
      <c r="Y176" s="585"/>
      <c r="Z176" s="585"/>
      <c r="AA176" s="585"/>
      <c r="AB176" s="585"/>
      <c r="AC176" s="586"/>
      <c r="AD176" s="586"/>
      <c r="AE176" s="586"/>
      <c r="AF176" s="586"/>
      <c r="AG176" s="586"/>
      <c r="AH176" s="586"/>
      <c r="AI176" s="586"/>
      <c r="AJ176" s="586"/>
      <c r="AK176" s="586"/>
      <c r="AL176" s="586"/>
      <c r="AM176" s="586"/>
      <c r="AN176" s="586"/>
      <c r="AO176" s="586"/>
      <c r="AP176" s="586">
        <f>IF(Table_NFI[[#This Row],[Winter Clothes Adult]]+Table_NFI[[#This Row],[Winter Clothes Children]]+Table_NFI[[#This Row],[Winter Items Other]]+Table_NFI[[#This Row],[Winter Blanket]]&gt;0,1,0)</f>
        <v>0</v>
      </c>
      <c r="AQ176" s="586"/>
      <c r="AR176" s="586"/>
      <c r="AS176" s="586"/>
      <c r="AT176" s="220" t="str">
        <f>IFERROR(VLOOKUP(Table_NFI[[#This Row],[Location]],CL,2,0),"")</f>
        <v/>
      </c>
      <c r="AU176" s="197"/>
    </row>
    <row r="177" spans="2:47" ht="18.75" hidden="1" customHeight="1" x14ac:dyDescent="0.25">
      <c r="B177" s="597">
        <v>43127</v>
      </c>
      <c r="C177" s="597" t="str">
        <f>MONTH(Table_NFI[[#This Row],[Distribution Date]]) &amp; "/" &amp; YEAR(Table_NFI[[#This Row],[Distribution Date]])</f>
        <v>1/2018</v>
      </c>
      <c r="D177" s="213" t="s">
        <v>462</v>
      </c>
      <c r="E177" s="213" t="s">
        <v>420</v>
      </c>
      <c r="F177" s="213" t="s">
        <v>378</v>
      </c>
      <c r="G177" s="213" t="s">
        <v>27</v>
      </c>
      <c r="H177" s="235" t="s">
        <v>28</v>
      </c>
      <c r="I177" s="197"/>
      <c r="J177" s="585"/>
      <c r="K177" s="585"/>
      <c r="L177" s="585"/>
      <c r="M177" s="585"/>
      <c r="N177" s="585"/>
      <c r="O177" s="585"/>
      <c r="P177" s="585"/>
      <c r="Q177" s="585"/>
      <c r="R177" s="585"/>
      <c r="S177" s="585"/>
      <c r="T177" s="585"/>
      <c r="U177" s="585">
        <v>284</v>
      </c>
      <c r="V177" s="585">
        <v>236</v>
      </c>
      <c r="W177" s="585"/>
      <c r="X177" s="585"/>
      <c r="Y177" s="585"/>
      <c r="Z177" s="585"/>
      <c r="AA177" s="585"/>
      <c r="AB177" s="585"/>
      <c r="AC177" s="586"/>
      <c r="AD177" s="586"/>
      <c r="AE177" s="586"/>
      <c r="AF177" s="586"/>
      <c r="AG177" s="586"/>
      <c r="AH177" s="586"/>
      <c r="AI177" s="586"/>
      <c r="AJ177" s="586"/>
      <c r="AK177" s="586"/>
      <c r="AL177" s="586"/>
      <c r="AM177" s="586"/>
      <c r="AN177" s="586"/>
      <c r="AO177" s="586"/>
      <c r="AP177" s="586">
        <f>IF(Table_NFI[[#This Row],[Winter Clothes Adult]]+Table_NFI[[#This Row],[Winter Clothes Children]]+Table_NFI[[#This Row],[Winter Items Other]]+Table_NFI[[#This Row],[Winter Blanket]]&gt;0,1,0)</f>
        <v>1</v>
      </c>
      <c r="AQ177" s="586"/>
      <c r="AR177" s="586"/>
      <c r="AS177" s="586"/>
      <c r="AT177" s="220" t="str">
        <f>IFERROR(VLOOKUP(Table_NFI[[#This Row],[Location]],CL,2,0),"")</f>
        <v>MMR001CMP042</v>
      </c>
      <c r="AU177" s="197"/>
    </row>
    <row r="178" spans="2:47" ht="18.75" hidden="1" customHeight="1" x14ac:dyDescent="0.25">
      <c r="B178" s="597">
        <v>43127</v>
      </c>
      <c r="C178" s="597" t="str">
        <f>MONTH(Table_NFI[[#This Row],[Distribution Date]]) &amp; "/" &amp; YEAR(Table_NFI[[#This Row],[Distribution Date]])</f>
        <v>1/2018</v>
      </c>
      <c r="D178" s="213" t="s">
        <v>462</v>
      </c>
      <c r="E178" s="213" t="s">
        <v>420</v>
      </c>
      <c r="F178" s="213" t="s">
        <v>378</v>
      </c>
      <c r="G178" s="213" t="s">
        <v>27</v>
      </c>
      <c r="H178" s="235" t="s">
        <v>1611</v>
      </c>
      <c r="I178" s="197"/>
      <c r="J178" s="585"/>
      <c r="K178" s="585"/>
      <c r="L178" s="585"/>
      <c r="M178" s="585"/>
      <c r="N178" s="585"/>
      <c r="O178" s="585"/>
      <c r="P178" s="585"/>
      <c r="Q178" s="585"/>
      <c r="R178" s="585"/>
      <c r="S178" s="585"/>
      <c r="T178" s="585"/>
      <c r="U178" s="585">
        <v>295</v>
      </c>
      <c r="V178" s="585">
        <v>345</v>
      </c>
      <c r="W178" s="585"/>
      <c r="X178" s="585"/>
      <c r="Y178" s="585"/>
      <c r="Z178" s="585"/>
      <c r="AA178" s="585"/>
      <c r="AB178" s="585"/>
      <c r="AC178" s="586"/>
      <c r="AD178" s="586"/>
      <c r="AE178" s="586"/>
      <c r="AF178" s="586"/>
      <c r="AG178" s="586"/>
      <c r="AH178" s="586"/>
      <c r="AI178" s="586"/>
      <c r="AJ178" s="586"/>
      <c r="AK178" s="586"/>
      <c r="AL178" s="586"/>
      <c r="AM178" s="586"/>
      <c r="AN178" s="586"/>
      <c r="AO178" s="586"/>
      <c r="AP178" s="586">
        <f>IF(Table_NFI[[#This Row],[Winter Clothes Adult]]+Table_NFI[[#This Row],[Winter Clothes Children]]+Table_NFI[[#This Row],[Winter Items Other]]+Table_NFI[[#This Row],[Winter Blanket]]&gt;0,1,0)</f>
        <v>1</v>
      </c>
      <c r="AQ178" s="586"/>
      <c r="AR178" s="586"/>
      <c r="AS178" s="586"/>
      <c r="AT178" s="220" t="str">
        <f>IFERROR(VLOOKUP(Table_NFI[[#This Row],[Location]],CL,2,0),"")</f>
        <v/>
      </c>
      <c r="AU178" s="197"/>
    </row>
    <row r="179" spans="2:47" ht="18.75" hidden="1" customHeight="1" x14ac:dyDescent="0.25">
      <c r="B179" s="596">
        <v>43140</v>
      </c>
      <c r="C179" s="596" t="str">
        <f>MONTH(Table_NFI[[#This Row],[Distribution Date]]) &amp; "/" &amp; YEAR(Table_NFI[[#This Row],[Distribution Date]])</f>
        <v>2/2018</v>
      </c>
      <c r="D179" s="600" t="s">
        <v>1597</v>
      </c>
      <c r="E179" s="600" t="s">
        <v>1621</v>
      </c>
      <c r="F179" s="213" t="s">
        <v>506</v>
      </c>
      <c r="G179" s="213" t="s">
        <v>719</v>
      </c>
      <c r="H179" s="212" t="s">
        <v>1624</v>
      </c>
      <c r="I179" s="197"/>
      <c r="J179" s="585">
        <v>52</v>
      </c>
      <c r="K179" s="585"/>
      <c r="L179" s="585"/>
      <c r="M179" s="585"/>
      <c r="N179" s="585"/>
      <c r="O179" s="585"/>
      <c r="P179" s="585"/>
      <c r="Q179" s="585"/>
      <c r="R179" s="585"/>
      <c r="S179" s="585"/>
      <c r="T179" s="585"/>
      <c r="U179" s="585"/>
      <c r="V179" s="585"/>
      <c r="W179" s="585"/>
      <c r="X179" s="585"/>
      <c r="Y179" s="585"/>
      <c r="Z179" s="585"/>
      <c r="AA179" s="585"/>
      <c r="AB179" s="585"/>
      <c r="AC179" s="586"/>
      <c r="AD179" s="586"/>
      <c r="AE179" s="586"/>
      <c r="AF179" s="586"/>
      <c r="AG179" s="586"/>
      <c r="AH179" s="586"/>
      <c r="AI179" s="586"/>
      <c r="AJ179" s="586"/>
      <c r="AK179" s="586"/>
      <c r="AL179" s="586"/>
      <c r="AM179" s="586"/>
      <c r="AN179" s="586"/>
      <c r="AO179" s="586"/>
      <c r="AP179" s="586">
        <f>IF(Table_NFI[[#This Row],[Winter Clothes Adult]]+Table_NFI[[#This Row],[Winter Clothes Children]]+Table_NFI[[#This Row],[Winter Items Other]]+Table_NFI[[#This Row],[Winter Blanket]]&gt;0,1,0)</f>
        <v>0</v>
      </c>
      <c r="AQ179" s="586"/>
      <c r="AR179" s="586"/>
      <c r="AS179" s="586"/>
      <c r="AT179" s="220" t="str">
        <f>IFERROR(VLOOKUP(Table_NFI[[#This Row],[Location]],CL,2,0),"")</f>
        <v/>
      </c>
      <c r="AU179" s="197"/>
    </row>
    <row r="180" spans="2:47" ht="18.75" hidden="1" customHeight="1" x14ac:dyDescent="0.25">
      <c r="B180" s="596">
        <v>43140</v>
      </c>
      <c r="C180" s="596" t="str">
        <f>MONTH(Table_NFI[[#This Row],[Distribution Date]]) &amp; "/" &amp; YEAR(Table_NFI[[#This Row],[Distribution Date]])</f>
        <v>2/2018</v>
      </c>
      <c r="D180" s="600" t="s">
        <v>1597</v>
      </c>
      <c r="E180" s="600" t="s">
        <v>1621</v>
      </c>
      <c r="F180" s="213" t="s">
        <v>506</v>
      </c>
      <c r="G180" s="213" t="s">
        <v>719</v>
      </c>
      <c r="H180" s="212" t="s">
        <v>1625</v>
      </c>
      <c r="I180" s="197"/>
      <c r="J180" s="585">
        <v>13</v>
      </c>
      <c r="K180" s="585"/>
      <c r="L180" s="585"/>
      <c r="M180" s="585"/>
      <c r="N180" s="585"/>
      <c r="O180" s="585"/>
      <c r="P180" s="585"/>
      <c r="Q180" s="585"/>
      <c r="R180" s="585"/>
      <c r="S180" s="585"/>
      <c r="T180" s="585"/>
      <c r="U180" s="585"/>
      <c r="V180" s="585"/>
      <c r="W180" s="585"/>
      <c r="X180" s="585"/>
      <c r="Y180" s="585"/>
      <c r="Z180" s="585"/>
      <c r="AA180" s="585"/>
      <c r="AB180" s="585"/>
      <c r="AC180" s="586"/>
      <c r="AD180" s="586"/>
      <c r="AE180" s="586"/>
      <c r="AF180" s="586"/>
      <c r="AG180" s="586"/>
      <c r="AH180" s="586"/>
      <c r="AI180" s="586"/>
      <c r="AJ180" s="586"/>
      <c r="AK180" s="586"/>
      <c r="AL180" s="586"/>
      <c r="AM180" s="586"/>
      <c r="AN180" s="586"/>
      <c r="AO180" s="586"/>
      <c r="AP180" s="586">
        <f>IF(Table_NFI[[#This Row],[Winter Clothes Adult]]+Table_NFI[[#This Row],[Winter Clothes Children]]+Table_NFI[[#This Row],[Winter Items Other]]+Table_NFI[[#This Row],[Winter Blanket]]&gt;0,1,0)</f>
        <v>0</v>
      </c>
      <c r="AQ180" s="586"/>
      <c r="AR180" s="586"/>
      <c r="AS180" s="586"/>
      <c r="AT180" s="220" t="str">
        <f>IFERROR(VLOOKUP(Table_NFI[[#This Row],[Location]],CL,2,0),"")</f>
        <v/>
      </c>
      <c r="AU180" s="197"/>
    </row>
    <row r="181" spans="2:47" hidden="1" x14ac:dyDescent="0.25">
      <c r="B181" s="584">
        <v>43098</v>
      </c>
      <c r="C181" s="584" t="str">
        <f>MONTH(Table_NFI[[#This Row],[Distribution Date]]) &amp; "/" &amp; YEAR(Table_NFI[[#This Row],[Distribution Date]])</f>
        <v>12/2017</v>
      </c>
      <c r="D181" s="213" t="s">
        <v>1091</v>
      </c>
      <c r="E181" s="213" t="s">
        <v>1091</v>
      </c>
      <c r="F181" s="213" t="s">
        <v>378</v>
      </c>
      <c r="G181" s="213" t="s">
        <v>27</v>
      </c>
      <c r="H181" s="213" t="s">
        <v>791</v>
      </c>
      <c r="I181" s="197"/>
      <c r="J181" s="585"/>
      <c r="K181" s="585"/>
      <c r="L181" s="585"/>
      <c r="M181" s="585"/>
      <c r="N181" s="585"/>
      <c r="O181" s="585"/>
      <c r="P181" s="585">
        <v>270</v>
      </c>
      <c r="Q181" s="585"/>
      <c r="R181" s="585"/>
      <c r="S181" s="585"/>
      <c r="T181" s="585"/>
      <c r="U181" s="585">
        <v>95</v>
      </c>
      <c r="V181" s="585"/>
      <c r="W181" s="585"/>
      <c r="X181" s="585">
        <v>123</v>
      </c>
      <c r="Y181" s="585"/>
      <c r="Z181" s="585"/>
      <c r="AA181" s="585"/>
      <c r="AB181" s="585"/>
      <c r="AC181" s="586" t="e">
        <f>IF(NFI_Expiration=1,IF(#REF!&lt;VLOOKUP(L$5,NFI,5,0),1,0)*Table_NFI[[#This Row],[NFI Core Kit]],Table_NFI[NFI Core Kit])</f>
        <v>#REF!</v>
      </c>
      <c r="AD181" s="586" t="e">
        <f>IF(NFI_Expiration=1,IF(#REF!&lt;VLOOKUP(M$5,NFI,5,0),1,0)*Table_NFI[[#This Row],[Sanitary Kit]],Table_NFI[Sanitary Kit])</f>
        <v>#REF!</v>
      </c>
      <c r="AE181" s="586" t="e">
        <f>IF(NFI_Expiration=1,IF(#REF!&lt;VLOOKUP(N$5,NFI,5,0),1,0)*Table_NFI[[#This Row],[Mosquito net]],Table_NFI[Mosquito net])</f>
        <v>#REF!</v>
      </c>
      <c r="AF181" s="586" t="e">
        <f>IF(NFI_Expiration=1,IF(#REF!&lt;VLOOKUP(O$5,NFI,5,0),1,0)*Table_NFI[[#This Row],[Tarpaulin]],Table_NFI[[#This Row],[Tarpaulin]])</f>
        <v>#REF!</v>
      </c>
      <c r="AG181" s="586" t="e">
        <f>IF(NFI_Expiration=1,IF(#REF!&lt;VLOOKUP(P$5,NFI,5,0),1,0)*Table_NFI[[#This Row],[Blanket]],Table_NFI[[#This Row],[Blanket]])</f>
        <v>#REF!</v>
      </c>
      <c r="AH181" s="586" t="e">
        <f>IF(NFI_Expiration=1,IF(#REF!&lt;VLOOKUP(Q$5,NFI,5,0),1,0)*Table_NFI[[#This Row],[Kitchen Set]],Table_NFI[Kitchen Set])</f>
        <v>#REF!</v>
      </c>
      <c r="AI181" s="586" t="e">
        <f>IF(NFI_Expiration=1,IF(#REF!&lt;VLOOKUP(R$5,NFI,5,0),1,0)*Table_NFI[[#This Row],[Clothes Kit]],Table_NFI[Clothes Kit])</f>
        <v>#REF!</v>
      </c>
      <c r="AJ181" s="586" t="e">
        <f>IF(NFI_Expiration=1,IF(#REF!&lt;VLOOKUP(S$5,NFI,5,0),1,0)*Table_NFI[[#This Row],[Plastic Bucket]],Table_NFI[Plastic Bucket])</f>
        <v>#REF!</v>
      </c>
      <c r="AK181" s="586" t="e">
        <f>IF(NFI_Expiration=1,IF(#REF!&lt;VLOOKUP(T$5,NFI,5,0),1,0)*Table_NFI[[#This Row],[Plastic Mat]],Table_NFI[Plastic Mat])*IF(Table_NFI[[#This Row],[Distribution Date]]&gt;"2014-04-01",1,2.5)</f>
        <v>#REF!</v>
      </c>
      <c r="AL181" s="586" t="e">
        <f>IF(NFI_Expiration=1,IF(#REF!&lt;VLOOKUP(U$5,NFI,5,0),1,0)*Table_NFI[[#This Row],[Winter Clothes Adult]],Table_NFI[Winter Clothes Adult])</f>
        <v>#REF!</v>
      </c>
      <c r="AM181" s="586"/>
      <c r="AN181" s="586"/>
      <c r="AO181" s="586"/>
      <c r="AP181" s="586">
        <f>IF(Table_NFI[[#This Row],[Winter Clothes Adult]]+Table_NFI[[#This Row],[Winter Clothes Children]]+Table_NFI[[#This Row],[Winter Items Other]]+Table_NFI[[#This Row],[Winter Blanket]]&gt;0,1,0)</f>
        <v>1</v>
      </c>
      <c r="AQ181" s="586"/>
      <c r="AR181" s="586"/>
      <c r="AS181" s="586"/>
      <c r="AT181" s="220" t="str">
        <f>IFERROR(VLOOKUP(Table_NFI[[#This Row],[Location]],CL,2,0),"")</f>
        <v>MMR001CMP210</v>
      </c>
      <c r="AU181" s="197"/>
    </row>
    <row r="182" spans="2:47" hidden="1" x14ac:dyDescent="0.25">
      <c r="B182" s="584">
        <v>43098</v>
      </c>
      <c r="C182" s="584" t="str">
        <f>MONTH(Table_NFI[[#This Row],[Distribution Date]]) &amp; "/" &amp; YEAR(Table_NFI[[#This Row],[Distribution Date]])</f>
        <v>12/2017</v>
      </c>
      <c r="D182" s="213" t="s">
        <v>1091</v>
      </c>
      <c r="E182" s="213" t="s">
        <v>1091</v>
      </c>
      <c r="F182" s="213" t="s">
        <v>378</v>
      </c>
      <c r="G182" s="213" t="s">
        <v>27</v>
      </c>
      <c r="H182" s="213" t="s">
        <v>877</v>
      </c>
      <c r="I182" s="197"/>
      <c r="J182" s="585"/>
      <c r="K182" s="585"/>
      <c r="L182" s="585"/>
      <c r="M182" s="585"/>
      <c r="N182" s="585"/>
      <c r="O182" s="585"/>
      <c r="P182" s="585">
        <v>171</v>
      </c>
      <c r="Q182" s="585"/>
      <c r="R182" s="585"/>
      <c r="S182" s="585"/>
      <c r="T182" s="585"/>
      <c r="U182" s="585">
        <v>86</v>
      </c>
      <c r="V182" s="585"/>
      <c r="W182" s="585"/>
      <c r="X182" s="585">
        <v>60</v>
      </c>
      <c r="Y182" s="585"/>
      <c r="Z182" s="585"/>
      <c r="AA182" s="585"/>
      <c r="AB182" s="585"/>
      <c r="AC182" s="586" t="e">
        <f>IF(NFI_Expiration=1,IF(#REF!&lt;VLOOKUP(L$5,NFI,5,0),1,0)*Table_NFI[[#This Row],[NFI Core Kit]],Table_NFI[NFI Core Kit])</f>
        <v>#REF!</v>
      </c>
      <c r="AD182" s="586" t="e">
        <f>IF(NFI_Expiration=1,IF(#REF!&lt;VLOOKUP(M$5,NFI,5,0),1,0)*Table_NFI[[#This Row],[Sanitary Kit]],Table_NFI[Sanitary Kit])</f>
        <v>#REF!</v>
      </c>
      <c r="AE182" s="586" t="e">
        <f>IF(NFI_Expiration=1,IF(#REF!&lt;VLOOKUP(N$5,NFI,5,0),1,0)*Table_NFI[[#This Row],[Mosquito net]],Table_NFI[Mosquito net])</f>
        <v>#REF!</v>
      </c>
      <c r="AF182" s="586" t="e">
        <f>IF(NFI_Expiration=1,IF(#REF!&lt;VLOOKUP(O$5,NFI,5,0),1,0)*Table_NFI[[#This Row],[Tarpaulin]],Table_NFI[[#This Row],[Tarpaulin]])</f>
        <v>#REF!</v>
      </c>
      <c r="AG182" s="586" t="e">
        <f>IF(NFI_Expiration=1,IF(#REF!&lt;VLOOKUP(P$5,NFI,5,0),1,0)*Table_NFI[[#This Row],[Blanket]],Table_NFI[[#This Row],[Blanket]])</f>
        <v>#REF!</v>
      </c>
      <c r="AH182" s="586" t="e">
        <f>IF(NFI_Expiration=1,IF(#REF!&lt;VLOOKUP(Q$5,NFI,5,0),1,0)*Table_NFI[[#This Row],[Kitchen Set]],Table_NFI[Kitchen Set])</f>
        <v>#REF!</v>
      </c>
      <c r="AI182" s="586" t="e">
        <f>IF(NFI_Expiration=1,IF(#REF!&lt;VLOOKUP(R$5,NFI,5,0),1,0)*Table_NFI[[#This Row],[Clothes Kit]],Table_NFI[Clothes Kit])</f>
        <v>#REF!</v>
      </c>
      <c r="AJ182" s="586" t="e">
        <f>IF(NFI_Expiration=1,IF(#REF!&lt;VLOOKUP(S$5,NFI,5,0),1,0)*Table_NFI[[#This Row],[Plastic Bucket]],Table_NFI[Plastic Bucket])</f>
        <v>#REF!</v>
      </c>
      <c r="AK182" s="586" t="e">
        <f>IF(NFI_Expiration=1,IF(#REF!&lt;VLOOKUP(T$5,NFI,5,0),1,0)*Table_NFI[[#This Row],[Plastic Mat]],Table_NFI[Plastic Mat])*IF(Table_NFI[[#This Row],[Distribution Date]]&gt;"2014-04-01",1,2.5)</f>
        <v>#REF!</v>
      </c>
      <c r="AL182" s="586" t="e">
        <f>IF(NFI_Expiration=1,IF(#REF!&lt;VLOOKUP(U$5,NFI,5,0),1,0)*Table_NFI[[#This Row],[Winter Clothes Adult]],Table_NFI[Winter Clothes Adult])</f>
        <v>#REF!</v>
      </c>
      <c r="AM182" s="586"/>
      <c r="AN182" s="586"/>
      <c r="AO182" s="586"/>
      <c r="AP182" s="586">
        <f>IF(Table_NFI[[#This Row],[Winter Clothes Adult]]+Table_NFI[[#This Row],[Winter Clothes Children]]+Table_NFI[[#This Row],[Winter Items Other]]+Table_NFI[[#This Row],[Winter Blanket]]&gt;0,1,0)</f>
        <v>1</v>
      </c>
      <c r="AQ182" s="586"/>
      <c r="AR182" s="586"/>
      <c r="AS182" s="586"/>
      <c r="AT182" s="220" t="str">
        <f>IFERROR(VLOOKUP(Table_NFI[[#This Row],[Location]],CL,2,0),"")</f>
        <v>MMR001CMP225</v>
      </c>
      <c r="AU182" s="197"/>
    </row>
    <row r="183" spans="2:47" hidden="1" x14ac:dyDescent="0.25">
      <c r="B183" s="584">
        <v>43171</v>
      </c>
      <c r="C183" s="584" t="str">
        <f>MONTH(Table_NFI[[#This Row],[Distribution Date]]) &amp; "/" &amp; YEAR(Table_NFI[[#This Row],[Distribution Date]])</f>
        <v>3/2018</v>
      </c>
      <c r="D183" s="213" t="s">
        <v>1091</v>
      </c>
      <c r="E183" s="213" t="s">
        <v>1091</v>
      </c>
      <c r="F183" s="213" t="s">
        <v>378</v>
      </c>
      <c r="G183" s="213" t="s">
        <v>237</v>
      </c>
      <c r="H183" s="213" t="s">
        <v>272</v>
      </c>
      <c r="I183" s="197"/>
      <c r="J183" s="585"/>
      <c r="K183" s="585"/>
      <c r="L183" s="585">
        <v>9</v>
      </c>
      <c r="M183" s="585">
        <v>9</v>
      </c>
      <c r="N183" s="585">
        <v>18</v>
      </c>
      <c r="O183" s="585">
        <v>9</v>
      </c>
      <c r="P183" s="585">
        <v>28</v>
      </c>
      <c r="Q183" s="585">
        <v>9</v>
      </c>
      <c r="R183" s="585"/>
      <c r="S183" s="585">
        <v>9</v>
      </c>
      <c r="T183" s="585">
        <v>26</v>
      </c>
      <c r="U183" s="585"/>
      <c r="V183" s="585"/>
      <c r="W183" s="585"/>
      <c r="X183" s="585"/>
      <c r="Y183" s="585">
        <v>9</v>
      </c>
      <c r="Z183" s="585"/>
      <c r="AA183" s="585"/>
      <c r="AB183" s="585"/>
      <c r="AC183" s="586" t="e">
        <f>IF(NFI_Expiration=1,IF(#REF!&lt;VLOOKUP(L$5,NFI,5,0),1,0)*Table_NFI[[#This Row],[NFI Core Kit]],Table_NFI[NFI Core Kit])</f>
        <v>#REF!</v>
      </c>
      <c r="AD183" s="586" t="e">
        <f>IF(NFI_Expiration=1,IF(#REF!&lt;VLOOKUP(M$5,NFI,5,0),1,0)*Table_NFI[[#This Row],[Sanitary Kit]],Table_NFI[Sanitary Kit])</f>
        <v>#REF!</v>
      </c>
      <c r="AE183" s="586" t="e">
        <f>IF(NFI_Expiration=1,IF(#REF!&lt;VLOOKUP(N$5,NFI,5,0),1,0)*Table_NFI[[#This Row],[Mosquito net]],Table_NFI[Mosquito net])</f>
        <v>#REF!</v>
      </c>
      <c r="AF183" s="586" t="e">
        <f>IF(NFI_Expiration=1,IF(#REF!&lt;VLOOKUP(O$5,NFI,5,0),1,0)*Table_NFI[[#This Row],[Tarpaulin]],Table_NFI[[#This Row],[Tarpaulin]])</f>
        <v>#REF!</v>
      </c>
      <c r="AG183" s="586" t="e">
        <f>IF(NFI_Expiration=1,IF(#REF!&lt;VLOOKUP(P$5,NFI,5,0),1,0)*Table_NFI[[#This Row],[Blanket]],Table_NFI[[#This Row],[Blanket]])</f>
        <v>#REF!</v>
      </c>
      <c r="AH183" s="586" t="e">
        <f>IF(NFI_Expiration=1,IF(#REF!&lt;VLOOKUP(Q$5,NFI,5,0),1,0)*Table_NFI[[#This Row],[Kitchen Set]],Table_NFI[Kitchen Set])</f>
        <v>#REF!</v>
      </c>
      <c r="AI183" s="586" t="e">
        <f>IF(NFI_Expiration=1,IF(#REF!&lt;VLOOKUP(R$5,NFI,5,0),1,0)*Table_NFI[[#This Row],[Clothes Kit]],Table_NFI[Clothes Kit])</f>
        <v>#REF!</v>
      </c>
      <c r="AJ183" s="586" t="e">
        <f>IF(NFI_Expiration=1,IF(#REF!&lt;VLOOKUP(S$5,NFI,5,0),1,0)*Table_NFI[[#This Row],[Plastic Bucket]],Table_NFI[Plastic Bucket])</f>
        <v>#REF!</v>
      </c>
      <c r="AK183" s="586" t="e">
        <f>IF(NFI_Expiration=1,IF(#REF!&lt;VLOOKUP(T$5,NFI,5,0),1,0)*Table_NFI[[#This Row],[Plastic Mat]],Table_NFI[Plastic Mat])*IF(Table_NFI[[#This Row],[Distribution Date]]&gt;"2014-04-01",1,2.5)</f>
        <v>#REF!</v>
      </c>
      <c r="AL183" s="586" t="e">
        <f>IF(NFI_Expiration=1,IF(#REF!&lt;VLOOKUP(U$5,NFI,5,0),1,0)*Table_NFI[[#This Row],[Winter Clothes Adult]],Table_NFI[Winter Clothes Adult])</f>
        <v>#REF!</v>
      </c>
      <c r="AM183" s="586"/>
      <c r="AN183" s="586"/>
      <c r="AO183" s="586"/>
      <c r="AP183" s="586">
        <f>IF(Table_NFI[[#This Row],[Winter Clothes Adult]]+Table_NFI[[#This Row],[Winter Clothes Children]]+Table_NFI[[#This Row],[Winter Items Other]]+Table_NFI[[#This Row],[Winter Blanket]]&gt;0,1,0)</f>
        <v>0</v>
      </c>
      <c r="AQ183" s="586"/>
      <c r="AR183" s="586"/>
      <c r="AS183" s="586"/>
      <c r="AT183" s="220" t="str">
        <f>IFERROR(VLOOKUP(Table_NFI[[#This Row],[Location]],CL,2,0),"")</f>
        <v>MMR001CMP162</v>
      </c>
      <c r="AU183" s="197"/>
    </row>
    <row r="184" spans="2:47" hidden="1" x14ac:dyDescent="0.25">
      <c r="B184" s="584">
        <v>43165</v>
      </c>
      <c r="C184" s="584" t="str">
        <f>MONTH(Table_NFI[[#This Row],[Distribution Date]]) &amp; "/" &amp; YEAR(Table_NFI[[#This Row],[Distribution Date]])</f>
        <v>3/2018</v>
      </c>
      <c r="D184" s="213" t="s">
        <v>1091</v>
      </c>
      <c r="E184" s="213" t="s">
        <v>1091</v>
      </c>
      <c r="F184" s="213" t="s">
        <v>378</v>
      </c>
      <c r="G184" s="213" t="s">
        <v>309</v>
      </c>
      <c r="H184" s="213" t="s">
        <v>329</v>
      </c>
      <c r="I184" s="197"/>
      <c r="J184" s="585"/>
      <c r="K184" s="585"/>
      <c r="L184" s="585"/>
      <c r="M184" s="585"/>
      <c r="N184" s="585"/>
      <c r="O184" s="585"/>
      <c r="P184" s="585"/>
      <c r="Q184" s="585"/>
      <c r="R184" s="585"/>
      <c r="S184" s="585"/>
      <c r="T184" s="585"/>
      <c r="U184" s="585"/>
      <c r="V184" s="585"/>
      <c r="W184" s="585">
        <v>1473</v>
      </c>
      <c r="X184" s="585"/>
      <c r="Y184" s="585"/>
      <c r="Z184" s="585"/>
      <c r="AA184" s="585"/>
      <c r="AB184" s="585"/>
      <c r="AC184" s="586" t="e">
        <f>IF(NFI_Expiration=1,IF(#REF!&lt;VLOOKUP(L$5,NFI,5,0),1,0)*Table_NFI[[#This Row],[NFI Core Kit]],Table_NFI[NFI Core Kit])</f>
        <v>#REF!</v>
      </c>
      <c r="AD184" s="586" t="e">
        <f>IF(NFI_Expiration=1,IF(#REF!&lt;VLOOKUP(M$5,NFI,5,0),1,0)*Table_NFI[[#This Row],[Sanitary Kit]],Table_NFI[Sanitary Kit])</f>
        <v>#REF!</v>
      </c>
      <c r="AE184" s="586" t="e">
        <f>IF(NFI_Expiration=1,IF(#REF!&lt;VLOOKUP(N$5,NFI,5,0),1,0)*Table_NFI[[#This Row],[Mosquito net]],Table_NFI[Mosquito net])</f>
        <v>#REF!</v>
      </c>
      <c r="AF184" s="586" t="e">
        <f>IF(NFI_Expiration=1,IF(#REF!&lt;VLOOKUP(O$5,NFI,5,0),1,0)*Table_NFI[[#This Row],[Tarpaulin]],Table_NFI[[#This Row],[Tarpaulin]])</f>
        <v>#REF!</v>
      </c>
      <c r="AG184" s="586" t="e">
        <f>IF(NFI_Expiration=1,IF(#REF!&lt;VLOOKUP(P$5,NFI,5,0),1,0)*Table_NFI[[#This Row],[Blanket]],Table_NFI[[#This Row],[Blanket]])</f>
        <v>#REF!</v>
      </c>
      <c r="AH184" s="586" t="e">
        <f>IF(NFI_Expiration=1,IF(#REF!&lt;VLOOKUP(Q$5,NFI,5,0),1,0)*Table_NFI[[#This Row],[Kitchen Set]],Table_NFI[Kitchen Set])</f>
        <v>#REF!</v>
      </c>
      <c r="AI184" s="586" t="e">
        <f>IF(NFI_Expiration=1,IF(#REF!&lt;VLOOKUP(R$5,NFI,5,0),1,0)*Table_NFI[[#This Row],[Clothes Kit]],Table_NFI[Clothes Kit])</f>
        <v>#REF!</v>
      </c>
      <c r="AJ184" s="586" t="e">
        <f>IF(NFI_Expiration=1,IF(#REF!&lt;VLOOKUP(S$5,NFI,5,0),1,0)*Table_NFI[[#This Row],[Plastic Bucket]],Table_NFI[Plastic Bucket])</f>
        <v>#REF!</v>
      </c>
      <c r="AK184" s="586" t="e">
        <f>IF(NFI_Expiration=1,IF(#REF!&lt;VLOOKUP(T$5,NFI,5,0),1,0)*Table_NFI[[#This Row],[Plastic Mat]],Table_NFI[Plastic Mat])*IF(Table_NFI[[#This Row],[Distribution Date]]&gt;"2014-04-01",1,2.5)</f>
        <v>#REF!</v>
      </c>
      <c r="AL184" s="586" t="e">
        <f>IF(NFI_Expiration=1,IF(#REF!&lt;VLOOKUP(U$5,NFI,5,0),1,0)*Table_NFI[[#This Row],[Winter Clothes Adult]],Table_NFI[Winter Clothes Adult])</f>
        <v>#REF!</v>
      </c>
      <c r="AM184" s="586"/>
      <c r="AN184" s="586"/>
      <c r="AO184" s="586"/>
      <c r="AP184" s="586">
        <f>IF(Table_NFI[[#This Row],[Winter Clothes Adult]]+Table_NFI[[#This Row],[Winter Clothes Children]]+Table_NFI[[#This Row],[Winter Items Other]]+Table_NFI[[#This Row],[Winter Blanket]]&gt;0,1,0)</f>
        <v>1</v>
      </c>
      <c r="AQ184" s="586"/>
      <c r="AR184" s="586"/>
      <c r="AS184" s="586"/>
      <c r="AT184" s="220" t="str">
        <f>IFERROR(VLOOKUP(Table_NFI[[#This Row],[Location]],CL,2,0),"")</f>
        <v>MMR001CMP029</v>
      </c>
      <c r="AU184" s="197"/>
    </row>
    <row r="185" spans="2:47" hidden="1" x14ac:dyDescent="0.25">
      <c r="B185" s="584">
        <v>43109</v>
      </c>
      <c r="C185" s="584" t="str">
        <f>MONTH(Table_NFI[[#This Row],[Distribution Date]]) &amp; "/" &amp; YEAR(Table_NFI[[#This Row],[Distribution Date]])</f>
        <v>1/2018</v>
      </c>
      <c r="D185" s="213" t="s">
        <v>1482</v>
      </c>
      <c r="E185" s="213"/>
      <c r="F185" s="213" t="s">
        <v>506</v>
      </c>
      <c r="G185" s="213" t="s">
        <v>297</v>
      </c>
      <c r="H185" s="213" t="s">
        <v>760</v>
      </c>
      <c r="I185" s="197">
        <v>1</v>
      </c>
      <c r="J185" s="585"/>
      <c r="K185" s="585"/>
      <c r="L185" s="585"/>
      <c r="M185" s="585"/>
      <c r="N185" s="585"/>
      <c r="O185" s="585"/>
      <c r="P185" s="585"/>
      <c r="Q185" s="585"/>
      <c r="R185" s="585"/>
      <c r="S185" s="585"/>
      <c r="T185" s="585"/>
      <c r="U185" s="585"/>
      <c r="V185" s="585"/>
      <c r="W185" s="585"/>
      <c r="X185" s="585"/>
      <c r="Y185" s="585"/>
      <c r="Z185" s="585"/>
      <c r="AA185" s="585"/>
      <c r="AB185" s="585"/>
      <c r="AC185" s="586" t="e">
        <f>IF(NFI_Expiration=1,IF(#REF!&lt;VLOOKUP(L$5,NFI,5,0),1,0)*Table_NFI[[#This Row],[NFI Core Kit]],Table_NFI[NFI Core Kit])</f>
        <v>#REF!</v>
      </c>
      <c r="AD185" s="586" t="e">
        <f>IF(NFI_Expiration=1,IF(#REF!&lt;VLOOKUP(M$5,NFI,5,0),1,0)*Table_NFI[[#This Row],[Sanitary Kit]],Table_NFI[Sanitary Kit])</f>
        <v>#REF!</v>
      </c>
      <c r="AE185" s="586" t="e">
        <f>IF(NFI_Expiration=1,IF(#REF!&lt;VLOOKUP(N$5,NFI,5,0),1,0)*Table_NFI[[#This Row],[Mosquito net]],Table_NFI[Mosquito net])</f>
        <v>#REF!</v>
      </c>
      <c r="AF185" s="586" t="e">
        <f>IF(NFI_Expiration=1,IF(#REF!&lt;VLOOKUP(O$5,NFI,5,0),1,0)*Table_NFI[[#This Row],[Tarpaulin]],Table_NFI[[#This Row],[Tarpaulin]])</f>
        <v>#REF!</v>
      </c>
      <c r="AG185" s="586" t="e">
        <f>IF(NFI_Expiration=1,IF(#REF!&lt;VLOOKUP(P$5,NFI,5,0),1,0)*Table_NFI[[#This Row],[Blanket]],Table_NFI[[#This Row],[Blanket]])</f>
        <v>#REF!</v>
      </c>
      <c r="AH185" s="586" t="e">
        <f>IF(NFI_Expiration=1,IF(#REF!&lt;VLOOKUP(Q$5,NFI,5,0),1,0)*Table_NFI[[#This Row],[Kitchen Set]],Table_NFI[Kitchen Set])</f>
        <v>#REF!</v>
      </c>
      <c r="AI185" s="586" t="e">
        <f>IF(NFI_Expiration=1,IF(#REF!&lt;VLOOKUP(R$5,NFI,5,0),1,0)*Table_NFI[[#This Row],[Clothes Kit]],Table_NFI[Clothes Kit])</f>
        <v>#REF!</v>
      </c>
      <c r="AJ185" s="586" t="e">
        <f>IF(NFI_Expiration=1,IF(#REF!&lt;VLOOKUP(S$5,NFI,5,0),1,0)*Table_NFI[[#This Row],[Plastic Bucket]],Table_NFI[Plastic Bucket])</f>
        <v>#REF!</v>
      </c>
      <c r="AK185" s="586" t="e">
        <f>IF(NFI_Expiration=1,IF(#REF!&lt;VLOOKUP(T$5,NFI,5,0),1,0)*Table_NFI[[#This Row],[Plastic Mat]],Table_NFI[Plastic Mat])*IF(Table_NFI[[#This Row],[Distribution Date]]&gt;"2014-04-01",1,2.5)</f>
        <v>#REF!</v>
      </c>
      <c r="AL185" s="586" t="e">
        <f>IF(NFI_Expiration=1,IF(#REF!&lt;VLOOKUP(U$5,NFI,5,0),1,0)*Table_NFI[[#This Row],[Winter Clothes Adult]],Table_NFI[Winter Clothes Adult])</f>
        <v>#REF!</v>
      </c>
      <c r="AM185" s="586"/>
      <c r="AN185" s="586"/>
      <c r="AO185" s="586"/>
      <c r="AP185" s="586">
        <f>IF(Table_NFI[[#This Row],[Winter Clothes Adult]]+Table_NFI[[#This Row],[Winter Clothes Children]]+Table_NFI[[#This Row],[Winter Items Other]]+Table_NFI[[#This Row],[Winter Blanket]]&gt;0,1,0)</f>
        <v>0</v>
      </c>
      <c r="AQ185" s="586"/>
      <c r="AR185" s="586"/>
      <c r="AS185" s="586"/>
      <c r="AT185" s="220" t="str">
        <f>IFERROR(VLOOKUP(Table_NFI[[#This Row],[Location]],CL,2,0),"")</f>
        <v>MMR015CMP014</v>
      </c>
      <c r="AU185" s="197"/>
    </row>
    <row r="186" spans="2:47" hidden="1" x14ac:dyDescent="0.25">
      <c r="B186" s="584">
        <v>43109</v>
      </c>
      <c r="C186" s="584" t="str">
        <f>MONTH(Table_NFI[[#This Row],[Distribution Date]]) &amp; "/" &amp; YEAR(Table_NFI[[#This Row],[Distribution Date]])</f>
        <v>1/2018</v>
      </c>
      <c r="D186" s="213" t="s">
        <v>1482</v>
      </c>
      <c r="E186" s="213"/>
      <c r="F186" s="213" t="s">
        <v>506</v>
      </c>
      <c r="G186" s="213" t="s">
        <v>297</v>
      </c>
      <c r="H186" s="213" t="s">
        <v>1195</v>
      </c>
      <c r="I186" s="197">
        <v>1</v>
      </c>
      <c r="J186" s="585"/>
      <c r="K186" s="585"/>
      <c r="L186" s="585"/>
      <c r="M186" s="585"/>
      <c r="N186" s="585"/>
      <c r="O186" s="585"/>
      <c r="P186" s="585"/>
      <c r="Q186" s="585"/>
      <c r="R186" s="585"/>
      <c r="S186" s="585"/>
      <c r="T186" s="585"/>
      <c r="U186" s="585"/>
      <c r="V186" s="585"/>
      <c r="W186" s="585"/>
      <c r="X186" s="585"/>
      <c r="Y186" s="585"/>
      <c r="Z186" s="585"/>
      <c r="AA186" s="585"/>
      <c r="AB186" s="585"/>
      <c r="AC186" s="586" t="e">
        <f>IF(NFI_Expiration=1,IF(#REF!&lt;VLOOKUP(L$5,NFI,5,0),1,0)*Table_NFI[[#This Row],[NFI Core Kit]],Table_NFI[NFI Core Kit])</f>
        <v>#REF!</v>
      </c>
      <c r="AD186" s="586" t="e">
        <f>IF(NFI_Expiration=1,IF(#REF!&lt;VLOOKUP(M$5,NFI,5,0),1,0)*Table_NFI[[#This Row],[Sanitary Kit]],Table_NFI[Sanitary Kit])</f>
        <v>#REF!</v>
      </c>
      <c r="AE186" s="586" t="e">
        <f>IF(NFI_Expiration=1,IF(#REF!&lt;VLOOKUP(N$5,NFI,5,0),1,0)*Table_NFI[[#This Row],[Mosquito net]],Table_NFI[Mosquito net])</f>
        <v>#REF!</v>
      </c>
      <c r="AF186" s="586" t="e">
        <f>IF(NFI_Expiration=1,IF(#REF!&lt;VLOOKUP(O$5,NFI,5,0),1,0)*Table_NFI[[#This Row],[Tarpaulin]],Table_NFI[[#This Row],[Tarpaulin]])</f>
        <v>#REF!</v>
      </c>
      <c r="AG186" s="586" t="e">
        <f>IF(NFI_Expiration=1,IF(#REF!&lt;VLOOKUP(P$5,NFI,5,0),1,0)*Table_NFI[[#This Row],[Blanket]],Table_NFI[[#This Row],[Blanket]])</f>
        <v>#REF!</v>
      </c>
      <c r="AH186" s="586" t="e">
        <f>IF(NFI_Expiration=1,IF(#REF!&lt;VLOOKUP(Q$5,NFI,5,0),1,0)*Table_NFI[[#This Row],[Kitchen Set]],Table_NFI[Kitchen Set])</f>
        <v>#REF!</v>
      </c>
      <c r="AI186" s="586" t="e">
        <f>IF(NFI_Expiration=1,IF(#REF!&lt;VLOOKUP(R$5,NFI,5,0),1,0)*Table_NFI[[#This Row],[Clothes Kit]],Table_NFI[Clothes Kit])</f>
        <v>#REF!</v>
      </c>
      <c r="AJ186" s="586" t="e">
        <f>IF(NFI_Expiration=1,IF(#REF!&lt;VLOOKUP(S$5,NFI,5,0),1,0)*Table_NFI[[#This Row],[Plastic Bucket]],Table_NFI[Plastic Bucket])</f>
        <v>#REF!</v>
      </c>
      <c r="AK186" s="586" t="e">
        <f>IF(NFI_Expiration=1,IF(#REF!&lt;VLOOKUP(T$5,NFI,5,0),1,0)*Table_NFI[[#This Row],[Plastic Mat]],Table_NFI[Plastic Mat])*IF(Table_NFI[[#This Row],[Distribution Date]]&gt;"2014-04-01",1,2.5)</f>
        <v>#REF!</v>
      </c>
      <c r="AL186" s="586" t="e">
        <f>IF(NFI_Expiration=1,IF(#REF!&lt;VLOOKUP(U$5,NFI,5,0),1,0)*Table_NFI[[#This Row],[Winter Clothes Adult]],Table_NFI[Winter Clothes Adult])</f>
        <v>#REF!</v>
      </c>
      <c r="AM186" s="586"/>
      <c r="AN186" s="586"/>
      <c r="AO186" s="586"/>
      <c r="AP186" s="586">
        <f>IF(Table_NFI[[#This Row],[Winter Clothes Adult]]+Table_NFI[[#This Row],[Winter Clothes Children]]+Table_NFI[[#This Row],[Winter Items Other]]+Table_NFI[[#This Row],[Winter Blanket]]&gt;0,1,0)</f>
        <v>0</v>
      </c>
      <c r="AQ186" s="586"/>
      <c r="AR186" s="586"/>
      <c r="AS186" s="586"/>
      <c r="AT186" s="220" t="str">
        <f>IFERROR(VLOOKUP(Table_NFI[[#This Row],[Location]],CL,2,0),"")</f>
        <v>MMR015CMP232</v>
      </c>
      <c r="AU186" s="197" t="s">
        <v>541</v>
      </c>
    </row>
    <row r="187" spans="2:47" hidden="1" x14ac:dyDescent="0.25">
      <c r="B187" s="584">
        <v>43109</v>
      </c>
      <c r="C187" s="584" t="str">
        <f>MONTH(Table_NFI[[#This Row],[Distribution Date]]) &amp; "/" &amp; YEAR(Table_NFI[[#This Row],[Distribution Date]])</f>
        <v>1/2018</v>
      </c>
      <c r="D187" s="213" t="s">
        <v>1482</v>
      </c>
      <c r="E187" s="213"/>
      <c r="F187" s="213" t="s">
        <v>378</v>
      </c>
      <c r="G187" s="213" t="s">
        <v>151</v>
      </c>
      <c r="H187" s="213" t="s">
        <v>154</v>
      </c>
      <c r="I187" s="197"/>
      <c r="J187" s="585">
        <v>3</v>
      </c>
      <c r="K187" s="585"/>
      <c r="L187" s="585"/>
      <c r="M187" s="585"/>
      <c r="N187" s="585"/>
      <c r="O187" s="585"/>
      <c r="P187" s="585"/>
      <c r="Q187" s="585">
        <v>3</v>
      </c>
      <c r="R187" s="585"/>
      <c r="S187" s="585"/>
      <c r="T187" s="585"/>
      <c r="U187" s="585">
        <v>3</v>
      </c>
      <c r="V187" s="585">
        <v>3</v>
      </c>
      <c r="W187" s="585">
        <v>3</v>
      </c>
      <c r="X187" s="585"/>
      <c r="Y187" s="585"/>
      <c r="Z187" s="585"/>
      <c r="AA187" s="585"/>
      <c r="AB187" s="585"/>
      <c r="AC187" s="586" t="e">
        <f>IF(NFI_Expiration=1,IF(#REF!&lt;VLOOKUP(L$5,NFI,5,0),1,0)*Table_NFI[[#This Row],[NFI Core Kit]],Table_NFI[NFI Core Kit])</f>
        <v>#REF!</v>
      </c>
      <c r="AD187" s="586" t="e">
        <f>IF(NFI_Expiration=1,IF(#REF!&lt;VLOOKUP(M$5,NFI,5,0),1,0)*Table_NFI[[#This Row],[Sanitary Kit]],Table_NFI[Sanitary Kit])</f>
        <v>#REF!</v>
      </c>
      <c r="AE187" s="586" t="e">
        <f>IF(NFI_Expiration=1,IF(#REF!&lt;VLOOKUP(N$5,NFI,5,0),1,0)*Table_NFI[[#This Row],[Mosquito net]],Table_NFI[Mosquito net])</f>
        <v>#REF!</v>
      </c>
      <c r="AF187" s="586" t="e">
        <f>IF(NFI_Expiration=1,IF(#REF!&lt;VLOOKUP(O$5,NFI,5,0),1,0)*Table_NFI[[#This Row],[Tarpaulin]],Table_NFI[[#This Row],[Tarpaulin]])</f>
        <v>#REF!</v>
      </c>
      <c r="AG187" s="586" t="e">
        <f>IF(NFI_Expiration=1,IF(#REF!&lt;VLOOKUP(P$5,NFI,5,0),1,0)*Table_NFI[[#This Row],[Blanket]],Table_NFI[[#This Row],[Blanket]])</f>
        <v>#REF!</v>
      </c>
      <c r="AH187" s="586" t="e">
        <f>IF(NFI_Expiration=1,IF(#REF!&lt;VLOOKUP(Q$5,NFI,5,0),1,0)*Table_NFI[[#This Row],[Kitchen Set]],Table_NFI[Kitchen Set])</f>
        <v>#REF!</v>
      </c>
      <c r="AI187" s="586" t="e">
        <f>IF(NFI_Expiration=1,IF(#REF!&lt;VLOOKUP(R$5,NFI,5,0),1,0)*Table_NFI[[#This Row],[Clothes Kit]],Table_NFI[Clothes Kit])</f>
        <v>#REF!</v>
      </c>
      <c r="AJ187" s="586" t="e">
        <f>IF(NFI_Expiration=1,IF(#REF!&lt;VLOOKUP(S$5,NFI,5,0),1,0)*Table_NFI[[#This Row],[Plastic Bucket]],Table_NFI[Plastic Bucket])</f>
        <v>#REF!</v>
      </c>
      <c r="AK187" s="586" t="e">
        <f>IF(NFI_Expiration=1,IF(#REF!&lt;VLOOKUP(T$5,NFI,5,0),1,0)*Table_NFI[[#This Row],[Plastic Mat]],Table_NFI[Plastic Mat])*IF(Table_NFI[[#This Row],[Distribution Date]]&gt;"2014-04-01",1,2.5)</f>
        <v>#REF!</v>
      </c>
      <c r="AL187" s="586" t="e">
        <f>IF(NFI_Expiration=1,IF(#REF!&lt;VLOOKUP(U$5,NFI,5,0),1,0)*Table_NFI[[#This Row],[Winter Clothes Adult]],Table_NFI[Winter Clothes Adult])</f>
        <v>#REF!</v>
      </c>
      <c r="AM187" s="586"/>
      <c r="AN187" s="586"/>
      <c r="AO187" s="586"/>
      <c r="AP187" s="586">
        <f>IF(Table_NFI[[#This Row],[Winter Clothes Adult]]+Table_NFI[[#This Row],[Winter Clothes Children]]+Table_NFI[[#This Row],[Winter Items Other]]+Table_NFI[[#This Row],[Winter Blanket]]&gt;0,1,0)</f>
        <v>1</v>
      </c>
      <c r="AQ187" s="586"/>
      <c r="AR187" s="586"/>
      <c r="AS187" s="586"/>
      <c r="AT187" s="220" t="str">
        <f>IFERROR(VLOOKUP(Table_NFI[[#This Row],[Location]],CL,2,0),"")</f>
        <v>MMR001CMP132</v>
      </c>
      <c r="AU187" s="197"/>
    </row>
    <row r="188" spans="2:47" hidden="1" x14ac:dyDescent="0.25">
      <c r="B188" s="584">
        <v>43111</v>
      </c>
      <c r="C188" s="584" t="str">
        <f>MONTH(Table_NFI[[#This Row],[Distribution Date]]) &amp; "/" &amp; YEAR(Table_NFI[[#This Row],[Distribution Date]])</f>
        <v>1/2018</v>
      </c>
      <c r="D188" s="213" t="s">
        <v>1482</v>
      </c>
      <c r="E188" s="213"/>
      <c r="F188" s="213" t="s">
        <v>506</v>
      </c>
      <c r="G188" s="213" t="s">
        <v>297</v>
      </c>
      <c r="H188" s="213" t="s">
        <v>1285</v>
      </c>
      <c r="I188" s="197">
        <v>1</v>
      </c>
      <c r="J188" s="585"/>
      <c r="K188" s="585"/>
      <c r="L188" s="585"/>
      <c r="M188" s="585"/>
      <c r="N188" s="585"/>
      <c r="O188" s="585"/>
      <c r="P188" s="585"/>
      <c r="Q188" s="585"/>
      <c r="R188" s="585"/>
      <c r="S188" s="585"/>
      <c r="T188" s="585"/>
      <c r="U188" s="585"/>
      <c r="V188" s="585"/>
      <c r="W188" s="585"/>
      <c r="X188" s="585"/>
      <c r="Y188" s="585"/>
      <c r="Z188" s="585"/>
      <c r="AA188" s="585"/>
      <c r="AB188" s="585"/>
      <c r="AC188" s="586" t="e">
        <f>IF(NFI_Expiration=1,IF(#REF!&lt;VLOOKUP(L$5,NFI,5,0),1,0)*Table_NFI[[#This Row],[NFI Core Kit]],Table_NFI[NFI Core Kit])</f>
        <v>#REF!</v>
      </c>
      <c r="AD188" s="586" t="e">
        <f>IF(NFI_Expiration=1,IF(#REF!&lt;VLOOKUP(M$5,NFI,5,0),1,0)*Table_NFI[[#This Row],[Sanitary Kit]],Table_NFI[Sanitary Kit])</f>
        <v>#REF!</v>
      </c>
      <c r="AE188" s="586" t="e">
        <f>IF(NFI_Expiration=1,IF(#REF!&lt;VLOOKUP(N$5,NFI,5,0),1,0)*Table_NFI[[#This Row],[Mosquito net]],Table_NFI[Mosquito net])</f>
        <v>#REF!</v>
      </c>
      <c r="AF188" s="586" t="e">
        <f>IF(NFI_Expiration=1,IF(#REF!&lt;VLOOKUP(O$5,NFI,5,0),1,0)*Table_NFI[[#This Row],[Tarpaulin]],Table_NFI[[#This Row],[Tarpaulin]])</f>
        <v>#REF!</v>
      </c>
      <c r="AG188" s="586" t="e">
        <f>IF(NFI_Expiration=1,IF(#REF!&lt;VLOOKUP(P$5,NFI,5,0),1,0)*Table_NFI[[#This Row],[Blanket]],Table_NFI[[#This Row],[Blanket]])</f>
        <v>#REF!</v>
      </c>
      <c r="AH188" s="586" t="e">
        <f>IF(NFI_Expiration=1,IF(#REF!&lt;VLOOKUP(Q$5,NFI,5,0),1,0)*Table_NFI[[#This Row],[Kitchen Set]],Table_NFI[Kitchen Set])</f>
        <v>#REF!</v>
      </c>
      <c r="AI188" s="586" t="e">
        <f>IF(NFI_Expiration=1,IF(#REF!&lt;VLOOKUP(R$5,NFI,5,0),1,0)*Table_NFI[[#This Row],[Clothes Kit]],Table_NFI[Clothes Kit])</f>
        <v>#REF!</v>
      </c>
      <c r="AJ188" s="586" t="e">
        <f>IF(NFI_Expiration=1,IF(#REF!&lt;VLOOKUP(S$5,NFI,5,0),1,0)*Table_NFI[[#This Row],[Plastic Bucket]],Table_NFI[Plastic Bucket])</f>
        <v>#REF!</v>
      </c>
      <c r="AK188" s="586" t="e">
        <f>IF(NFI_Expiration=1,IF(#REF!&lt;VLOOKUP(T$5,NFI,5,0),1,0)*Table_NFI[[#This Row],[Plastic Mat]],Table_NFI[Plastic Mat])*IF(Table_NFI[[#This Row],[Distribution Date]]&gt;"2014-04-01",1,2.5)</f>
        <v>#REF!</v>
      </c>
      <c r="AL188" s="586" t="e">
        <f>IF(NFI_Expiration=1,IF(#REF!&lt;VLOOKUP(U$5,NFI,5,0),1,0)*Table_NFI[[#This Row],[Winter Clothes Adult]],Table_NFI[Winter Clothes Adult])</f>
        <v>#REF!</v>
      </c>
      <c r="AM188" s="586"/>
      <c r="AN188" s="586"/>
      <c r="AO188" s="586"/>
      <c r="AP188" s="586">
        <f>IF(Table_NFI[[#This Row],[Winter Clothes Adult]]+Table_NFI[[#This Row],[Winter Clothes Children]]+Table_NFI[[#This Row],[Winter Items Other]]+Table_NFI[[#This Row],[Winter Blanket]]&gt;0,1,0)</f>
        <v>0</v>
      </c>
      <c r="AQ188" s="586"/>
      <c r="AR188" s="586"/>
      <c r="AS188" s="586"/>
      <c r="AT188" s="220" t="str">
        <f>IFERROR(VLOOKUP(Table_NFI[[#This Row],[Location]],CL,2,0),"")</f>
        <v>MMR015CMP248</v>
      </c>
      <c r="AU188" s="197"/>
    </row>
    <row r="189" spans="2:47" hidden="1" x14ac:dyDescent="0.25">
      <c r="B189" s="584">
        <v>43112</v>
      </c>
      <c r="C189" s="584" t="str">
        <f>MONTH(Table_NFI[[#This Row],[Distribution Date]]) &amp; "/" &amp; YEAR(Table_NFI[[#This Row],[Distribution Date]])</f>
        <v>1/2018</v>
      </c>
      <c r="D189" s="213" t="s">
        <v>1482</v>
      </c>
      <c r="E189" s="213"/>
      <c r="F189" s="213" t="s">
        <v>506</v>
      </c>
      <c r="G189" s="213" t="s">
        <v>297</v>
      </c>
      <c r="H189" s="213" t="s">
        <v>760</v>
      </c>
      <c r="I189" s="197">
        <v>1</v>
      </c>
      <c r="J189" s="585"/>
      <c r="K189" s="585"/>
      <c r="L189" s="585"/>
      <c r="M189" s="585"/>
      <c r="N189" s="585"/>
      <c r="O189" s="585"/>
      <c r="P189" s="585"/>
      <c r="Q189" s="585"/>
      <c r="R189" s="585"/>
      <c r="S189" s="585"/>
      <c r="T189" s="585"/>
      <c r="U189" s="585"/>
      <c r="V189" s="585"/>
      <c r="W189" s="585"/>
      <c r="X189" s="585"/>
      <c r="Y189" s="585"/>
      <c r="Z189" s="585"/>
      <c r="AA189" s="585"/>
      <c r="AB189" s="585"/>
      <c r="AC189" s="586" t="e">
        <f>IF(NFI_Expiration=1,IF(#REF!&lt;VLOOKUP(L$5,NFI,5,0),1,0)*Table_NFI[[#This Row],[NFI Core Kit]],Table_NFI[NFI Core Kit])</f>
        <v>#REF!</v>
      </c>
      <c r="AD189" s="586" t="e">
        <f>IF(NFI_Expiration=1,IF(#REF!&lt;VLOOKUP(M$5,NFI,5,0),1,0)*Table_NFI[[#This Row],[Sanitary Kit]],Table_NFI[Sanitary Kit])</f>
        <v>#REF!</v>
      </c>
      <c r="AE189" s="586" t="e">
        <f>IF(NFI_Expiration=1,IF(#REF!&lt;VLOOKUP(N$5,NFI,5,0),1,0)*Table_NFI[[#This Row],[Mosquito net]],Table_NFI[Mosquito net])</f>
        <v>#REF!</v>
      </c>
      <c r="AF189" s="586" t="e">
        <f>IF(NFI_Expiration=1,IF(#REF!&lt;VLOOKUP(O$5,NFI,5,0),1,0)*Table_NFI[[#This Row],[Tarpaulin]],Table_NFI[[#This Row],[Tarpaulin]])</f>
        <v>#REF!</v>
      </c>
      <c r="AG189" s="586" t="e">
        <f>IF(NFI_Expiration=1,IF(#REF!&lt;VLOOKUP(P$5,NFI,5,0),1,0)*Table_NFI[[#This Row],[Blanket]],Table_NFI[[#This Row],[Blanket]])</f>
        <v>#REF!</v>
      </c>
      <c r="AH189" s="586" t="e">
        <f>IF(NFI_Expiration=1,IF(#REF!&lt;VLOOKUP(Q$5,NFI,5,0),1,0)*Table_NFI[[#This Row],[Kitchen Set]],Table_NFI[Kitchen Set])</f>
        <v>#REF!</v>
      </c>
      <c r="AI189" s="586" t="e">
        <f>IF(NFI_Expiration=1,IF(#REF!&lt;VLOOKUP(R$5,NFI,5,0),1,0)*Table_NFI[[#This Row],[Clothes Kit]],Table_NFI[Clothes Kit])</f>
        <v>#REF!</v>
      </c>
      <c r="AJ189" s="586" t="e">
        <f>IF(NFI_Expiration=1,IF(#REF!&lt;VLOOKUP(S$5,NFI,5,0),1,0)*Table_NFI[[#This Row],[Plastic Bucket]],Table_NFI[Plastic Bucket])</f>
        <v>#REF!</v>
      </c>
      <c r="AK189" s="586" t="e">
        <f>IF(NFI_Expiration=1,IF(#REF!&lt;VLOOKUP(T$5,NFI,5,0),1,0)*Table_NFI[[#This Row],[Plastic Mat]],Table_NFI[Plastic Mat])*IF(Table_NFI[[#This Row],[Distribution Date]]&gt;"2014-04-01",1,2.5)</f>
        <v>#REF!</v>
      </c>
      <c r="AL189" s="586" t="e">
        <f>IF(NFI_Expiration=1,IF(#REF!&lt;VLOOKUP(U$5,NFI,5,0),1,0)*Table_NFI[[#This Row],[Winter Clothes Adult]],Table_NFI[Winter Clothes Adult])</f>
        <v>#REF!</v>
      </c>
      <c r="AM189" s="586"/>
      <c r="AN189" s="586"/>
      <c r="AO189" s="586"/>
      <c r="AP189" s="586">
        <f>IF(Table_NFI[[#This Row],[Winter Clothes Adult]]+Table_NFI[[#This Row],[Winter Clothes Children]]+Table_NFI[[#This Row],[Winter Items Other]]+Table_NFI[[#This Row],[Winter Blanket]]&gt;0,1,0)</f>
        <v>0</v>
      </c>
      <c r="AQ189" s="586"/>
      <c r="AR189" s="586"/>
      <c r="AS189" s="586"/>
      <c r="AT189" s="220" t="str">
        <f>IFERROR(VLOOKUP(Table_NFI[[#This Row],[Location]],CL,2,0),"")</f>
        <v>MMR015CMP014</v>
      </c>
      <c r="AU189" s="197"/>
    </row>
    <row r="190" spans="2:47" hidden="1" x14ac:dyDescent="0.25">
      <c r="B190" s="584">
        <v>43115</v>
      </c>
      <c r="C190" s="584" t="str">
        <f>MONTH(Table_NFI[[#This Row],[Distribution Date]]) &amp; "/" &amp; YEAR(Table_NFI[[#This Row],[Distribution Date]])</f>
        <v>1/2018</v>
      </c>
      <c r="D190" s="213" t="s">
        <v>1482</v>
      </c>
      <c r="E190" s="213"/>
      <c r="F190" s="213" t="s">
        <v>506</v>
      </c>
      <c r="G190" s="213" t="s">
        <v>297</v>
      </c>
      <c r="H190" s="213" t="s">
        <v>1195</v>
      </c>
      <c r="I190" s="197">
        <v>18</v>
      </c>
      <c r="J190" s="585"/>
      <c r="K190" s="585"/>
      <c r="L190" s="585"/>
      <c r="M190" s="585"/>
      <c r="N190" s="585"/>
      <c r="O190" s="585"/>
      <c r="P190" s="585"/>
      <c r="Q190" s="585"/>
      <c r="R190" s="585"/>
      <c r="S190" s="585"/>
      <c r="T190" s="585"/>
      <c r="U190" s="585"/>
      <c r="V190" s="585"/>
      <c r="W190" s="585"/>
      <c r="X190" s="585"/>
      <c r="Y190" s="585"/>
      <c r="Z190" s="585"/>
      <c r="AA190" s="585"/>
      <c r="AB190" s="585"/>
      <c r="AC190" s="586" t="e">
        <f>IF(NFI_Expiration=1,IF(#REF!&lt;VLOOKUP(L$5,NFI,5,0),1,0)*Table_NFI[[#This Row],[NFI Core Kit]],Table_NFI[NFI Core Kit])</f>
        <v>#REF!</v>
      </c>
      <c r="AD190" s="586" t="e">
        <f>IF(NFI_Expiration=1,IF(#REF!&lt;VLOOKUP(M$5,NFI,5,0),1,0)*Table_NFI[[#This Row],[Sanitary Kit]],Table_NFI[Sanitary Kit])</f>
        <v>#REF!</v>
      </c>
      <c r="AE190" s="586" t="e">
        <f>IF(NFI_Expiration=1,IF(#REF!&lt;VLOOKUP(N$5,NFI,5,0),1,0)*Table_NFI[[#This Row],[Mosquito net]],Table_NFI[Mosquito net])</f>
        <v>#REF!</v>
      </c>
      <c r="AF190" s="586" t="e">
        <f>IF(NFI_Expiration=1,IF(#REF!&lt;VLOOKUP(O$5,NFI,5,0),1,0)*Table_NFI[[#This Row],[Tarpaulin]],Table_NFI[[#This Row],[Tarpaulin]])</f>
        <v>#REF!</v>
      </c>
      <c r="AG190" s="586" t="e">
        <f>IF(NFI_Expiration=1,IF(#REF!&lt;VLOOKUP(P$5,NFI,5,0),1,0)*Table_NFI[[#This Row],[Blanket]],Table_NFI[[#This Row],[Blanket]])</f>
        <v>#REF!</v>
      </c>
      <c r="AH190" s="586" t="e">
        <f>IF(NFI_Expiration=1,IF(#REF!&lt;VLOOKUP(Q$5,NFI,5,0),1,0)*Table_NFI[[#This Row],[Kitchen Set]],Table_NFI[Kitchen Set])</f>
        <v>#REF!</v>
      </c>
      <c r="AI190" s="586" t="e">
        <f>IF(NFI_Expiration=1,IF(#REF!&lt;VLOOKUP(R$5,NFI,5,0),1,0)*Table_NFI[[#This Row],[Clothes Kit]],Table_NFI[Clothes Kit])</f>
        <v>#REF!</v>
      </c>
      <c r="AJ190" s="586" t="e">
        <f>IF(NFI_Expiration=1,IF(#REF!&lt;VLOOKUP(S$5,NFI,5,0),1,0)*Table_NFI[[#This Row],[Plastic Bucket]],Table_NFI[Plastic Bucket])</f>
        <v>#REF!</v>
      </c>
      <c r="AK190" s="586" t="e">
        <f>IF(NFI_Expiration=1,IF(#REF!&lt;VLOOKUP(T$5,NFI,5,0),1,0)*Table_NFI[[#This Row],[Plastic Mat]],Table_NFI[Plastic Mat])*IF(Table_NFI[[#This Row],[Distribution Date]]&gt;"2014-04-01",1,2.5)</f>
        <v>#REF!</v>
      </c>
      <c r="AL190" s="586" t="e">
        <f>IF(NFI_Expiration=1,IF(#REF!&lt;VLOOKUP(U$5,NFI,5,0),1,0)*Table_NFI[[#This Row],[Winter Clothes Adult]],Table_NFI[Winter Clothes Adult])</f>
        <v>#REF!</v>
      </c>
      <c r="AM190" s="586"/>
      <c r="AN190" s="586"/>
      <c r="AO190" s="586"/>
      <c r="AP190" s="586">
        <f>IF(Table_NFI[[#This Row],[Winter Clothes Adult]]+Table_NFI[[#This Row],[Winter Clothes Children]]+Table_NFI[[#This Row],[Winter Items Other]]+Table_NFI[[#This Row],[Winter Blanket]]&gt;0,1,0)</f>
        <v>0</v>
      </c>
      <c r="AQ190" s="586"/>
      <c r="AR190" s="586"/>
      <c r="AS190" s="586"/>
      <c r="AT190" s="220" t="str">
        <f>IFERROR(VLOOKUP(Table_NFI[[#This Row],[Location]],CL,2,0),"")</f>
        <v>MMR015CMP232</v>
      </c>
      <c r="AU190" s="197" t="s">
        <v>1663</v>
      </c>
    </row>
    <row r="191" spans="2:47" x14ac:dyDescent="0.25">
      <c r="B191" s="584">
        <v>43115</v>
      </c>
      <c r="C191" s="584" t="str">
        <f>MONTH(Table_NFI[[#This Row],[Distribution Date]]) &amp; "/" &amp; YEAR(Table_NFI[[#This Row],[Distribution Date]])</f>
        <v>1/2018</v>
      </c>
      <c r="D191" s="213" t="s">
        <v>1482</v>
      </c>
      <c r="E191" s="213"/>
      <c r="F191" s="213" t="s">
        <v>506</v>
      </c>
      <c r="G191" s="235" t="s">
        <v>1603</v>
      </c>
      <c r="H191" s="213" t="s">
        <v>372</v>
      </c>
      <c r="I191" s="197">
        <v>2</v>
      </c>
      <c r="J191" s="585"/>
      <c r="K191" s="585"/>
      <c r="L191" s="585"/>
      <c r="M191" s="585"/>
      <c r="N191" s="585"/>
      <c r="O191" s="585"/>
      <c r="P191" s="585"/>
      <c r="Q191" s="585">
        <v>2</v>
      </c>
      <c r="R191" s="585"/>
      <c r="S191" s="585">
        <v>2</v>
      </c>
      <c r="T191" s="585"/>
      <c r="U191" s="585"/>
      <c r="V191" s="585"/>
      <c r="W191" s="585"/>
      <c r="X191" s="585">
        <v>2</v>
      </c>
      <c r="Y191" s="585"/>
      <c r="Z191" s="585"/>
      <c r="AA191" s="585"/>
      <c r="AB191" s="585"/>
      <c r="AC191" s="586" t="e">
        <f>IF(NFI_Expiration=1,IF(#REF!&lt;VLOOKUP(L$5,NFI,5,0),1,0)*Table_NFI[[#This Row],[NFI Core Kit]],Table_NFI[NFI Core Kit])</f>
        <v>#REF!</v>
      </c>
      <c r="AD191" s="586" t="e">
        <f>IF(NFI_Expiration=1,IF(#REF!&lt;VLOOKUP(M$5,NFI,5,0),1,0)*Table_NFI[[#This Row],[Sanitary Kit]],Table_NFI[Sanitary Kit])</f>
        <v>#REF!</v>
      </c>
      <c r="AE191" s="586" t="e">
        <f>IF(NFI_Expiration=1,IF(#REF!&lt;VLOOKUP(N$5,NFI,5,0),1,0)*Table_NFI[[#This Row],[Mosquito net]],Table_NFI[Mosquito net])</f>
        <v>#REF!</v>
      </c>
      <c r="AF191" s="586" t="e">
        <f>IF(NFI_Expiration=1,IF(#REF!&lt;VLOOKUP(O$5,NFI,5,0),1,0)*Table_NFI[[#This Row],[Tarpaulin]],Table_NFI[[#This Row],[Tarpaulin]])</f>
        <v>#REF!</v>
      </c>
      <c r="AG191" s="586" t="e">
        <f>IF(NFI_Expiration=1,IF(#REF!&lt;VLOOKUP(P$5,NFI,5,0),1,0)*Table_NFI[[#This Row],[Blanket]],Table_NFI[[#This Row],[Blanket]])</f>
        <v>#REF!</v>
      </c>
      <c r="AH191" s="586" t="e">
        <f>IF(NFI_Expiration=1,IF(#REF!&lt;VLOOKUP(Q$5,NFI,5,0),1,0)*Table_NFI[[#This Row],[Kitchen Set]],Table_NFI[Kitchen Set])</f>
        <v>#REF!</v>
      </c>
      <c r="AI191" s="586" t="e">
        <f>IF(NFI_Expiration=1,IF(#REF!&lt;VLOOKUP(R$5,NFI,5,0),1,0)*Table_NFI[[#This Row],[Clothes Kit]],Table_NFI[Clothes Kit])</f>
        <v>#REF!</v>
      </c>
      <c r="AJ191" s="586" t="e">
        <f>IF(NFI_Expiration=1,IF(#REF!&lt;VLOOKUP(S$5,NFI,5,0),1,0)*Table_NFI[[#This Row],[Plastic Bucket]],Table_NFI[Plastic Bucket])</f>
        <v>#REF!</v>
      </c>
      <c r="AK191" s="586" t="e">
        <f>IF(NFI_Expiration=1,IF(#REF!&lt;VLOOKUP(T$5,NFI,5,0),1,0)*Table_NFI[[#This Row],[Plastic Mat]],Table_NFI[Plastic Mat])*IF(Table_NFI[[#This Row],[Distribution Date]]&gt;"2014-04-01",1,2.5)</f>
        <v>#REF!</v>
      </c>
      <c r="AL191" s="586" t="e">
        <f>IF(NFI_Expiration=1,IF(#REF!&lt;VLOOKUP(U$5,NFI,5,0),1,0)*Table_NFI[[#This Row],[Winter Clothes Adult]],Table_NFI[Winter Clothes Adult])</f>
        <v>#REF!</v>
      </c>
      <c r="AM191" s="586"/>
      <c r="AN191" s="586"/>
      <c r="AO191" s="586"/>
      <c r="AP191" s="586">
        <f>IF(Table_NFI[[#This Row],[Winter Clothes Adult]]+Table_NFI[[#This Row],[Winter Clothes Children]]+Table_NFI[[#This Row],[Winter Items Other]]+Table_NFI[[#This Row],[Winter Blanket]]&gt;0,1,0)</f>
        <v>1</v>
      </c>
      <c r="AQ191" s="586"/>
      <c r="AR191" s="586"/>
      <c r="AS191" s="586"/>
      <c r="AT191" s="220" t="str">
        <f>IFERROR(VLOOKUP(Table_NFI[[#This Row],[Location]],CL,2,0),"")</f>
        <v>MMR015CMP003</v>
      </c>
      <c r="AU191" s="197" t="s">
        <v>1663</v>
      </c>
    </row>
    <row r="192" spans="2:47" x14ac:dyDescent="0.25">
      <c r="B192" s="584">
        <v>43115</v>
      </c>
      <c r="C192" s="584" t="str">
        <f>MONTH(Table_NFI[[#This Row],[Distribution Date]]) &amp; "/" &amp; YEAR(Table_NFI[[#This Row],[Distribution Date]])</f>
        <v>1/2018</v>
      </c>
      <c r="D192" s="213" t="s">
        <v>1482</v>
      </c>
      <c r="E192" s="213"/>
      <c r="F192" s="213" t="s">
        <v>506</v>
      </c>
      <c r="G192" s="235" t="s">
        <v>1603</v>
      </c>
      <c r="H192" s="213" t="s">
        <v>291</v>
      </c>
      <c r="I192" s="197">
        <v>8</v>
      </c>
      <c r="J192" s="585"/>
      <c r="K192" s="585"/>
      <c r="L192" s="585"/>
      <c r="M192" s="585"/>
      <c r="N192" s="585"/>
      <c r="O192" s="585"/>
      <c r="P192" s="585"/>
      <c r="Q192" s="585">
        <v>8</v>
      </c>
      <c r="R192" s="585"/>
      <c r="S192" s="585">
        <v>8</v>
      </c>
      <c r="T192" s="585"/>
      <c r="U192" s="585"/>
      <c r="V192" s="585"/>
      <c r="W192" s="585"/>
      <c r="X192" s="585">
        <v>8</v>
      </c>
      <c r="Y192" s="585"/>
      <c r="Z192" s="585"/>
      <c r="AA192" s="585"/>
      <c r="AB192" s="585"/>
      <c r="AC192" s="586" t="e">
        <f>IF(NFI_Expiration=1,IF(#REF!&lt;VLOOKUP(L$5,NFI,5,0),1,0)*Table_NFI[[#This Row],[NFI Core Kit]],Table_NFI[NFI Core Kit])</f>
        <v>#REF!</v>
      </c>
      <c r="AD192" s="586" t="e">
        <f>IF(NFI_Expiration=1,IF(#REF!&lt;VLOOKUP(M$5,NFI,5,0),1,0)*Table_NFI[[#This Row],[Sanitary Kit]],Table_NFI[Sanitary Kit])</f>
        <v>#REF!</v>
      </c>
      <c r="AE192" s="586" t="e">
        <f>IF(NFI_Expiration=1,IF(#REF!&lt;VLOOKUP(N$5,NFI,5,0),1,0)*Table_NFI[[#This Row],[Mosquito net]],Table_NFI[Mosquito net])</f>
        <v>#REF!</v>
      </c>
      <c r="AF192" s="586" t="e">
        <f>IF(NFI_Expiration=1,IF(#REF!&lt;VLOOKUP(O$5,NFI,5,0),1,0)*Table_NFI[[#This Row],[Tarpaulin]],Table_NFI[[#This Row],[Tarpaulin]])</f>
        <v>#REF!</v>
      </c>
      <c r="AG192" s="586" t="e">
        <f>IF(NFI_Expiration=1,IF(#REF!&lt;VLOOKUP(P$5,NFI,5,0),1,0)*Table_NFI[[#This Row],[Blanket]],Table_NFI[[#This Row],[Blanket]])</f>
        <v>#REF!</v>
      </c>
      <c r="AH192" s="586" t="e">
        <f>IF(NFI_Expiration=1,IF(#REF!&lt;VLOOKUP(Q$5,NFI,5,0),1,0)*Table_NFI[[#This Row],[Kitchen Set]],Table_NFI[Kitchen Set])</f>
        <v>#REF!</v>
      </c>
      <c r="AI192" s="586" t="e">
        <f>IF(NFI_Expiration=1,IF(#REF!&lt;VLOOKUP(R$5,NFI,5,0),1,0)*Table_NFI[[#This Row],[Clothes Kit]],Table_NFI[Clothes Kit])</f>
        <v>#REF!</v>
      </c>
      <c r="AJ192" s="586" t="e">
        <f>IF(NFI_Expiration=1,IF(#REF!&lt;VLOOKUP(S$5,NFI,5,0),1,0)*Table_NFI[[#This Row],[Plastic Bucket]],Table_NFI[Plastic Bucket])</f>
        <v>#REF!</v>
      </c>
      <c r="AK192" s="586" t="e">
        <f>IF(NFI_Expiration=1,IF(#REF!&lt;VLOOKUP(T$5,NFI,5,0),1,0)*Table_NFI[[#This Row],[Plastic Mat]],Table_NFI[Plastic Mat])*IF(Table_NFI[[#This Row],[Distribution Date]]&gt;"2014-04-01",1,2.5)</f>
        <v>#REF!</v>
      </c>
      <c r="AL192" s="586" t="e">
        <f>IF(NFI_Expiration=1,IF(#REF!&lt;VLOOKUP(U$5,NFI,5,0),1,0)*Table_NFI[[#This Row],[Winter Clothes Adult]],Table_NFI[Winter Clothes Adult])</f>
        <v>#REF!</v>
      </c>
      <c r="AM192" s="586"/>
      <c r="AN192" s="586"/>
      <c r="AO192" s="586"/>
      <c r="AP192" s="586">
        <f>IF(Table_NFI[[#This Row],[Winter Clothes Adult]]+Table_NFI[[#This Row],[Winter Clothes Children]]+Table_NFI[[#This Row],[Winter Items Other]]+Table_NFI[[#This Row],[Winter Blanket]]&gt;0,1,0)</f>
        <v>1</v>
      </c>
      <c r="AQ192" s="586"/>
      <c r="AR192" s="586"/>
      <c r="AS192" s="586"/>
      <c r="AT192" s="220" t="str">
        <f>IFERROR(VLOOKUP(Table_NFI[[#This Row],[Location]],CL,2,0),"")</f>
        <v>MMR015CMP004</v>
      </c>
      <c r="AU192" s="197" t="s">
        <v>1663</v>
      </c>
    </row>
    <row r="193" spans="2:47" x14ac:dyDescent="0.25">
      <c r="B193" s="584">
        <v>43115</v>
      </c>
      <c r="C193" s="584" t="str">
        <f>MONTH(Table_NFI[[#This Row],[Distribution Date]]) &amp; "/" &amp; YEAR(Table_NFI[[#This Row],[Distribution Date]])</f>
        <v>1/2018</v>
      </c>
      <c r="D193" s="213" t="s">
        <v>1482</v>
      </c>
      <c r="E193" s="213"/>
      <c r="F193" s="213" t="s">
        <v>506</v>
      </c>
      <c r="G193" s="235" t="s">
        <v>1603</v>
      </c>
      <c r="H193" s="213" t="s">
        <v>919</v>
      </c>
      <c r="I193" s="197">
        <v>15</v>
      </c>
      <c r="J193" s="585"/>
      <c r="K193" s="585"/>
      <c r="L193" s="585"/>
      <c r="M193" s="585"/>
      <c r="N193" s="585"/>
      <c r="O193" s="585"/>
      <c r="P193" s="585"/>
      <c r="Q193" s="585">
        <v>15</v>
      </c>
      <c r="R193" s="585"/>
      <c r="S193" s="585">
        <v>15</v>
      </c>
      <c r="T193" s="585"/>
      <c r="U193" s="585"/>
      <c r="V193" s="585"/>
      <c r="W193" s="585"/>
      <c r="X193" s="585">
        <v>15</v>
      </c>
      <c r="Y193" s="585"/>
      <c r="Z193" s="585"/>
      <c r="AA193" s="585"/>
      <c r="AB193" s="585"/>
      <c r="AC193" s="586" t="e">
        <f>IF(NFI_Expiration=1,IF(#REF!&lt;VLOOKUP(L$5,NFI,5,0),1,0)*Table_NFI[[#This Row],[NFI Core Kit]],Table_NFI[NFI Core Kit])</f>
        <v>#REF!</v>
      </c>
      <c r="AD193" s="586" t="e">
        <f>IF(NFI_Expiration=1,IF(#REF!&lt;VLOOKUP(M$5,NFI,5,0),1,0)*Table_NFI[[#This Row],[Sanitary Kit]],Table_NFI[Sanitary Kit])</f>
        <v>#REF!</v>
      </c>
      <c r="AE193" s="586" t="e">
        <f>IF(NFI_Expiration=1,IF(#REF!&lt;VLOOKUP(N$5,NFI,5,0),1,0)*Table_NFI[[#This Row],[Mosquito net]],Table_NFI[Mosquito net])</f>
        <v>#REF!</v>
      </c>
      <c r="AF193" s="586" t="e">
        <f>IF(NFI_Expiration=1,IF(#REF!&lt;VLOOKUP(O$5,NFI,5,0),1,0)*Table_NFI[[#This Row],[Tarpaulin]],Table_NFI[[#This Row],[Tarpaulin]])</f>
        <v>#REF!</v>
      </c>
      <c r="AG193" s="586" t="e">
        <f>IF(NFI_Expiration=1,IF(#REF!&lt;VLOOKUP(P$5,NFI,5,0),1,0)*Table_NFI[[#This Row],[Blanket]],Table_NFI[[#This Row],[Blanket]])</f>
        <v>#REF!</v>
      </c>
      <c r="AH193" s="586" t="e">
        <f>IF(NFI_Expiration=1,IF(#REF!&lt;VLOOKUP(Q$5,NFI,5,0),1,0)*Table_NFI[[#This Row],[Kitchen Set]],Table_NFI[Kitchen Set])</f>
        <v>#REF!</v>
      </c>
      <c r="AI193" s="586" t="e">
        <f>IF(NFI_Expiration=1,IF(#REF!&lt;VLOOKUP(R$5,NFI,5,0),1,0)*Table_NFI[[#This Row],[Clothes Kit]],Table_NFI[Clothes Kit])</f>
        <v>#REF!</v>
      </c>
      <c r="AJ193" s="586" t="e">
        <f>IF(NFI_Expiration=1,IF(#REF!&lt;VLOOKUP(S$5,NFI,5,0),1,0)*Table_NFI[[#This Row],[Plastic Bucket]],Table_NFI[Plastic Bucket])</f>
        <v>#REF!</v>
      </c>
      <c r="AK193" s="586" t="e">
        <f>IF(NFI_Expiration=1,IF(#REF!&lt;VLOOKUP(T$5,NFI,5,0),1,0)*Table_NFI[[#This Row],[Plastic Mat]],Table_NFI[Plastic Mat])*IF(Table_NFI[[#This Row],[Distribution Date]]&gt;"2014-04-01",1,2.5)</f>
        <v>#REF!</v>
      </c>
      <c r="AL193" s="586" t="e">
        <f>IF(NFI_Expiration=1,IF(#REF!&lt;VLOOKUP(U$5,NFI,5,0),1,0)*Table_NFI[[#This Row],[Winter Clothes Adult]],Table_NFI[Winter Clothes Adult])</f>
        <v>#REF!</v>
      </c>
      <c r="AM193" s="586"/>
      <c r="AN193" s="586"/>
      <c r="AO193" s="586"/>
      <c r="AP193" s="586">
        <f>IF(Table_NFI[[#This Row],[Winter Clothes Adult]]+Table_NFI[[#This Row],[Winter Clothes Children]]+Table_NFI[[#This Row],[Winter Items Other]]+Table_NFI[[#This Row],[Winter Blanket]]&gt;0,1,0)</f>
        <v>1</v>
      </c>
      <c r="AQ193" s="586"/>
      <c r="AR193" s="586"/>
      <c r="AS193" s="586"/>
      <c r="AT193" s="220" t="str">
        <f>IFERROR(VLOOKUP(Table_NFI[[#This Row],[Location]],CL,2,0),"")</f>
        <v>MMR015CMP215</v>
      </c>
      <c r="AU193" s="197" t="s">
        <v>1663</v>
      </c>
    </row>
    <row r="194" spans="2:47" hidden="1" x14ac:dyDescent="0.25">
      <c r="B194" s="584">
        <v>43116</v>
      </c>
      <c r="C194" s="584" t="str">
        <f>MONTH(Table_NFI[[#This Row],[Distribution Date]]) &amp; "/" &amp; YEAR(Table_NFI[[#This Row],[Distribution Date]])</f>
        <v>1/2018</v>
      </c>
      <c r="D194" s="213" t="s">
        <v>1482</v>
      </c>
      <c r="E194" s="213"/>
      <c r="F194" s="213" t="s">
        <v>378</v>
      </c>
      <c r="G194" s="235" t="s">
        <v>151</v>
      </c>
      <c r="H194" s="213" t="s">
        <v>913</v>
      </c>
      <c r="I194" s="197"/>
      <c r="J194" s="585">
        <v>8</v>
      </c>
      <c r="K194" s="585"/>
      <c r="L194" s="585"/>
      <c r="M194" s="585"/>
      <c r="N194" s="585"/>
      <c r="O194" s="585"/>
      <c r="P194" s="585"/>
      <c r="Q194" s="585">
        <v>8</v>
      </c>
      <c r="R194" s="585"/>
      <c r="S194" s="585"/>
      <c r="T194" s="585"/>
      <c r="U194" s="585">
        <v>8</v>
      </c>
      <c r="V194" s="585">
        <v>8</v>
      </c>
      <c r="W194" s="585">
        <v>8</v>
      </c>
      <c r="X194" s="585">
        <v>8</v>
      </c>
      <c r="Y194" s="585"/>
      <c r="Z194" s="585"/>
      <c r="AA194" s="585"/>
      <c r="AB194" s="585"/>
      <c r="AC194" s="586" t="e">
        <f>IF(NFI_Expiration=1,IF(#REF!&lt;VLOOKUP(L$5,NFI,5,0),1,0)*Table_NFI[[#This Row],[NFI Core Kit]],Table_NFI[NFI Core Kit])</f>
        <v>#REF!</v>
      </c>
      <c r="AD194" s="586" t="e">
        <f>IF(NFI_Expiration=1,IF(#REF!&lt;VLOOKUP(M$5,NFI,5,0),1,0)*Table_NFI[[#This Row],[Sanitary Kit]],Table_NFI[Sanitary Kit])</f>
        <v>#REF!</v>
      </c>
      <c r="AE194" s="586" t="e">
        <f>IF(NFI_Expiration=1,IF(#REF!&lt;VLOOKUP(N$5,NFI,5,0),1,0)*Table_NFI[[#This Row],[Mosquito net]],Table_NFI[Mosquito net])</f>
        <v>#REF!</v>
      </c>
      <c r="AF194" s="586" t="e">
        <f>IF(NFI_Expiration=1,IF(#REF!&lt;VLOOKUP(O$5,NFI,5,0),1,0)*Table_NFI[[#This Row],[Tarpaulin]],Table_NFI[[#This Row],[Tarpaulin]])</f>
        <v>#REF!</v>
      </c>
      <c r="AG194" s="586" t="e">
        <f>IF(NFI_Expiration=1,IF(#REF!&lt;VLOOKUP(P$5,NFI,5,0),1,0)*Table_NFI[[#This Row],[Blanket]],Table_NFI[[#This Row],[Blanket]])</f>
        <v>#REF!</v>
      </c>
      <c r="AH194" s="586" t="e">
        <f>IF(NFI_Expiration=1,IF(#REF!&lt;VLOOKUP(Q$5,NFI,5,0),1,0)*Table_NFI[[#This Row],[Kitchen Set]],Table_NFI[Kitchen Set])</f>
        <v>#REF!</v>
      </c>
      <c r="AI194" s="586" t="e">
        <f>IF(NFI_Expiration=1,IF(#REF!&lt;VLOOKUP(R$5,NFI,5,0),1,0)*Table_NFI[[#This Row],[Clothes Kit]],Table_NFI[Clothes Kit])</f>
        <v>#REF!</v>
      </c>
      <c r="AJ194" s="586" t="e">
        <f>IF(NFI_Expiration=1,IF(#REF!&lt;VLOOKUP(S$5,NFI,5,0),1,0)*Table_NFI[[#This Row],[Plastic Bucket]],Table_NFI[Plastic Bucket])</f>
        <v>#REF!</v>
      </c>
      <c r="AK194" s="586" t="e">
        <f>IF(NFI_Expiration=1,IF(#REF!&lt;VLOOKUP(T$5,NFI,5,0),1,0)*Table_NFI[[#This Row],[Plastic Mat]],Table_NFI[Plastic Mat])*IF(Table_NFI[[#This Row],[Distribution Date]]&gt;"2014-04-01",1,2.5)</f>
        <v>#REF!</v>
      </c>
      <c r="AL194" s="586" t="e">
        <f>IF(NFI_Expiration=1,IF(#REF!&lt;VLOOKUP(U$5,NFI,5,0),1,0)*Table_NFI[[#This Row],[Winter Clothes Adult]],Table_NFI[Winter Clothes Adult])</f>
        <v>#REF!</v>
      </c>
      <c r="AM194" s="586"/>
      <c r="AN194" s="586"/>
      <c r="AO194" s="586"/>
      <c r="AP194" s="586">
        <f>IF(Table_NFI[[#This Row],[Winter Clothes Adult]]+Table_NFI[[#This Row],[Winter Clothes Children]]+Table_NFI[[#This Row],[Winter Items Other]]+Table_NFI[[#This Row],[Winter Blanket]]&gt;0,1,0)</f>
        <v>1</v>
      </c>
      <c r="AQ194" s="586"/>
      <c r="AR194" s="586"/>
      <c r="AS194" s="586"/>
      <c r="AT194" s="220" t="str">
        <f>IFERROR(VLOOKUP(Table_NFI[[#This Row],[Location]],CL,2,0),"")</f>
        <v>MMR001CMP228</v>
      </c>
      <c r="AU194" s="197" t="s">
        <v>1664</v>
      </c>
    </row>
    <row r="195" spans="2:47" hidden="1" x14ac:dyDescent="0.25">
      <c r="B195" s="584">
        <v>43116</v>
      </c>
      <c r="C195" s="584" t="str">
        <f>MONTH(Table_NFI[[#This Row],[Distribution Date]]) &amp; "/" &amp; YEAR(Table_NFI[[#This Row],[Distribution Date]])</f>
        <v>1/2018</v>
      </c>
      <c r="D195" s="213" t="s">
        <v>1482</v>
      </c>
      <c r="E195" s="213"/>
      <c r="F195" s="213" t="s">
        <v>378</v>
      </c>
      <c r="G195" s="235" t="s">
        <v>151</v>
      </c>
      <c r="H195" s="213" t="s">
        <v>160</v>
      </c>
      <c r="I195" s="197"/>
      <c r="J195" s="585">
        <v>1</v>
      </c>
      <c r="K195" s="585"/>
      <c r="L195" s="585"/>
      <c r="M195" s="585"/>
      <c r="N195" s="585"/>
      <c r="O195" s="585"/>
      <c r="P195" s="585"/>
      <c r="Q195" s="585">
        <v>1</v>
      </c>
      <c r="R195" s="585"/>
      <c r="S195" s="585"/>
      <c r="T195" s="585"/>
      <c r="U195" s="585">
        <v>1</v>
      </c>
      <c r="V195" s="585">
        <v>1</v>
      </c>
      <c r="W195" s="585">
        <v>1</v>
      </c>
      <c r="X195" s="585">
        <v>1</v>
      </c>
      <c r="Y195" s="585"/>
      <c r="Z195" s="585"/>
      <c r="AA195" s="585"/>
      <c r="AB195" s="585"/>
      <c r="AC195" s="586" t="e">
        <f>IF(NFI_Expiration=1,IF(#REF!&lt;VLOOKUP(L$5,NFI,5,0),1,0)*Table_NFI[[#This Row],[NFI Core Kit]],Table_NFI[NFI Core Kit])</f>
        <v>#REF!</v>
      </c>
      <c r="AD195" s="586" t="e">
        <f>IF(NFI_Expiration=1,IF(#REF!&lt;VLOOKUP(M$5,NFI,5,0),1,0)*Table_NFI[[#This Row],[Sanitary Kit]],Table_NFI[Sanitary Kit])</f>
        <v>#REF!</v>
      </c>
      <c r="AE195" s="586" t="e">
        <f>IF(NFI_Expiration=1,IF(#REF!&lt;VLOOKUP(N$5,NFI,5,0),1,0)*Table_NFI[[#This Row],[Mosquito net]],Table_NFI[Mosquito net])</f>
        <v>#REF!</v>
      </c>
      <c r="AF195" s="586" t="e">
        <f>IF(NFI_Expiration=1,IF(#REF!&lt;VLOOKUP(O$5,NFI,5,0),1,0)*Table_NFI[[#This Row],[Tarpaulin]],Table_NFI[[#This Row],[Tarpaulin]])</f>
        <v>#REF!</v>
      </c>
      <c r="AG195" s="586" t="e">
        <f>IF(NFI_Expiration=1,IF(#REF!&lt;VLOOKUP(P$5,NFI,5,0),1,0)*Table_NFI[[#This Row],[Blanket]],Table_NFI[[#This Row],[Blanket]])</f>
        <v>#REF!</v>
      </c>
      <c r="AH195" s="586" t="e">
        <f>IF(NFI_Expiration=1,IF(#REF!&lt;VLOOKUP(Q$5,NFI,5,0),1,0)*Table_NFI[[#This Row],[Kitchen Set]],Table_NFI[Kitchen Set])</f>
        <v>#REF!</v>
      </c>
      <c r="AI195" s="586" t="e">
        <f>IF(NFI_Expiration=1,IF(#REF!&lt;VLOOKUP(R$5,NFI,5,0),1,0)*Table_NFI[[#This Row],[Clothes Kit]],Table_NFI[Clothes Kit])</f>
        <v>#REF!</v>
      </c>
      <c r="AJ195" s="586" t="e">
        <f>IF(NFI_Expiration=1,IF(#REF!&lt;VLOOKUP(S$5,NFI,5,0),1,0)*Table_NFI[[#This Row],[Plastic Bucket]],Table_NFI[Plastic Bucket])</f>
        <v>#REF!</v>
      </c>
      <c r="AK195" s="586" t="e">
        <f>IF(NFI_Expiration=1,IF(#REF!&lt;VLOOKUP(T$5,NFI,5,0),1,0)*Table_NFI[[#This Row],[Plastic Mat]],Table_NFI[Plastic Mat])*IF(Table_NFI[[#This Row],[Distribution Date]]&gt;"2014-04-01",1,2.5)</f>
        <v>#REF!</v>
      </c>
      <c r="AL195" s="586" t="e">
        <f>IF(NFI_Expiration=1,IF(#REF!&lt;VLOOKUP(U$5,NFI,5,0),1,0)*Table_NFI[[#This Row],[Winter Clothes Adult]],Table_NFI[Winter Clothes Adult])</f>
        <v>#REF!</v>
      </c>
      <c r="AM195" s="586"/>
      <c r="AN195" s="586"/>
      <c r="AO195" s="586"/>
      <c r="AP195" s="586">
        <f>IF(Table_NFI[[#This Row],[Winter Clothes Adult]]+Table_NFI[[#This Row],[Winter Clothes Children]]+Table_NFI[[#This Row],[Winter Items Other]]+Table_NFI[[#This Row],[Winter Blanket]]&gt;0,1,0)</f>
        <v>1</v>
      </c>
      <c r="AQ195" s="586"/>
      <c r="AR195" s="586"/>
      <c r="AS195" s="586"/>
      <c r="AT195" s="220" t="str">
        <f>IFERROR(VLOOKUP(Table_NFI[[#This Row],[Location]],CL,2,0),"")</f>
        <v>MMR001CMP133</v>
      </c>
      <c r="AU195" s="197" t="s">
        <v>1665</v>
      </c>
    </row>
    <row r="196" spans="2:47" hidden="1" x14ac:dyDescent="0.25">
      <c r="B196" s="584">
        <v>43116</v>
      </c>
      <c r="C196" s="584" t="str">
        <f>MONTH(Table_NFI[[#This Row],[Distribution Date]]) &amp; "/" &amp; YEAR(Table_NFI[[#This Row],[Distribution Date]])</f>
        <v>1/2018</v>
      </c>
      <c r="D196" s="213" t="s">
        <v>1482</v>
      </c>
      <c r="E196" s="213"/>
      <c r="F196" s="213" t="s">
        <v>378</v>
      </c>
      <c r="G196" s="235" t="s">
        <v>151</v>
      </c>
      <c r="H196" s="213" t="s">
        <v>940</v>
      </c>
      <c r="I196" s="197"/>
      <c r="J196" s="585">
        <v>25</v>
      </c>
      <c r="K196" s="585"/>
      <c r="L196" s="585"/>
      <c r="M196" s="585"/>
      <c r="N196" s="585"/>
      <c r="O196" s="585"/>
      <c r="P196" s="585"/>
      <c r="Q196" s="585">
        <v>25</v>
      </c>
      <c r="R196" s="585"/>
      <c r="S196" s="585"/>
      <c r="T196" s="585"/>
      <c r="U196" s="585">
        <v>25</v>
      </c>
      <c r="V196" s="585">
        <v>25</v>
      </c>
      <c r="W196" s="585">
        <v>25</v>
      </c>
      <c r="X196" s="585">
        <v>25</v>
      </c>
      <c r="Y196" s="585"/>
      <c r="Z196" s="585"/>
      <c r="AA196" s="585"/>
      <c r="AB196" s="585"/>
      <c r="AC196" s="586" t="e">
        <f>IF(NFI_Expiration=1,IF(#REF!&lt;VLOOKUP(L$5,NFI,5,0),1,0)*Table_NFI[[#This Row],[NFI Core Kit]],Table_NFI[NFI Core Kit])</f>
        <v>#REF!</v>
      </c>
      <c r="AD196" s="586" t="e">
        <f>IF(NFI_Expiration=1,IF(#REF!&lt;VLOOKUP(M$5,NFI,5,0),1,0)*Table_NFI[[#This Row],[Sanitary Kit]],Table_NFI[Sanitary Kit])</f>
        <v>#REF!</v>
      </c>
      <c r="AE196" s="586" t="e">
        <f>IF(NFI_Expiration=1,IF(#REF!&lt;VLOOKUP(N$5,NFI,5,0),1,0)*Table_NFI[[#This Row],[Mosquito net]],Table_NFI[Mosquito net])</f>
        <v>#REF!</v>
      </c>
      <c r="AF196" s="586" t="e">
        <f>IF(NFI_Expiration=1,IF(#REF!&lt;VLOOKUP(O$5,NFI,5,0),1,0)*Table_NFI[[#This Row],[Tarpaulin]],Table_NFI[[#This Row],[Tarpaulin]])</f>
        <v>#REF!</v>
      </c>
      <c r="AG196" s="586" t="e">
        <f>IF(NFI_Expiration=1,IF(#REF!&lt;VLOOKUP(P$5,NFI,5,0),1,0)*Table_NFI[[#This Row],[Blanket]],Table_NFI[[#This Row],[Blanket]])</f>
        <v>#REF!</v>
      </c>
      <c r="AH196" s="586" t="e">
        <f>IF(NFI_Expiration=1,IF(#REF!&lt;VLOOKUP(Q$5,NFI,5,0),1,0)*Table_NFI[[#This Row],[Kitchen Set]],Table_NFI[Kitchen Set])</f>
        <v>#REF!</v>
      </c>
      <c r="AI196" s="586" t="e">
        <f>IF(NFI_Expiration=1,IF(#REF!&lt;VLOOKUP(R$5,NFI,5,0),1,0)*Table_NFI[[#This Row],[Clothes Kit]],Table_NFI[Clothes Kit])</f>
        <v>#REF!</v>
      </c>
      <c r="AJ196" s="586" t="e">
        <f>IF(NFI_Expiration=1,IF(#REF!&lt;VLOOKUP(S$5,NFI,5,0),1,0)*Table_NFI[[#This Row],[Plastic Bucket]],Table_NFI[Plastic Bucket])</f>
        <v>#REF!</v>
      </c>
      <c r="AK196" s="586" t="e">
        <f>IF(NFI_Expiration=1,IF(#REF!&lt;VLOOKUP(T$5,NFI,5,0),1,0)*Table_NFI[[#This Row],[Plastic Mat]],Table_NFI[Plastic Mat])*IF(Table_NFI[[#This Row],[Distribution Date]]&gt;"2014-04-01",1,2.5)</f>
        <v>#REF!</v>
      </c>
      <c r="AL196" s="586" t="e">
        <f>IF(NFI_Expiration=1,IF(#REF!&lt;VLOOKUP(U$5,NFI,5,0),1,0)*Table_NFI[[#This Row],[Winter Clothes Adult]],Table_NFI[Winter Clothes Adult])</f>
        <v>#REF!</v>
      </c>
      <c r="AM196" s="586"/>
      <c r="AN196" s="586"/>
      <c r="AO196" s="586"/>
      <c r="AP196" s="586">
        <f>IF(Table_NFI[[#This Row],[Winter Clothes Adult]]+Table_NFI[[#This Row],[Winter Clothes Children]]+Table_NFI[[#This Row],[Winter Items Other]]+Table_NFI[[#This Row],[Winter Blanket]]&gt;0,1,0)</f>
        <v>1</v>
      </c>
      <c r="AQ196" s="586"/>
      <c r="AR196" s="586"/>
      <c r="AS196" s="586"/>
      <c r="AT196" s="220" t="str">
        <f>IFERROR(VLOOKUP(Table_NFI[[#This Row],[Location]],CL,2,0),"")</f>
        <v>MMR001CMP230</v>
      </c>
      <c r="AU196" s="197" t="s">
        <v>1666</v>
      </c>
    </row>
    <row r="197" spans="2:47" hidden="1" x14ac:dyDescent="0.25">
      <c r="B197" s="584">
        <v>43125</v>
      </c>
      <c r="C197" s="584" t="str">
        <f>MONTH(Table_NFI[[#This Row],[Distribution Date]]) &amp; "/" &amp; YEAR(Table_NFI[[#This Row],[Distribution Date]])</f>
        <v>1/2018</v>
      </c>
      <c r="D197" s="213" t="s">
        <v>1482</v>
      </c>
      <c r="E197" s="213"/>
      <c r="F197" s="213" t="s">
        <v>506</v>
      </c>
      <c r="G197" s="235" t="s">
        <v>297</v>
      </c>
      <c r="H197" s="213" t="s">
        <v>1195</v>
      </c>
      <c r="I197" s="197">
        <v>1</v>
      </c>
      <c r="J197" s="585"/>
      <c r="K197" s="585"/>
      <c r="L197" s="585"/>
      <c r="M197" s="585">
        <v>7</v>
      </c>
      <c r="N197" s="585"/>
      <c r="O197" s="585"/>
      <c r="P197" s="585"/>
      <c r="Q197" s="585">
        <v>6</v>
      </c>
      <c r="R197" s="585"/>
      <c r="S197" s="585"/>
      <c r="T197" s="585"/>
      <c r="U197" s="585">
        <v>19</v>
      </c>
      <c r="V197" s="585">
        <v>19</v>
      </c>
      <c r="W197" s="585"/>
      <c r="X197" s="585">
        <v>19</v>
      </c>
      <c r="Y197" s="585"/>
      <c r="Z197" s="585"/>
      <c r="AA197" s="585"/>
      <c r="AB197" s="585"/>
      <c r="AC197" s="586" t="e">
        <f>IF(NFI_Expiration=1,IF(#REF!&lt;VLOOKUP(L$5,NFI,5,0),1,0)*Table_NFI[[#This Row],[NFI Core Kit]],Table_NFI[NFI Core Kit])</f>
        <v>#REF!</v>
      </c>
      <c r="AD197" s="586" t="e">
        <f>IF(NFI_Expiration=1,IF(#REF!&lt;VLOOKUP(M$5,NFI,5,0),1,0)*Table_NFI[[#This Row],[Sanitary Kit]],Table_NFI[Sanitary Kit])</f>
        <v>#REF!</v>
      </c>
      <c r="AE197" s="586" t="e">
        <f>IF(NFI_Expiration=1,IF(#REF!&lt;VLOOKUP(N$5,NFI,5,0),1,0)*Table_NFI[[#This Row],[Mosquito net]],Table_NFI[Mosquito net])</f>
        <v>#REF!</v>
      </c>
      <c r="AF197" s="586" t="e">
        <f>IF(NFI_Expiration=1,IF(#REF!&lt;VLOOKUP(O$5,NFI,5,0),1,0)*Table_NFI[[#This Row],[Tarpaulin]],Table_NFI[[#This Row],[Tarpaulin]])</f>
        <v>#REF!</v>
      </c>
      <c r="AG197" s="586" t="e">
        <f>IF(NFI_Expiration=1,IF(#REF!&lt;VLOOKUP(P$5,NFI,5,0),1,0)*Table_NFI[[#This Row],[Blanket]],Table_NFI[[#This Row],[Blanket]])</f>
        <v>#REF!</v>
      </c>
      <c r="AH197" s="586" t="e">
        <f>IF(NFI_Expiration=1,IF(#REF!&lt;VLOOKUP(Q$5,NFI,5,0),1,0)*Table_NFI[[#This Row],[Kitchen Set]],Table_NFI[Kitchen Set])</f>
        <v>#REF!</v>
      </c>
      <c r="AI197" s="586" t="e">
        <f>IF(NFI_Expiration=1,IF(#REF!&lt;VLOOKUP(R$5,NFI,5,0),1,0)*Table_NFI[[#This Row],[Clothes Kit]],Table_NFI[Clothes Kit])</f>
        <v>#REF!</v>
      </c>
      <c r="AJ197" s="586" t="e">
        <f>IF(NFI_Expiration=1,IF(#REF!&lt;VLOOKUP(S$5,NFI,5,0),1,0)*Table_NFI[[#This Row],[Plastic Bucket]],Table_NFI[Plastic Bucket])</f>
        <v>#REF!</v>
      </c>
      <c r="AK197" s="586" t="e">
        <f>IF(NFI_Expiration=1,IF(#REF!&lt;VLOOKUP(T$5,NFI,5,0),1,0)*Table_NFI[[#This Row],[Plastic Mat]],Table_NFI[Plastic Mat])*IF(Table_NFI[[#This Row],[Distribution Date]]&gt;"2014-04-01",1,2.5)</f>
        <v>#REF!</v>
      </c>
      <c r="AL197" s="586" t="e">
        <f>IF(NFI_Expiration=1,IF(#REF!&lt;VLOOKUP(U$5,NFI,5,0),1,0)*Table_NFI[[#This Row],[Winter Clothes Adult]],Table_NFI[Winter Clothes Adult])</f>
        <v>#REF!</v>
      </c>
      <c r="AM197" s="586"/>
      <c r="AN197" s="586"/>
      <c r="AO197" s="586"/>
      <c r="AP197" s="586">
        <f>IF(Table_NFI[[#This Row],[Winter Clothes Adult]]+Table_NFI[[#This Row],[Winter Clothes Children]]+Table_NFI[[#This Row],[Winter Items Other]]+Table_NFI[[#This Row],[Winter Blanket]]&gt;0,1,0)</f>
        <v>1</v>
      </c>
      <c r="AQ197" s="586"/>
      <c r="AR197" s="586"/>
      <c r="AS197" s="586"/>
      <c r="AT197" s="220" t="str">
        <f>IFERROR(VLOOKUP(Table_NFI[[#This Row],[Location]],CL,2,0),"")</f>
        <v>MMR015CMP232</v>
      </c>
      <c r="AU197" s="197"/>
    </row>
    <row r="198" spans="2:47" hidden="1" x14ac:dyDescent="0.25">
      <c r="B198" s="584">
        <v>43139</v>
      </c>
      <c r="C198" s="584" t="str">
        <f>MONTH(Table_NFI[[#This Row],[Distribution Date]]) &amp; "/" &amp; YEAR(Table_NFI[[#This Row],[Distribution Date]])</f>
        <v>2/2018</v>
      </c>
      <c r="D198" s="213" t="s">
        <v>1482</v>
      </c>
      <c r="E198" s="213"/>
      <c r="F198" s="213" t="s">
        <v>506</v>
      </c>
      <c r="G198" s="235" t="s">
        <v>297</v>
      </c>
      <c r="H198" s="213" t="s">
        <v>760</v>
      </c>
      <c r="I198" s="197">
        <v>18</v>
      </c>
      <c r="J198" s="585"/>
      <c r="K198" s="585"/>
      <c r="L198" s="585"/>
      <c r="M198" s="585"/>
      <c r="N198" s="585"/>
      <c r="O198" s="585"/>
      <c r="P198" s="585"/>
      <c r="Q198" s="585"/>
      <c r="R198" s="585"/>
      <c r="S198" s="585"/>
      <c r="T198" s="585"/>
      <c r="U198" s="585"/>
      <c r="V198" s="585"/>
      <c r="W198" s="585"/>
      <c r="X198" s="585"/>
      <c r="Y198" s="585"/>
      <c r="Z198" s="585"/>
      <c r="AA198" s="585"/>
      <c r="AB198" s="585"/>
      <c r="AC198" s="586" t="e">
        <f>IF(NFI_Expiration=1,IF(#REF!&lt;VLOOKUP(L$5,NFI,5,0),1,0)*Table_NFI[[#This Row],[NFI Core Kit]],Table_NFI[NFI Core Kit])</f>
        <v>#REF!</v>
      </c>
      <c r="AD198" s="586" t="e">
        <f>IF(NFI_Expiration=1,IF(#REF!&lt;VLOOKUP(M$5,NFI,5,0),1,0)*Table_NFI[[#This Row],[Sanitary Kit]],Table_NFI[Sanitary Kit])</f>
        <v>#REF!</v>
      </c>
      <c r="AE198" s="586" t="e">
        <f>IF(NFI_Expiration=1,IF(#REF!&lt;VLOOKUP(N$5,NFI,5,0),1,0)*Table_NFI[[#This Row],[Mosquito net]],Table_NFI[Mosquito net])</f>
        <v>#REF!</v>
      </c>
      <c r="AF198" s="586" t="e">
        <f>IF(NFI_Expiration=1,IF(#REF!&lt;VLOOKUP(O$5,NFI,5,0),1,0)*Table_NFI[[#This Row],[Tarpaulin]],Table_NFI[[#This Row],[Tarpaulin]])</f>
        <v>#REF!</v>
      </c>
      <c r="AG198" s="586" t="e">
        <f>IF(NFI_Expiration=1,IF(#REF!&lt;VLOOKUP(P$5,NFI,5,0),1,0)*Table_NFI[[#This Row],[Blanket]],Table_NFI[[#This Row],[Blanket]])</f>
        <v>#REF!</v>
      </c>
      <c r="AH198" s="586" t="e">
        <f>IF(NFI_Expiration=1,IF(#REF!&lt;VLOOKUP(Q$5,NFI,5,0),1,0)*Table_NFI[[#This Row],[Kitchen Set]],Table_NFI[Kitchen Set])</f>
        <v>#REF!</v>
      </c>
      <c r="AI198" s="586" t="e">
        <f>IF(NFI_Expiration=1,IF(#REF!&lt;VLOOKUP(R$5,NFI,5,0),1,0)*Table_NFI[[#This Row],[Clothes Kit]],Table_NFI[Clothes Kit])</f>
        <v>#REF!</v>
      </c>
      <c r="AJ198" s="586" t="e">
        <f>IF(NFI_Expiration=1,IF(#REF!&lt;VLOOKUP(S$5,NFI,5,0),1,0)*Table_NFI[[#This Row],[Plastic Bucket]],Table_NFI[Plastic Bucket])</f>
        <v>#REF!</v>
      </c>
      <c r="AK198" s="586" t="e">
        <f>IF(NFI_Expiration=1,IF(#REF!&lt;VLOOKUP(T$5,NFI,5,0),1,0)*Table_NFI[[#This Row],[Plastic Mat]],Table_NFI[Plastic Mat])*IF(Table_NFI[[#This Row],[Distribution Date]]&gt;"2014-04-01",1,2.5)</f>
        <v>#REF!</v>
      </c>
      <c r="AL198" s="586" t="e">
        <f>IF(NFI_Expiration=1,IF(#REF!&lt;VLOOKUP(U$5,NFI,5,0),1,0)*Table_NFI[[#This Row],[Winter Clothes Adult]],Table_NFI[Winter Clothes Adult])</f>
        <v>#REF!</v>
      </c>
      <c r="AM198" s="586"/>
      <c r="AN198" s="586"/>
      <c r="AO198" s="586"/>
      <c r="AP198" s="586">
        <f>IF(Table_NFI[[#This Row],[Winter Clothes Adult]]+Table_NFI[[#This Row],[Winter Clothes Children]]+Table_NFI[[#This Row],[Winter Items Other]]+Table_NFI[[#This Row],[Winter Blanket]]&gt;0,1,0)</f>
        <v>0</v>
      </c>
      <c r="AQ198" s="586"/>
      <c r="AR198" s="586"/>
      <c r="AS198" s="586"/>
      <c r="AT198" s="220" t="str">
        <f>IFERROR(VLOOKUP(Table_NFI[[#This Row],[Location]],CL,2,0),"")</f>
        <v>MMR015CMP014</v>
      </c>
      <c r="AU198" s="197" t="s">
        <v>1667</v>
      </c>
    </row>
    <row r="199" spans="2:47" hidden="1" x14ac:dyDescent="0.25">
      <c r="B199" s="584">
        <v>43143</v>
      </c>
      <c r="C199" s="584" t="str">
        <f>MONTH(Table_NFI[[#This Row],[Distribution Date]]) &amp; "/" &amp; YEAR(Table_NFI[[#This Row],[Distribution Date]])</f>
        <v>2/2018</v>
      </c>
      <c r="D199" s="213" t="s">
        <v>1482</v>
      </c>
      <c r="E199" s="213"/>
      <c r="F199" s="213" t="s">
        <v>378</v>
      </c>
      <c r="G199" s="235" t="s">
        <v>151</v>
      </c>
      <c r="H199" s="213" t="s">
        <v>154</v>
      </c>
      <c r="I199" s="197"/>
      <c r="J199" s="585">
        <v>8</v>
      </c>
      <c r="K199" s="585"/>
      <c r="L199" s="585"/>
      <c r="M199" s="585"/>
      <c r="N199" s="585"/>
      <c r="O199" s="585"/>
      <c r="P199" s="585"/>
      <c r="Q199" s="585">
        <v>8</v>
      </c>
      <c r="R199" s="585"/>
      <c r="S199" s="585"/>
      <c r="T199" s="585"/>
      <c r="U199" s="585">
        <v>8</v>
      </c>
      <c r="V199" s="585">
        <v>8</v>
      </c>
      <c r="W199" s="585">
        <v>8</v>
      </c>
      <c r="X199" s="585"/>
      <c r="Y199" s="585"/>
      <c r="Z199" s="585"/>
      <c r="AA199" s="585"/>
      <c r="AB199" s="585"/>
      <c r="AC199" s="586" t="e">
        <f>IF(NFI_Expiration=1,IF(#REF!&lt;VLOOKUP(L$5,NFI,5,0),1,0)*Table_NFI[[#This Row],[NFI Core Kit]],Table_NFI[NFI Core Kit])</f>
        <v>#REF!</v>
      </c>
      <c r="AD199" s="586" t="e">
        <f>IF(NFI_Expiration=1,IF(#REF!&lt;VLOOKUP(M$5,NFI,5,0),1,0)*Table_NFI[[#This Row],[Sanitary Kit]],Table_NFI[Sanitary Kit])</f>
        <v>#REF!</v>
      </c>
      <c r="AE199" s="586" t="e">
        <f>IF(NFI_Expiration=1,IF(#REF!&lt;VLOOKUP(N$5,NFI,5,0),1,0)*Table_NFI[[#This Row],[Mosquito net]],Table_NFI[Mosquito net])</f>
        <v>#REF!</v>
      </c>
      <c r="AF199" s="586" t="e">
        <f>IF(NFI_Expiration=1,IF(#REF!&lt;VLOOKUP(O$5,NFI,5,0),1,0)*Table_NFI[[#This Row],[Tarpaulin]],Table_NFI[[#This Row],[Tarpaulin]])</f>
        <v>#REF!</v>
      </c>
      <c r="AG199" s="586" t="e">
        <f>IF(NFI_Expiration=1,IF(#REF!&lt;VLOOKUP(P$5,NFI,5,0),1,0)*Table_NFI[[#This Row],[Blanket]],Table_NFI[[#This Row],[Blanket]])</f>
        <v>#REF!</v>
      </c>
      <c r="AH199" s="586" t="e">
        <f>IF(NFI_Expiration=1,IF(#REF!&lt;VLOOKUP(Q$5,NFI,5,0),1,0)*Table_NFI[[#This Row],[Kitchen Set]],Table_NFI[Kitchen Set])</f>
        <v>#REF!</v>
      </c>
      <c r="AI199" s="586" t="e">
        <f>IF(NFI_Expiration=1,IF(#REF!&lt;VLOOKUP(R$5,NFI,5,0),1,0)*Table_NFI[[#This Row],[Clothes Kit]],Table_NFI[Clothes Kit])</f>
        <v>#REF!</v>
      </c>
      <c r="AJ199" s="586" t="e">
        <f>IF(NFI_Expiration=1,IF(#REF!&lt;VLOOKUP(S$5,NFI,5,0),1,0)*Table_NFI[[#This Row],[Plastic Bucket]],Table_NFI[Plastic Bucket])</f>
        <v>#REF!</v>
      </c>
      <c r="AK199" s="586" t="e">
        <f>IF(NFI_Expiration=1,IF(#REF!&lt;VLOOKUP(T$5,NFI,5,0),1,0)*Table_NFI[[#This Row],[Plastic Mat]],Table_NFI[Plastic Mat])*IF(Table_NFI[[#This Row],[Distribution Date]]&gt;"2014-04-01",1,2.5)</f>
        <v>#REF!</v>
      </c>
      <c r="AL199" s="586" t="e">
        <f>IF(NFI_Expiration=1,IF(#REF!&lt;VLOOKUP(U$5,NFI,5,0),1,0)*Table_NFI[[#This Row],[Winter Clothes Adult]],Table_NFI[Winter Clothes Adult])</f>
        <v>#REF!</v>
      </c>
      <c r="AM199" s="586"/>
      <c r="AN199" s="586"/>
      <c r="AO199" s="586"/>
      <c r="AP199" s="586">
        <f>IF(Table_NFI[[#This Row],[Winter Clothes Adult]]+Table_NFI[[#This Row],[Winter Clothes Children]]+Table_NFI[[#This Row],[Winter Items Other]]+Table_NFI[[#This Row],[Winter Blanket]]&gt;0,1,0)</f>
        <v>1</v>
      </c>
      <c r="AQ199" s="586"/>
      <c r="AR199" s="586"/>
      <c r="AS199" s="586"/>
      <c r="AT199" s="220" t="str">
        <f>IFERROR(VLOOKUP(Table_NFI[[#This Row],[Location]],CL,2,0),"")</f>
        <v>MMR001CMP132</v>
      </c>
      <c r="AU199" s="197"/>
    </row>
    <row r="200" spans="2:47" hidden="1" x14ac:dyDescent="0.25">
      <c r="B200" s="584">
        <v>43143</v>
      </c>
      <c r="C200" s="584" t="str">
        <f>MONTH(Table_NFI[[#This Row],[Distribution Date]]) &amp; "/" &amp; YEAR(Table_NFI[[#This Row],[Distribution Date]])</f>
        <v>2/2018</v>
      </c>
      <c r="D200" s="213" t="s">
        <v>1482</v>
      </c>
      <c r="E200" s="213"/>
      <c r="F200" s="213" t="s">
        <v>378</v>
      </c>
      <c r="G200" s="235" t="s">
        <v>151</v>
      </c>
      <c r="H200" s="213" t="s">
        <v>913</v>
      </c>
      <c r="I200" s="197">
        <v>1</v>
      </c>
      <c r="J200" s="585"/>
      <c r="K200" s="585"/>
      <c r="L200" s="585"/>
      <c r="M200" s="585"/>
      <c r="N200" s="585"/>
      <c r="O200" s="585"/>
      <c r="P200" s="585"/>
      <c r="Q200" s="585"/>
      <c r="R200" s="585"/>
      <c r="S200" s="585"/>
      <c r="T200" s="585"/>
      <c r="U200" s="585"/>
      <c r="V200" s="585"/>
      <c r="W200" s="585"/>
      <c r="X200" s="585"/>
      <c r="Y200" s="585"/>
      <c r="Z200" s="585"/>
      <c r="AA200" s="585"/>
      <c r="AB200" s="585"/>
      <c r="AC200" s="586" t="e">
        <f>IF(NFI_Expiration=1,IF(#REF!&lt;VLOOKUP(L$5,NFI,5,0),1,0)*Table_NFI[[#This Row],[NFI Core Kit]],Table_NFI[NFI Core Kit])</f>
        <v>#REF!</v>
      </c>
      <c r="AD200" s="586" t="e">
        <f>IF(NFI_Expiration=1,IF(#REF!&lt;VLOOKUP(M$5,NFI,5,0),1,0)*Table_NFI[[#This Row],[Sanitary Kit]],Table_NFI[Sanitary Kit])</f>
        <v>#REF!</v>
      </c>
      <c r="AE200" s="586" t="e">
        <f>IF(NFI_Expiration=1,IF(#REF!&lt;VLOOKUP(N$5,NFI,5,0),1,0)*Table_NFI[[#This Row],[Mosquito net]],Table_NFI[Mosquito net])</f>
        <v>#REF!</v>
      </c>
      <c r="AF200" s="586" t="e">
        <f>IF(NFI_Expiration=1,IF(#REF!&lt;VLOOKUP(O$5,NFI,5,0),1,0)*Table_NFI[[#This Row],[Tarpaulin]],Table_NFI[[#This Row],[Tarpaulin]])</f>
        <v>#REF!</v>
      </c>
      <c r="AG200" s="586" t="e">
        <f>IF(NFI_Expiration=1,IF(#REF!&lt;VLOOKUP(P$5,NFI,5,0),1,0)*Table_NFI[[#This Row],[Blanket]],Table_NFI[[#This Row],[Blanket]])</f>
        <v>#REF!</v>
      </c>
      <c r="AH200" s="586" t="e">
        <f>IF(NFI_Expiration=1,IF(#REF!&lt;VLOOKUP(Q$5,NFI,5,0),1,0)*Table_NFI[[#This Row],[Kitchen Set]],Table_NFI[Kitchen Set])</f>
        <v>#REF!</v>
      </c>
      <c r="AI200" s="586" t="e">
        <f>IF(NFI_Expiration=1,IF(#REF!&lt;VLOOKUP(R$5,NFI,5,0),1,0)*Table_NFI[[#This Row],[Clothes Kit]],Table_NFI[Clothes Kit])</f>
        <v>#REF!</v>
      </c>
      <c r="AJ200" s="586" t="e">
        <f>IF(NFI_Expiration=1,IF(#REF!&lt;VLOOKUP(S$5,NFI,5,0),1,0)*Table_NFI[[#This Row],[Plastic Bucket]],Table_NFI[Plastic Bucket])</f>
        <v>#REF!</v>
      </c>
      <c r="AK200" s="586" t="e">
        <f>IF(NFI_Expiration=1,IF(#REF!&lt;VLOOKUP(T$5,NFI,5,0),1,0)*Table_NFI[[#This Row],[Plastic Mat]],Table_NFI[Plastic Mat])*IF(Table_NFI[[#This Row],[Distribution Date]]&gt;"2014-04-01",1,2.5)</f>
        <v>#REF!</v>
      </c>
      <c r="AL200" s="586" t="e">
        <f>IF(NFI_Expiration=1,IF(#REF!&lt;VLOOKUP(U$5,NFI,5,0),1,0)*Table_NFI[[#This Row],[Winter Clothes Adult]],Table_NFI[Winter Clothes Adult])</f>
        <v>#REF!</v>
      </c>
      <c r="AM200" s="586"/>
      <c r="AN200" s="586"/>
      <c r="AO200" s="586"/>
      <c r="AP200" s="586">
        <f>IF(Table_NFI[[#This Row],[Winter Clothes Adult]]+Table_NFI[[#This Row],[Winter Clothes Children]]+Table_NFI[[#This Row],[Winter Items Other]]+Table_NFI[[#This Row],[Winter Blanket]]&gt;0,1,0)</f>
        <v>0</v>
      </c>
      <c r="AQ200" s="586"/>
      <c r="AR200" s="586"/>
      <c r="AS200" s="586"/>
      <c r="AT200" s="220" t="str">
        <f>IFERROR(VLOOKUP(Table_NFI[[#This Row],[Location]],CL,2,0),"")</f>
        <v>MMR001CMP228</v>
      </c>
      <c r="AU200" s="197"/>
    </row>
    <row r="201" spans="2:47" hidden="1" x14ac:dyDescent="0.25">
      <c r="B201" s="584">
        <v>43143</v>
      </c>
      <c r="C201" s="584" t="str">
        <f>MONTH(Table_NFI[[#This Row],[Distribution Date]]) &amp; "/" &amp; YEAR(Table_NFI[[#This Row],[Distribution Date]])</f>
        <v>2/2018</v>
      </c>
      <c r="D201" s="213" t="s">
        <v>1482</v>
      </c>
      <c r="E201" s="213"/>
      <c r="F201" s="213" t="s">
        <v>378</v>
      </c>
      <c r="G201" s="235" t="s">
        <v>151</v>
      </c>
      <c r="H201" s="213" t="s">
        <v>940</v>
      </c>
      <c r="I201" s="197">
        <v>1</v>
      </c>
      <c r="J201" s="585"/>
      <c r="K201" s="585"/>
      <c r="L201" s="585"/>
      <c r="M201" s="585"/>
      <c r="N201" s="585"/>
      <c r="O201" s="585"/>
      <c r="P201" s="585"/>
      <c r="Q201" s="585"/>
      <c r="R201" s="585"/>
      <c r="S201" s="585"/>
      <c r="T201" s="585"/>
      <c r="U201" s="585"/>
      <c r="V201" s="585"/>
      <c r="W201" s="585"/>
      <c r="X201" s="585"/>
      <c r="Y201" s="585"/>
      <c r="Z201" s="585"/>
      <c r="AA201" s="585"/>
      <c r="AB201" s="585"/>
      <c r="AC201" s="586" t="e">
        <f>IF(NFI_Expiration=1,IF(#REF!&lt;VLOOKUP(L$5,NFI,5,0),1,0)*Table_NFI[[#This Row],[NFI Core Kit]],Table_NFI[NFI Core Kit])</f>
        <v>#REF!</v>
      </c>
      <c r="AD201" s="586" t="e">
        <f>IF(NFI_Expiration=1,IF(#REF!&lt;VLOOKUP(M$5,NFI,5,0),1,0)*Table_NFI[[#This Row],[Sanitary Kit]],Table_NFI[Sanitary Kit])</f>
        <v>#REF!</v>
      </c>
      <c r="AE201" s="586" t="e">
        <f>IF(NFI_Expiration=1,IF(#REF!&lt;VLOOKUP(N$5,NFI,5,0),1,0)*Table_NFI[[#This Row],[Mosquito net]],Table_NFI[Mosquito net])</f>
        <v>#REF!</v>
      </c>
      <c r="AF201" s="586" t="e">
        <f>IF(NFI_Expiration=1,IF(#REF!&lt;VLOOKUP(O$5,NFI,5,0),1,0)*Table_NFI[[#This Row],[Tarpaulin]],Table_NFI[[#This Row],[Tarpaulin]])</f>
        <v>#REF!</v>
      </c>
      <c r="AG201" s="586" t="e">
        <f>IF(NFI_Expiration=1,IF(#REF!&lt;VLOOKUP(P$5,NFI,5,0),1,0)*Table_NFI[[#This Row],[Blanket]],Table_NFI[[#This Row],[Blanket]])</f>
        <v>#REF!</v>
      </c>
      <c r="AH201" s="586" t="e">
        <f>IF(NFI_Expiration=1,IF(#REF!&lt;VLOOKUP(Q$5,NFI,5,0),1,0)*Table_NFI[[#This Row],[Kitchen Set]],Table_NFI[Kitchen Set])</f>
        <v>#REF!</v>
      </c>
      <c r="AI201" s="586" t="e">
        <f>IF(NFI_Expiration=1,IF(#REF!&lt;VLOOKUP(R$5,NFI,5,0),1,0)*Table_NFI[[#This Row],[Clothes Kit]],Table_NFI[Clothes Kit])</f>
        <v>#REF!</v>
      </c>
      <c r="AJ201" s="586" t="e">
        <f>IF(NFI_Expiration=1,IF(#REF!&lt;VLOOKUP(S$5,NFI,5,0),1,0)*Table_NFI[[#This Row],[Plastic Bucket]],Table_NFI[Plastic Bucket])</f>
        <v>#REF!</v>
      </c>
      <c r="AK201" s="586" t="e">
        <f>IF(NFI_Expiration=1,IF(#REF!&lt;VLOOKUP(T$5,NFI,5,0),1,0)*Table_NFI[[#This Row],[Plastic Mat]],Table_NFI[Plastic Mat])*IF(Table_NFI[[#This Row],[Distribution Date]]&gt;"2014-04-01",1,2.5)</f>
        <v>#REF!</v>
      </c>
      <c r="AL201" s="586" t="e">
        <f>IF(NFI_Expiration=1,IF(#REF!&lt;VLOOKUP(U$5,NFI,5,0),1,0)*Table_NFI[[#This Row],[Winter Clothes Adult]],Table_NFI[Winter Clothes Adult])</f>
        <v>#REF!</v>
      </c>
      <c r="AM201" s="586"/>
      <c r="AN201" s="586"/>
      <c r="AO201" s="586"/>
      <c r="AP201" s="586">
        <f>IF(Table_NFI[[#This Row],[Winter Clothes Adult]]+Table_NFI[[#This Row],[Winter Clothes Children]]+Table_NFI[[#This Row],[Winter Items Other]]+Table_NFI[[#This Row],[Winter Blanket]]&gt;0,1,0)</f>
        <v>0</v>
      </c>
      <c r="AQ201" s="586"/>
      <c r="AR201" s="586"/>
      <c r="AS201" s="586"/>
      <c r="AT201" s="220" t="str">
        <f>IFERROR(VLOOKUP(Table_NFI[[#This Row],[Location]],CL,2,0),"")</f>
        <v>MMR001CMP230</v>
      </c>
      <c r="AU201" s="197"/>
    </row>
    <row r="202" spans="2:47" hidden="1" x14ac:dyDescent="0.25">
      <c r="B202" s="584">
        <v>43145</v>
      </c>
      <c r="C202" s="584" t="str">
        <f>MONTH(Table_NFI[[#This Row],[Distribution Date]]) &amp; "/" &amp; YEAR(Table_NFI[[#This Row],[Distribution Date]])</f>
        <v>2/2018</v>
      </c>
      <c r="D202" s="213" t="s">
        <v>1482</v>
      </c>
      <c r="E202" s="213"/>
      <c r="F202" s="213" t="s">
        <v>506</v>
      </c>
      <c r="G202" s="235" t="s">
        <v>297</v>
      </c>
      <c r="H202" s="213" t="s">
        <v>1285</v>
      </c>
      <c r="I202" s="197">
        <v>1</v>
      </c>
      <c r="J202" s="585"/>
      <c r="K202" s="585"/>
      <c r="L202" s="585"/>
      <c r="M202" s="585"/>
      <c r="N202" s="585"/>
      <c r="O202" s="585"/>
      <c r="P202" s="585"/>
      <c r="Q202" s="585"/>
      <c r="R202" s="585"/>
      <c r="S202" s="585"/>
      <c r="T202" s="585"/>
      <c r="U202" s="585"/>
      <c r="V202" s="585"/>
      <c r="W202" s="585"/>
      <c r="X202" s="585"/>
      <c r="Y202" s="585"/>
      <c r="Z202" s="585"/>
      <c r="AA202" s="585"/>
      <c r="AB202" s="585"/>
      <c r="AC202" s="586" t="e">
        <f>IF(NFI_Expiration=1,IF(#REF!&lt;VLOOKUP(L$5,NFI,5,0),1,0)*Table_NFI[[#This Row],[NFI Core Kit]],Table_NFI[NFI Core Kit])</f>
        <v>#REF!</v>
      </c>
      <c r="AD202" s="586" t="e">
        <f>IF(NFI_Expiration=1,IF(#REF!&lt;VLOOKUP(M$5,NFI,5,0),1,0)*Table_NFI[[#This Row],[Sanitary Kit]],Table_NFI[Sanitary Kit])</f>
        <v>#REF!</v>
      </c>
      <c r="AE202" s="586" t="e">
        <f>IF(NFI_Expiration=1,IF(#REF!&lt;VLOOKUP(N$5,NFI,5,0),1,0)*Table_NFI[[#This Row],[Mosquito net]],Table_NFI[Mosquito net])</f>
        <v>#REF!</v>
      </c>
      <c r="AF202" s="586" t="e">
        <f>IF(NFI_Expiration=1,IF(#REF!&lt;VLOOKUP(O$5,NFI,5,0),1,0)*Table_NFI[[#This Row],[Tarpaulin]],Table_NFI[[#This Row],[Tarpaulin]])</f>
        <v>#REF!</v>
      </c>
      <c r="AG202" s="586" t="e">
        <f>IF(NFI_Expiration=1,IF(#REF!&lt;VLOOKUP(P$5,NFI,5,0),1,0)*Table_NFI[[#This Row],[Blanket]],Table_NFI[[#This Row],[Blanket]])</f>
        <v>#REF!</v>
      </c>
      <c r="AH202" s="586" t="e">
        <f>IF(NFI_Expiration=1,IF(#REF!&lt;VLOOKUP(Q$5,NFI,5,0),1,0)*Table_NFI[[#This Row],[Kitchen Set]],Table_NFI[Kitchen Set])</f>
        <v>#REF!</v>
      </c>
      <c r="AI202" s="586" t="e">
        <f>IF(NFI_Expiration=1,IF(#REF!&lt;VLOOKUP(R$5,NFI,5,0),1,0)*Table_NFI[[#This Row],[Clothes Kit]],Table_NFI[Clothes Kit])</f>
        <v>#REF!</v>
      </c>
      <c r="AJ202" s="586" t="e">
        <f>IF(NFI_Expiration=1,IF(#REF!&lt;VLOOKUP(S$5,NFI,5,0),1,0)*Table_NFI[[#This Row],[Plastic Bucket]],Table_NFI[Plastic Bucket])</f>
        <v>#REF!</v>
      </c>
      <c r="AK202" s="586" t="e">
        <f>IF(NFI_Expiration=1,IF(#REF!&lt;VLOOKUP(T$5,NFI,5,0),1,0)*Table_NFI[[#This Row],[Plastic Mat]],Table_NFI[Plastic Mat])*IF(Table_NFI[[#This Row],[Distribution Date]]&gt;"2014-04-01",1,2.5)</f>
        <v>#REF!</v>
      </c>
      <c r="AL202" s="586" t="e">
        <f>IF(NFI_Expiration=1,IF(#REF!&lt;VLOOKUP(U$5,NFI,5,0),1,0)*Table_NFI[[#This Row],[Winter Clothes Adult]],Table_NFI[Winter Clothes Adult])</f>
        <v>#REF!</v>
      </c>
      <c r="AM202" s="586"/>
      <c r="AN202" s="586"/>
      <c r="AO202" s="586"/>
      <c r="AP202" s="586">
        <f>IF(Table_NFI[[#This Row],[Winter Clothes Adult]]+Table_NFI[[#This Row],[Winter Clothes Children]]+Table_NFI[[#This Row],[Winter Items Other]]+Table_NFI[[#This Row],[Winter Blanket]]&gt;0,1,0)</f>
        <v>0</v>
      </c>
      <c r="AQ202" s="586"/>
      <c r="AR202" s="586"/>
      <c r="AS202" s="586"/>
      <c r="AT202" s="220" t="str">
        <f>IFERROR(VLOOKUP(Table_NFI[[#This Row],[Location]],CL,2,0),"")</f>
        <v>MMR015CMP248</v>
      </c>
      <c r="AU202" s="197"/>
    </row>
    <row r="203" spans="2:47" hidden="1" x14ac:dyDescent="0.25">
      <c r="B203" s="584">
        <v>43145</v>
      </c>
      <c r="C203" s="584" t="str">
        <f>MONTH(Table_NFI[[#This Row],[Distribution Date]]) &amp; "/" &amp; YEAR(Table_NFI[[#This Row],[Distribution Date]])</f>
        <v>2/2018</v>
      </c>
      <c r="D203" s="213" t="s">
        <v>1482</v>
      </c>
      <c r="E203" s="213"/>
      <c r="F203" s="213" t="s">
        <v>506</v>
      </c>
      <c r="G203" s="235" t="s">
        <v>297</v>
      </c>
      <c r="H203" s="213" t="s">
        <v>1195</v>
      </c>
      <c r="I203" s="197">
        <v>1</v>
      </c>
      <c r="J203" s="585"/>
      <c r="K203" s="585"/>
      <c r="L203" s="585"/>
      <c r="M203" s="585"/>
      <c r="N203" s="585"/>
      <c r="O203" s="585"/>
      <c r="P203" s="585"/>
      <c r="Q203" s="585"/>
      <c r="R203" s="585"/>
      <c r="S203" s="585"/>
      <c r="T203" s="585"/>
      <c r="U203" s="585"/>
      <c r="V203" s="585"/>
      <c r="W203" s="585"/>
      <c r="X203" s="585"/>
      <c r="Y203" s="585"/>
      <c r="Z203" s="585"/>
      <c r="AA203" s="585"/>
      <c r="AB203" s="585"/>
      <c r="AC203" s="586" t="e">
        <f>IF(NFI_Expiration=1,IF(#REF!&lt;VLOOKUP(L$5,NFI,5,0),1,0)*Table_NFI[[#This Row],[NFI Core Kit]],Table_NFI[NFI Core Kit])</f>
        <v>#REF!</v>
      </c>
      <c r="AD203" s="586" t="e">
        <f>IF(NFI_Expiration=1,IF(#REF!&lt;VLOOKUP(M$5,NFI,5,0),1,0)*Table_NFI[[#This Row],[Sanitary Kit]],Table_NFI[Sanitary Kit])</f>
        <v>#REF!</v>
      </c>
      <c r="AE203" s="586" t="e">
        <f>IF(NFI_Expiration=1,IF(#REF!&lt;VLOOKUP(N$5,NFI,5,0),1,0)*Table_NFI[[#This Row],[Mosquito net]],Table_NFI[Mosquito net])</f>
        <v>#REF!</v>
      </c>
      <c r="AF203" s="586" t="e">
        <f>IF(NFI_Expiration=1,IF(#REF!&lt;VLOOKUP(O$5,NFI,5,0),1,0)*Table_NFI[[#This Row],[Tarpaulin]],Table_NFI[[#This Row],[Tarpaulin]])</f>
        <v>#REF!</v>
      </c>
      <c r="AG203" s="586" t="e">
        <f>IF(NFI_Expiration=1,IF(#REF!&lt;VLOOKUP(P$5,NFI,5,0),1,0)*Table_NFI[[#This Row],[Blanket]],Table_NFI[[#This Row],[Blanket]])</f>
        <v>#REF!</v>
      </c>
      <c r="AH203" s="586" t="e">
        <f>IF(NFI_Expiration=1,IF(#REF!&lt;VLOOKUP(Q$5,NFI,5,0),1,0)*Table_NFI[[#This Row],[Kitchen Set]],Table_NFI[Kitchen Set])</f>
        <v>#REF!</v>
      </c>
      <c r="AI203" s="586" t="e">
        <f>IF(NFI_Expiration=1,IF(#REF!&lt;VLOOKUP(R$5,NFI,5,0),1,0)*Table_NFI[[#This Row],[Clothes Kit]],Table_NFI[Clothes Kit])</f>
        <v>#REF!</v>
      </c>
      <c r="AJ203" s="586" t="e">
        <f>IF(NFI_Expiration=1,IF(#REF!&lt;VLOOKUP(S$5,NFI,5,0),1,0)*Table_NFI[[#This Row],[Plastic Bucket]],Table_NFI[Plastic Bucket])</f>
        <v>#REF!</v>
      </c>
      <c r="AK203" s="586" t="e">
        <f>IF(NFI_Expiration=1,IF(#REF!&lt;VLOOKUP(T$5,NFI,5,0),1,0)*Table_NFI[[#This Row],[Plastic Mat]],Table_NFI[Plastic Mat])*IF(Table_NFI[[#This Row],[Distribution Date]]&gt;"2014-04-01",1,2.5)</f>
        <v>#REF!</v>
      </c>
      <c r="AL203" s="586" t="e">
        <f>IF(NFI_Expiration=1,IF(#REF!&lt;VLOOKUP(U$5,NFI,5,0),1,0)*Table_NFI[[#This Row],[Winter Clothes Adult]],Table_NFI[Winter Clothes Adult])</f>
        <v>#REF!</v>
      </c>
      <c r="AM203" s="586"/>
      <c r="AN203" s="586"/>
      <c r="AO203" s="586"/>
      <c r="AP203" s="586">
        <f>IF(Table_NFI[[#This Row],[Winter Clothes Adult]]+Table_NFI[[#This Row],[Winter Clothes Children]]+Table_NFI[[#This Row],[Winter Items Other]]+Table_NFI[[#This Row],[Winter Blanket]]&gt;0,1,0)</f>
        <v>0</v>
      </c>
      <c r="AQ203" s="586"/>
      <c r="AR203" s="586"/>
      <c r="AS203" s="586"/>
      <c r="AT203" s="220" t="str">
        <f>IFERROR(VLOOKUP(Table_NFI[[#This Row],[Location]],CL,2,0),"")</f>
        <v>MMR015CMP232</v>
      </c>
      <c r="AU203" s="197"/>
    </row>
    <row r="204" spans="2:47" x14ac:dyDescent="0.25">
      <c r="B204" s="584">
        <v>43151</v>
      </c>
      <c r="C204" s="584" t="str">
        <f>MONTH(Table_NFI[[#This Row],[Distribution Date]]) &amp; "/" &amp; YEAR(Table_NFI[[#This Row],[Distribution Date]])</f>
        <v>2/2018</v>
      </c>
      <c r="D204" s="213" t="s">
        <v>1482</v>
      </c>
      <c r="E204" s="213"/>
      <c r="F204" s="213" t="s">
        <v>506</v>
      </c>
      <c r="G204" s="235" t="s">
        <v>1603</v>
      </c>
      <c r="H204" s="213" t="s">
        <v>1134</v>
      </c>
      <c r="I204" s="197"/>
      <c r="J204" s="585">
        <v>2</v>
      </c>
      <c r="K204" s="585"/>
      <c r="L204" s="585"/>
      <c r="M204" s="585"/>
      <c r="N204" s="585">
        <v>2</v>
      </c>
      <c r="O204" s="585"/>
      <c r="P204" s="585">
        <v>2</v>
      </c>
      <c r="Q204" s="585">
        <v>2</v>
      </c>
      <c r="R204" s="585"/>
      <c r="S204" s="585"/>
      <c r="T204" s="585"/>
      <c r="U204" s="585">
        <v>2</v>
      </c>
      <c r="V204" s="585">
        <v>2</v>
      </c>
      <c r="W204" s="585">
        <v>2</v>
      </c>
      <c r="X204" s="585"/>
      <c r="Y204" s="585"/>
      <c r="Z204" s="585"/>
      <c r="AA204" s="585"/>
      <c r="AB204" s="585"/>
      <c r="AC204" s="586" t="e">
        <f>IF(NFI_Expiration=1,IF(#REF!&lt;VLOOKUP(L$5,NFI,5,0),1,0)*Table_NFI[[#This Row],[NFI Core Kit]],Table_NFI[NFI Core Kit])</f>
        <v>#REF!</v>
      </c>
      <c r="AD204" s="586" t="e">
        <f>IF(NFI_Expiration=1,IF(#REF!&lt;VLOOKUP(M$5,NFI,5,0),1,0)*Table_NFI[[#This Row],[Sanitary Kit]],Table_NFI[Sanitary Kit])</f>
        <v>#REF!</v>
      </c>
      <c r="AE204" s="586" t="e">
        <f>IF(NFI_Expiration=1,IF(#REF!&lt;VLOOKUP(N$5,NFI,5,0),1,0)*Table_NFI[[#This Row],[Mosquito net]],Table_NFI[Mosquito net])</f>
        <v>#REF!</v>
      </c>
      <c r="AF204" s="586" t="e">
        <f>IF(NFI_Expiration=1,IF(#REF!&lt;VLOOKUP(O$5,NFI,5,0),1,0)*Table_NFI[[#This Row],[Tarpaulin]],Table_NFI[[#This Row],[Tarpaulin]])</f>
        <v>#REF!</v>
      </c>
      <c r="AG204" s="586" t="e">
        <f>IF(NFI_Expiration=1,IF(#REF!&lt;VLOOKUP(P$5,NFI,5,0),1,0)*Table_NFI[[#This Row],[Blanket]],Table_NFI[[#This Row],[Blanket]])</f>
        <v>#REF!</v>
      </c>
      <c r="AH204" s="586" t="e">
        <f>IF(NFI_Expiration=1,IF(#REF!&lt;VLOOKUP(Q$5,NFI,5,0),1,0)*Table_NFI[[#This Row],[Kitchen Set]],Table_NFI[Kitchen Set])</f>
        <v>#REF!</v>
      </c>
      <c r="AI204" s="586" t="e">
        <f>IF(NFI_Expiration=1,IF(#REF!&lt;VLOOKUP(R$5,NFI,5,0),1,0)*Table_NFI[[#This Row],[Clothes Kit]],Table_NFI[Clothes Kit])</f>
        <v>#REF!</v>
      </c>
      <c r="AJ204" s="586" t="e">
        <f>IF(NFI_Expiration=1,IF(#REF!&lt;VLOOKUP(S$5,NFI,5,0),1,0)*Table_NFI[[#This Row],[Plastic Bucket]],Table_NFI[Plastic Bucket])</f>
        <v>#REF!</v>
      </c>
      <c r="AK204" s="586" t="e">
        <f>IF(NFI_Expiration=1,IF(#REF!&lt;VLOOKUP(T$5,NFI,5,0),1,0)*Table_NFI[[#This Row],[Plastic Mat]],Table_NFI[Plastic Mat])*IF(Table_NFI[[#This Row],[Distribution Date]]&gt;"2014-04-01",1,2.5)</f>
        <v>#REF!</v>
      </c>
      <c r="AL204" s="586" t="e">
        <f>IF(NFI_Expiration=1,IF(#REF!&lt;VLOOKUP(U$5,NFI,5,0),1,0)*Table_NFI[[#This Row],[Winter Clothes Adult]],Table_NFI[Winter Clothes Adult])</f>
        <v>#REF!</v>
      </c>
      <c r="AM204" s="586"/>
      <c r="AN204" s="586"/>
      <c r="AO204" s="586"/>
      <c r="AP204" s="586">
        <f>IF(Table_NFI[[#This Row],[Winter Clothes Adult]]+Table_NFI[[#This Row],[Winter Clothes Children]]+Table_NFI[[#This Row],[Winter Items Other]]+Table_NFI[[#This Row],[Winter Blanket]]&gt;0,1,0)</f>
        <v>1</v>
      </c>
      <c r="AQ204" s="586"/>
      <c r="AR204" s="586"/>
      <c r="AS204" s="586"/>
      <c r="AT204" s="220" t="str">
        <f>IFERROR(VLOOKUP(Table_NFI[[#This Row],[Location]],CL,2,0),"")</f>
        <v>MMR015CMP224</v>
      </c>
      <c r="AU204" s="197"/>
    </row>
    <row r="205" spans="2:47" x14ac:dyDescent="0.25">
      <c r="B205" s="584">
        <v>43152</v>
      </c>
      <c r="C205" s="584" t="str">
        <f>MONTH(Table_NFI[[#This Row],[Distribution Date]]) &amp; "/" &amp; YEAR(Table_NFI[[#This Row],[Distribution Date]])</f>
        <v>2/2018</v>
      </c>
      <c r="D205" s="213" t="s">
        <v>1482</v>
      </c>
      <c r="E205" s="213"/>
      <c r="F205" s="213" t="s">
        <v>506</v>
      </c>
      <c r="G205" s="235" t="s">
        <v>1603</v>
      </c>
      <c r="H205" s="213" t="s">
        <v>1134</v>
      </c>
      <c r="I205" s="197">
        <v>1</v>
      </c>
      <c r="J205" s="585"/>
      <c r="K205" s="585"/>
      <c r="L205" s="585"/>
      <c r="M205" s="585"/>
      <c r="N205" s="585"/>
      <c r="O205" s="585"/>
      <c r="P205" s="585"/>
      <c r="Q205" s="585"/>
      <c r="R205" s="585"/>
      <c r="S205" s="585"/>
      <c r="T205" s="585"/>
      <c r="U205" s="585"/>
      <c r="V205" s="585"/>
      <c r="W205" s="585"/>
      <c r="X205" s="585"/>
      <c r="Y205" s="585"/>
      <c r="Z205" s="585"/>
      <c r="AA205" s="585"/>
      <c r="AB205" s="585"/>
      <c r="AC205" s="586" t="e">
        <f>IF(NFI_Expiration=1,IF(#REF!&lt;VLOOKUP(L$5,NFI,5,0),1,0)*Table_NFI[[#This Row],[NFI Core Kit]],Table_NFI[NFI Core Kit])</f>
        <v>#REF!</v>
      </c>
      <c r="AD205" s="586" t="e">
        <f>IF(NFI_Expiration=1,IF(#REF!&lt;VLOOKUP(M$5,NFI,5,0),1,0)*Table_NFI[[#This Row],[Sanitary Kit]],Table_NFI[Sanitary Kit])</f>
        <v>#REF!</v>
      </c>
      <c r="AE205" s="586" t="e">
        <f>IF(NFI_Expiration=1,IF(#REF!&lt;VLOOKUP(N$5,NFI,5,0),1,0)*Table_NFI[[#This Row],[Mosquito net]],Table_NFI[Mosquito net])</f>
        <v>#REF!</v>
      </c>
      <c r="AF205" s="586" t="e">
        <f>IF(NFI_Expiration=1,IF(#REF!&lt;VLOOKUP(O$5,NFI,5,0),1,0)*Table_NFI[[#This Row],[Tarpaulin]],Table_NFI[[#This Row],[Tarpaulin]])</f>
        <v>#REF!</v>
      </c>
      <c r="AG205" s="586" t="e">
        <f>IF(NFI_Expiration=1,IF(#REF!&lt;VLOOKUP(P$5,NFI,5,0),1,0)*Table_NFI[[#This Row],[Blanket]],Table_NFI[[#This Row],[Blanket]])</f>
        <v>#REF!</v>
      </c>
      <c r="AH205" s="586" t="e">
        <f>IF(NFI_Expiration=1,IF(#REF!&lt;VLOOKUP(Q$5,NFI,5,0),1,0)*Table_NFI[[#This Row],[Kitchen Set]],Table_NFI[Kitchen Set])</f>
        <v>#REF!</v>
      </c>
      <c r="AI205" s="586" t="e">
        <f>IF(NFI_Expiration=1,IF(#REF!&lt;VLOOKUP(R$5,NFI,5,0),1,0)*Table_NFI[[#This Row],[Clothes Kit]],Table_NFI[Clothes Kit])</f>
        <v>#REF!</v>
      </c>
      <c r="AJ205" s="586" t="e">
        <f>IF(NFI_Expiration=1,IF(#REF!&lt;VLOOKUP(S$5,NFI,5,0),1,0)*Table_NFI[[#This Row],[Plastic Bucket]],Table_NFI[Plastic Bucket])</f>
        <v>#REF!</v>
      </c>
      <c r="AK205" s="586" t="e">
        <f>IF(NFI_Expiration=1,IF(#REF!&lt;VLOOKUP(T$5,NFI,5,0),1,0)*Table_NFI[[#This Row],[Plastic Mat]],Table_NFI[Plastic Mat])*IF(Table_NFI[[#This Row],[Distribution Date]]&gt;"2014-04-01",1,2.5)</f>
        <v>#REF!</v>
      </c>
      <c r="AL205" s="586" t="e">
        <f>IF(NFI_Expiration=1,IF(#REF!&lt;VLOOKUP(U$5,NFI,5,0),1,0)*Table_NFI[[#This Row],[Winter Clothes Adult]],Table_NFI[Winter Clothes Adult])</f>
        <v>#REF!</v>
      </c>
      <c r="AM205" s="586"/>
      <c r="AN205" s="586"/>
      <c r="AO205" s="586"/>
      <c r="AP205" s="586">
        <f>IF(Table_NFI[[#This Row],[Winter Clothes Adult]]+Table_NFI[[#This Row],[Winter Clothes Children]]+Table_NFI[[#This Row],[Winter Items Other]]+Table_NFI[[#This Row],[Winter Blanket]]&gt;0,1,0)</f>
        <v>0</v>
      </c>
      <c r="AQ205" s="586"/>
      <c r="AR205" s="586"/>
      <c r="AS205" s="586"/>
      <c r="AT205" s="220" t="str">
        <f>IFERROR(VLOOKUP(Table_NFI[[#This Row],[Location]],CL,2,0),"")</f>
        <v>MMR015CMP224</v>
      </c>
      <c r="AU205" s="197"/>
    </row>
    <row r="206" spans="2:47" hidden="1" x14ac:dyDescent="0.25">
      <c r="B206" s="584">
        <v>43166</v>
      </c>
      <c r="C206" s="584" t="str">
        <f>MONTH(Table_NFI[[#This Row],[Distribution Date]]) &amp; "/" &amp; YEAR(Table_NFI[[#This Row],[Distribution Date]])</f>
        <v>3/2018</v>
      </c>
      <c r="D206" s="213" t="s">
        <v>1482</v>
      </c>
      <c r="E206" s="213"/>
      <c r="F206" s="213" t="s">
        <v>378</v>
      </c>
      <c r="G206" s="235" t="s">
        <v>151</v>
      </c>
      <c r="H206" s="213" t="s">
        <v>154</v>
      </c>
      <c r="I206" s="197">
        <v>2</v>
      </c>
      <c r="J206" s="585"/>
      <c r="K206" s="585"/>
      <c r="L206" s="585"/>
      <c r="M206" s="585"/>
      <c r="N206" s="585"/>
      <c r="O206" s="585"/>
      <c r="P206" s="585"/>
      <c r="Q206" s="585"/>
      <c r="R206" s="585"/>
      <c r="S206" s="585"/>
      <c r="T206" s="585"/>
      <c r="U206" s="585"/>
      <c r="V206" s="585"/>
      <c r="W206" s="585"/>
      <c r="X206" s="585"/>
      <c r="Y206" s="585"/>
      <c r="Z206" s="585"/>
      <c r="AA206" s="585"/>
      <c r="AB206" s="585"/>
      <c r="AC206" s="586" t="e">
        <f>IF(NFI_Expiration=1,IF(#REF!&lt;VLOOKUP(L$5,NFI,5,0),1,0)*Table_NFI[[#This Row],[NFI Core Kit]],Table_NFI[NFI Core Kit])</f>
        <v>#REF!</v>
      </c>
      <c r="AD206" s="586" t="e">
        <f>IF(NFI_Expiration=1,IF(#REF!&lt;VLOOKUP(M$5,NFI,5,0),1,0)*Table_NFI[[#This Row],[Sanitary Kit]],Table_NFI[Sanitary Kit])</f>
        <v>#REF!</v>
      </c>
      <c r="AE206" s="586" t="e">
        <f>IF(NFI_Expiration=1,IF(#REF!&lt;VLOOKUP(N$5,NFI,5,0),1,0)*Table_NFI[[#This Row],[Mosquito net]],Table_NFI[Mosquito net])</f>
        <v>#REF!</v>
      </c>
      <c r="AF206" s="586" t="e">
        <f>IF(NFI_Expiration=1,IF(#REF!&lt;VLOOKUP(O$5,NFI,5,0),1,0)*Table_NFI[[#This Row],[Tarpaulin]],Table_NFI[[#This Row],[Tarpaulin]])</f>
        <v>#REF!</v>
      </c>
      <c r="AG206" s="586" t="e">
        <f>IF(NFI_Expiration=1,IF(#REF!&lt;VLOOKUP(P$5,NFI,5,0),1,0)*Table_NFI[[#This Row],[Blanket]],Table_NFI[[#This Row],[Blanket]])</f>
        <v>#REF!</v>
      </c>
      <c r="AH206" s="586" t="e">
        <f>IF(NFI_Expiration=1,IF(#REF!&lt;VLOOKUP(Q$5,NFI,5,0),1,0)*Table_NFI[[#This Row],[Kitchen Set]],Table_NFI[Kitchen Set])</f>
        <v>#REF!</v>
      </c>
      <c r="AI206" s="586" t="e">
        <f>IF(NFI_Expiration=1,IF(#REF!&lt;VLOOKUP(R$5,NFI,5,0),1,0)*Table_NFI[[#This Row],[Clothes Kit]],Table_NFI[Clothes Kit])</f>
        <v>#REF!</v>
      </c>
      <c r="AJ206" s="586" t="e">
        <f>IF(NFI_Expiration=1,IF(#REF!&lt;VLOOKUP(S$5,NFI,5,0),1,0)*Table_NFI[[#This Row],[Plastic Bucket]],Table_NFI[Plastic Bucket])</f>
        <v>#REF!</v>
      </c>
      <c r="AK206" s="586" t="e">
        <f>IF(NFI_Expiration=1,IF(#REF!&lt;VLOOKUP(T$5,NFI,5,0),1,0)*Table_NFI[[#This Row],[Plastic Mat]],Table_NFI[Plastic Mat])*IF(Table_NFI[[#This Row],[Distribution Date]]&gt;"2014-04-01",1,2.5)</f>
        <v>#REF!</v>
      </c>
      <c r="AL206" s="586" t="e">
        <f>IF(NFI_Expiration=1,IF(#REF!&lt;VLOOKUP(U$5,NFI,5,0),1,0)*Table_NFI[[#This Row],[Winter Clothes Adult]],Table_NFI[Winter Clothes Adult])</f>
        <v>#REF!</v>
      </c>
      <c r="AM206" s="586"/>
      <c r="AN206" s="586"/>
      <c r="AO206" s="586"/>
      <c r="AP206" s="586">
        <f>IF(Table_NFI[[#This Row],[Winter Clothes Adult]]+Table_NFI[[#This Row],[Winter Clothes Children]]+Table_NFI[[#This Row],[Winter Items Other]]+Table_NFI[[#This Row],[Winter Blanket]]&gt;0,1,0)</f>
        <v>0</v>
      </c>
      <c r="AQ206" s="586"/>
      <c r="AR206" s="586"/>
      <c r="AS206" s="586"/>
      <c r="AT206" s="220" t="str">
        <f>IFERROR(VLOOKUP(Table_NFI[[#This Row],[Location]],CL,2,0),"")</f>
        <v>MMR001CMP132</v>
      </c>
      <c r="AU206" s="197"/>
    </row>
    <row r="207" spans="2:47" hidden="1" x14ac:dyDescent="0.25">
      <c r="B207" s="584">
        <v>43175</v>
      </c>
      <c r="C207" s="584" t="str">
        <f>MONTH(Table_NFI[[#This Row],[Distribution Date]]) &amp; "/" &amp; YEAR(Table_NFI[[#This Row],[Distribution Date]])</f>
        <v>3/2018</v>
      </c>
      <c r="D207" s="213" t="s">
        <v>1482</v>
      </c>
      <c r="E207" s="213"/>
      <c r="F207" s="213" t="s">
        <v>378</v>
      </c>
      <c r="G207" s="235" t="s">
        <v>151</v>
      </c>
      <c r="H207" s="213" t="s">
        <v>154</v>
      </c>
      <c r="I207" s="197"/>
      <c r="J207" s="585">
        <v>16</v>
      </c>
      <c r="K207" s="585"/>
      <c r="L207" s="585"/>
      <c r="M207" s="585"/>
      <c r="N207" s="585"/>
      <c r="O207" s="585"/>
      <c r="P207" s="585"/>
      <c r="Q207" s="585">
        <v>16</v>
      </c>
      <c r="R207" s="585"/>
      <c r="S207" s="585"/>
      <c r="T207" s="585"/>
      <c r="U207" s="585">
        <v>16</v>
      </c>
      <c r="V207" s="585">
        <v>16</v>
      </c>
      <c r="W207" s="585">
        <v>16</v>
      </c>
      <c r="X207" s="585">
        <v>16</v>
      </c>
      <c r="Y207" s="585"/>
      <c r="Z207" s="585"/>
      <c r="AA207" s="585"/>
      <c r="AB207" s="585"/>
      <c r="AC207" s="586" t="e">
        <f>IF(NFI_Expiration=1,IF(#REF!&lt;VLOOKUP(L$5,NFI,5,0),1,0)*Table_NFI[[#This Row],[NFI Core Kit]],Table_NFI[NFI Core Kit])</f>
        <v>#REF!</v>
      </c>
      <c r="AD207" s="586" t="e">
        <f>IF(NFI_Expiration=1,IF(#REF!&lt;VLOOKUP(M$5,NFI,5,0),1,0)*Table_NFI[[#This Row],[Sanitary Kit]],Table_NFI[Sanitary Kit])</f>
        <v>#REF!</v>
      </c>
      <c r="AE207" s="586" t="e">
        <f>IF(NFI_Expiration=1,IF(#REF!&lt;VLOOKUP(N$5,NFI,5,0),1,0)*Table_NFI[[#This Row],[Mosquito net]],Table_NFI[Mosquito net])</f>
        <v>#REF!</v>
      </c>
      <c r="AF207" s="586" t="e">
        <f>IF(NFI_Expiration=1,IF(#REF!&lt;VLOOKUP(O$5,NFI,5,0),1,0)*Table_NFI[[#This Row],[Tarpaulin]],Table_NFI[[#This Row],[Tarpaulin]])</f>
        <v>#REF!</v>
      </c>
      <c r="AG207" s="586" t="e">
        <f>IF(NFI_Expiration=1,IF(#REF!&lt;VLOOKUP(P$5,NFI,5,0),1,0)*Table_NFI[[#This Row],[Blanket]],Table_NFI[[#This Row],[Blanket]])</f>
        <v>#REF!</v>
      </c>
      <c r="AH207" s="586" t="e">
        <f>IF(NFI_Expiration=1,IF(#REF!&lt;VLOOKUP(Q$5,NFI,5,0),1,0)*Table_NFI[[#This Row],[Kitchen Set]],Table_NFI[Kitchen Set])</f>
        <v>#REF!</v>
      </c>
      <c r="AI207" s="586" t="e">
        <f>IF(NFI_Expiration=1,IF(#REF!&lt;VLOOKUP(R$5,NFI,5,0),1,0)*Table_NFI[[#This Row],[Clothes Kit]],Table_NFI[Clothes Kit])</f>
        <v>#REF!</v>
      </c>
      <c r="AJ207" s="586" t="e">
        <f>IF(NFI_Expiration=1,IF(#REF!&lt;VLOOKUP(S$5,NFI,5,0),1,0)*Table_NFI[[#This Row],[Plastic Bucket]],Table_NFI[Plastic Bucket])</f>
        <v>#REF!</v>
      </c>
      <c r="AK207" s="586" t="e">
        <f>IF(NFI_Expiration=1,IF(#REF!&lt;VLOOKUP(T$5,NFI,5,0),1,0)*Table_NFI[[#This Row],[Plastic Mat]],Table_NFI[Plastic Mat])*IF(Table_NFI[[#This Row],[Distribution Date]]&gt;"2014-04-01",1,2.5)</f>
        <v>#REF!</v>
      </c>
      <c r="AL207" s="586" t="e">
        <f>IF(NFI_Expiration=1,IF(#REF!&lt;VLOOKUP(U$5,NFI,5,0),1,0)*Table_NFI[[#This Row],[Winter Clothes Adult]],Table_NFI[Winter Clothes Adult])</f>
        <v>#REF!</v>
      </c>
      <c r="AM207" s="586"/>
      <c r="AN207" s="586"/>
      <c r="AO207" s="586"/>
      <c r="AP207" s="586">
        <f>IF(Table_NFI[[#This Row],[Winter Clothes Adult]]+Table_NFI[[#This Row],[Winter Clothes Children]]+Table_NFI[[#This Row],[Winter Items Other]]+Table_NFI[[#This Row],[Winter Blanket]]&gt;0,1,0)</f>
        <v>1</v>
      </c>
      <c r="AQ207" s="586"/>
      <c r="AR207" s="586"/>
      <c r="AS207" s="586"/>
      <c r="AT207" s="220" t="str">
        <f>IFERROR(VLOOKUP(Table_NFI[[#This Row],[Location]],CL,2,0),"")</f>
        <v>MMR001CMP132</v>
      </c>
      <c r="AU207" s="197"/>
    </row>
    <row r="208" spans="2:47" hidden="1" x14ac:dyDescent="0.25">
      <c r="B208" s="584">
        <v>43185</v>
      </c>
      <c r="C208" s="584" t="str">
        <f>MONTH(Table_NFI[[#This Row],[Distribution Date]]) &amp; "/" &amp; YEAR(Table_NFI[[#This Row],[Distribution Date]])</f>
        <v>3/2018</v>
      </c>
      <c r="D208" s="213" t="s">
        <v>1482</v>
      </c>
      <c r="E208" s="213"/>
      <c r="F208" s="213" t="s">
        <v>506</v>
      </c>
      <c r="G208" s="235" t="s">
        <v>297</v>
      </c>
      <c r="H208" s="213" t="s">
        <v>1141</v>
      </c>
      <c r="I208" s="197"/>
      <c r="J208" s="585"/>
      <c r="K208" s="585"/>
      <c r="L208" s="585"/>
      <c r="M208" s="585"/>
      <c r="N208" s="585"/>
      <c r="O208" s="585"/>
      <c r="P208" s="585"/>
      <c r="Q208" s="585"/>
      <c r="R208" s="585"/>
      <c r="S208" s="585"/>
      <c r="T208" s="585"/>
      <c r="U208" s="585"/>
      <c r="V208" s="585"/>
      <c r="W208" s="585"/>
      <c r="X208" s="585"/>
      <c r="Y208" s="585"/>
      <c r="Z208" s="585"/>
      <c r="AA208" s="585">
        <v>14</v>
      </c>
      <c r="AB208" s="585"/>
      <c r="AC208" s="586" t="e">
        <f>IF(NFI_Expiration=1,IF(#REF!&lt;VLOOKUP(L$5,NFI,5,0),1,0)*Table_NFI[[#This Row],[NFI Core Kit]],Table_NFI[NFI Core Kit])</f>
        <v>#REF!</v>
      </c>
      <c r="AD208" s="586" t="e">
        <f>IF(NFI_Expiration=1,IF(#REF!&lt;VLOOKUP(M$5,NFI,5,0),1,0)*Table_NFI[[#This Row],[Sanitary Kit]],Table_NFI[Sanitary Kit])</f>
        <v>#REF!</v>
      </c>
      <c r="AE208" s="586" t="e">
        <f>IF(NFI_Expiration=1,IF(#REF!&lt;VLOOKUP(N$5,NFI,5,0),1,0)*Table_NFI[[#This Row],[Mosquito net]],Table_NFI[Mosquito net])</f>
        <v>#REF!</v>
      </c>
      <c r="AF208" s="586" t="e">
        <f>IF(NFI_Expiration=1,IF(#REF!&lt;VLOOKUP(O$5,NFI,5,0),1,0)*Table_NFI[[#This Row],[Tarpaulin]],Table_NFI[[#This Row],[Tarpaulin]])</f>
        <v>#REF!</v>
      </c>
      <c r="AG208" s="586" t="e">
        <f>IF(NFI_Expiration=1,IF(#REF!&lt;VLOOKUP(P$5,NFI,5,0),1,0)*Table_NFI[[#This Row],[Blanket]],Table_NFI[[#This Row],[Blanket]])</f>
        <v>#REF!</v>
      </c>
      <c r="AH208" s="586" t="e">
        <f>IF(NFI_Expiration=1,IF(#REF!&lt;VLOOKUP(Q$5,NFI,5,0),1,0)*Table_NFI[[#This Row],[Kitchen Set]],Table_NFI[Kitchen Set])</f>
        <v>#REF!</v>
      </c>
      <c r="AI208" s="586" t="e">
        <f>IF(NFI_Expiration=1,IF(#REF!&lt;VLOOKUP(R$5,NFI,5,0),1,0)*Table_NFI[[#This Row],[Clothes Kit]],Table_NFI[Clothes Kit])</f>
        <v>#REF!</v>
      </c>
      <c r="AJ208" s="586" t="e">
        <f>IF(NFI_Expiration=1,IF(#REF!&lt;VLOOKUP(S$5,NFI,5,0),1,0)*Table_NFI[[#This Row],[Plastic Bucket]],Table_NFI[Plastic Bucket])</f>
        <v>#REF!</v>
      </c>
      <c r="AK208" s="586" t="e">
        <f>IF(NFI_Expiration=1,IF(#REF!&lt;VLOOKUP(T$5,NFI,5,0),1,0)*Table_NFI[[#This Row],[Plastic Mat]],Table_NFI[Plastic Mat])*IF(Table_NFI[[#This Row],[Distribution Date]]&gt;"2014-04-01",1,2.5)</f>
        <v>#REF!</v>
      </c>
      <c r="AL208" s="586" t="e">
        <f>IF(NFI_Expiration=1,IF(#REF!&lt;VLOOKUP(U$5,NFI,5,0),1,0)*Table_NFI[[#This Row],[Winter Clothes Adult]],Table_NFI[Winter Clothes Adult])</f>
        <v>#REF!</v>
      </c>
      <c r="AM208" s="586"/>
      <c r="AN208" s="586"/>
      <c r="AO208" s="586"/>
      <c r="AP208" s="586">
        <f>IF(Table_NFI[[#This Row],[Winter Clothes Adult]]+Table_NFI[[#This Row],[Winter Clothes Children]]+Table_NFI[[#This Row],[Winter Items Other]]+Table_NFI[[#This Row],[Winter Blanket]]&gt;0,1,0)</f>
        <v>0</v>
      </c>
      <c r="AQ208" s="586"/>
      <c r="AR208" s="586"/>
      <c r="AS208" s="586"/>
      <c r="AT208" s="220" t="str">
        <f>IFERROR(VLOOKUP(Table_NFI[[#This Row],[Location]],CL,2,0),"")</f>
        <v>MMR015CMP221</v>
      </c>
      <c r="AU208" s="197" t="s">
        <v>1668</v>
      </c>
    </row>
    <row r="209" spans="2:47" hidden="1" x14ac:dyDescent="0.25">
      <c r="B209" s="584">
        <v>43180</v>
      </c>
      <c r="C209" s="584" t="str">
        <f>MONTH(Table_NFI[[#This Row],[Distribution Date]]) &amp; "/" &amp; YEAR(Table_NFI[[#This Row],[Distribution Date]])</f>
        <v>3/2018</v>
      </c>
      <c r="D209" s="213" t="s">
        <v>1268</v>
      </c>
      <c r="E209" s="213" t="s">
        <v>424</v>
      </c>
      <c r="F209" s="213" t="s">
        <v>378</v>
      </c>
      <c r="G209" s="235" t="s">
        <v>185</v>
      </c>
      <c r="H209" s="213" t="s">
        <v>209</v>
      </c>
      <c r="I209" s="197"/>
      <c r="J209" s="585"/>
      <c r="K209" s="585"/>
      <c r="L209" s="585"/>
      <c r="M209" s="585"/>
      <c r="N209" s="585"/>
      <c r="O209" s="585"/>
      <c r="P209" s="585">
        <v>124</v>
      </c>
      <c r="Q209" s="585"/>
      <c r="R209" s="585"/>
      <c r="S209" s="585"/>
      <c r="T209" s="585">
        <v>124</v>
      </c>
      <c r="U209" s="585"/>
      <c r="V209" s="585"/>
      <c r="W209" s="585"/>
      <c r="X209" s="585"/>
      <c r="Y209" s="585"/>
      <c r="Z209" s="585"/>
      <c r="AA209" s="585"/>
      <c r="AB209" s="585"/>
      <c r="AC209" s="586" t="e">
        <f>IF(NFI_Expiration=1,IF(#REF!&lt;VLOOKUP(L$5,NFI,5,0),1,0)*Table_NFI[[#This Row],[NFI Core Kit]],Table_NFI[NFI Core Kit])</f>
        <v>#REF!</v>
      </c>
      <c r="AD209" s="586" t="e">
        <f>IF(NFI_Expiration=1,IF(#REF!&lt;VLOOKUP(M$5,NFI,5,0),1,0)*Table_NFI[[#This Row],[Sanitary Kit]],Table_NFI[Sanitary Kit])</f>
        <v>#REF!</v>
      </c>
      <c r="AE209" s="586" t="e">
        <f>IF(NFI_Expiration=1,IF(#REF!&lt;VLOOKUP(N$5,NFI,5,0),1,0)*Table_NFI[[#This Row],[Mosquito net]],Table_NFI[Mosquito net])</f>
        <v>#REF!</v>
      </c>
      <c r="AF209" s="586" t="e">
        <f>IF(NFI_Expiration=1,IF(#REF!&lt;VLOOKUP(O$5,NFI,5,0),1,0)*Table_NFI[[#This Row],[Tarpaulin]],Table_NFI[[#This Row],[Tarpaulin]])</f>
        <v>#REF!</v>
      </c>
      <c r="AG209" s="586" t="e">
        <f>IF(NFI_Expiration=1,IF(#REF!&lt;VLOOKUP(P$5,NFI,5,0),1,0)*Table_NFI[[#This Row],[Blanket]],Table_NFI[[#This Row],[Blanket]])</f>
        <v>#REF!</v>
      </c>
      <c r="AH209" s="586" t="e">
        <f>IF(NFI_Expiration=1,IF(#REF!&lt;VLOOKUP(Q$5,NFI,5,0),1,0)*Table_NFI[[#This Row],[Kitchen Set]],Table_NFI[Kitchen Set])</f>
        <v>#REF!</v>
      </c>
      <c r="AI209" s="586" t="e">
        <f>IF(NFI_Expiration=1,IF(#REF!&lt;VLOOKUP(R$5,NFI,5,0),1,0)*Table_NFI[[#This Row],[Clothes Kit]],Table_NFI[Clothes Kit])</f>
        <v>#REF!</v>
      </c>
      <c r="AJ209" s="586" t="e">
        <f>IF(NFI_Expiration=1,IF(#REF!&lt;VLOOKUP(S$5,NFI,5,0),1,0)*Table_NFI[[#This Row],[Plastic Bucket]],Table_NFI[Plastic Bucket])</f>
        <v>#REF!</v>
      </c>
      <c r="AK209" s="586" t="e">
        <f>IF(NFI_Expiration=1,IF(#REF!&lt;VLOOKUP(T$5,NFI,5,0),1,0)*Table_NFI[[#This Row],[Plastic Mat]],Table_NFI[Plastic Mat])*IF(Table_NFI[[#This Row],[Distribution Date]]&gt;"2014-04-01",1,2.5)</f>
        <v>#REF!</v>
      </c>
      <c r="AL209" s="586" t="e">
        <f>IF(NFI_Expiration=1,IF(#REF!&lt;VLOOKUP(U$5,NFI,5,0),1,0)*Table_NFI[[#This Row],[Winter Clothes Adult]],Table_NFI[Winter Clothes Adult])</f>
        <v>#REF!</v>
      </c>
      <c r="AM209" s="586"/>
      <c r="AN209" s="586"/>
      <c r="AO209" s="586"/>
      <c r="AP209" s="586">
        <f>IF(Table_NFI[[#This Row],[Winter Clothes Adult]]+Table_NFI[[#This Row],[Winter Clothes Children]]+Table_NFI[[#This Row],[Winter Items Other]]+Table_NFI[[#This Row],[Winter Blanket]]&gt;0,1,0)</f>
        <v>0</v>
      </c>
      <c r="AQ209" s="586"/>
      <c r="AR209" s="586"/>
      <c r="AS209" s="586"/>
      <c r="AT209" s="220" t="str">
        <f>IFERROR(VLOOKUP(Table_NFI[[#This Row],[Location]],CL,2,0),"")</f>
        <v>MMR001CMP056</v>
      </c>
      <c r="AU209" s="197" t="s">
        <v>1670</v>
      </c>
    </row>
    <row r="210" spans="2:47" hidden="1" x14ac:dyDescent="0.25">
      <c r="B210" s="584">
        <v>43187</v>
      </c>
      <c r="C210" s="584" t="str">
        <f>MONTH(Table_NFI[[#This Row],[Distribution Date]]) &amp; "/" &amp; YEAR(Table_NFI[[#This Row],[Distribution Date]])</f>
        <v>3/2018</v>
      </c>
      <c r="D210" s="213" t="s">
        <v>1268</v>
      </c>
      <c r="E210" s="213"/>
      <c r="F210" s="213" t="s">
        <v>378</v>
      </c>
      <c r="G210" s="235" t="s">
        <v>185</v>
      </c>
      <c r="H210" s="213" t="s">
        <v>12</v>
      </c>
      <c r="I210" s="197"/>
      <c r="J210" s="585"/>
      <c r="K210" s="585"/>
      <c r="L210" s="585"/>
      <c r="M210" s="585"/>
      <c r="N210" s="585"/>
      <c r="O210" s="585"/>
      <c r="P210" s="585">
        <v>387</v>
      </c>
      <c r="Q210" s="585"/>
      <c r="R210" s="585"/>
      <c r="S210" s="585"/>
      <c r="T210" s="585">
        <v>387</v>
      </c>
      <c r="U210" s="585"/>
      <c r="V210" s="585"/>
      <c r="W210" s="585"/>
      <c r="X210" s="585"/>
      <c r="Y210" s="585"/>
      <c r="Z210" s="585"/>
      <c r="AA210" s="585"/>
      <c r="AB210" s="585"/>
      <c r="AC210" s="586" t="e">
        <f>IF(NFI_Expiration=1,IF(#REF!&lt;VLOOKUP(L$5,NFI,5,0),1,0)*Table_NFI[[#This Row],[NFI Core Kit]],Table_NFI[NFI Core Kit])</f>
        <v>#REF!</v>
      </c>
      <c r="AD210" s="586" t="e">
        <f>IF(NFI_Expiration=1,IF(#REF!&lt;VLOOKUP(M$5,NFI,5,0),1,0)*Table_NFI[[#This Row],[Sanitary Kit]],Table_NFI[Sanitary Kit])</f>
        <v>#REF!</v>
      </c>
      <c r="AE210" s="586" t="e">
        <f>IF(NFI_Expiration=1,IF(#REF!&lt;VLOOKUP(N$5,NFI,5,0),1,0)*Table_NFI[[#This Row],[Mosquito net]],Table_NFI[Mosquito net])</f>
        <v>#REF!</v>
      </c>
      <c r="AF210" s="586" t="e">
        <f>IF(NFI_Expiration=1,IF(#REF!&lt;VLOOKUP(O$5,NFI,5,0),1,0)*Table_NFI[[#This Row],[Tarpaulin]],Table_NFI[[#This Row],[Tarpaulin]])</f>
        <v>#REF!</v>
      </c>
      <c r="AG210" s="586" t="e">
        <f>IF(NFI_Expiration=1,IF(#REF!&lt;VLOOKUP(P$5,NFI,5,0),1,0)*Table_NFI[[#This Row],[Blanket]],Table_NFI[[#This Row],[Blanket]])</f>
        <v>#REF!</v>
      </c>
      <c r="AH210" s="586" t="e">
        <f>IF(NFI_Expiration=1,IF(#REF!&lt;VLOOKUP(Q$5,NFI,5,0),1,0)*Table_NFI[[#This Row],[Kitchen Set]],Table_NFI[Kitchen Set])</f>
        <v>#REF!</v>
      </c>
      <c r="AI210" s="586" t="e">
        <f>IF(NFI_Expiration=1,IF(#REF!&lt;VLOOKUP(R$5,NFI,5,0),1,0)*Table_NFI[[#This Row],[Clothes Kit]],Table_NFI[Clothes Kit])</f>
        <v>#REF!</v>
      </c>
      <c r="AJ210" s="586" t="e">
        <f>IF(NFI_Expiration=1,IF(#REF!&lt;VLOOKUP(S$5,NFI,5,0),1,0)*Table_NFI[[#This Row],[Plastic Bucket]],Table_NFI[Plastic Bucket])</f>
        <v>#REF!</v>
      </c>
      <c r="AK210" s="586" t="e">
        <f>IF(NFI_Expiration=1,IF(#REF!&lt;VLOOKUP(T$5,NFI,5,0),1,0)*Table_NFI[[#This Row],[Plastic Mat]],Table_NFI[Plastic Mat])*IF(Table_NFI[[#This Row],[Distribution Date]]&gt;"2014-04-01",1,2.5)</f>
        <v>#REF!</v>
      </c>
      <c r="AL210" s="586" t="e">
        <f>IF(NFI_Expiration=1,IF(#REF!&lt;VLOOKUP(U$5,NFI,5,0),1,0)*Table_NFI[[#This Row],[Winter Clothes Adult]],Table_NFI[Winter Clothes Adult])</f>
        <v>#REF!</v>
      </c>
      <c r="AM210" s="586"/>
      <c r="AN210" s="586"/>
      <c r="AO210" s="586"/>
      <c r="AP210" s="586">
        <f>IF(Table_NFI[[#This Row],[Winter Clothes Adult]]+Table_NFI[[#This Row],[Winter Clothes Children]]+Table_NFI[[#This Row],[Winter Items Other]]+Table_NFI[[#This Row],[Winter Blanket]]&gt;0,1,0)</f>
        <v>0</v>
      </c>
      <c r="AQ210" s="586"/>
      <c r="AR210" s="586"/>
      <c r="AS210" s="586"/>
      <c r="AT210" s="220" t="str">
        <f>IFERROR(VLOOKUP(Table_NFI[[#This Row],[Location]],CL,2,0),"")</f>
        <v>MMR001CMP163</v>
      </c>
      <c r="AU210" s="197" t="s">
        <v>1671</v>
      </c>
    </row>
    <row r="211" spans="2:47" hidden="1" x14ac:dyDescent="0.25">
      <c r="B211" s="584">
        <v>43189</v>
      </c>
      <c r="C211" s="584" t="str">
        <f>MONTH(Table_NFI[[#This Row],[Distribution Date]]) &amp; "/" &amp; YEAR(Table_NFI[[#This Row],[Distribution Date]])</f>
        <v>3/2018</v>
      </c>
      <c r="D211" s="213" t="s">
        <v>1268</v>
      </c>
      <c r="E211" s="213"/>
      <c r="F211" s="213" t="s">
        <v>378</v>
      </c>
      <c r="G211" s="235" t="s">
        <v>151</v>
      </c>
      <c r="H211" s="213" t="s">
        <v>12</v>
      </c>
      <c r="I211" s="197"/>
      <c r="J211" s="585"/>
      <c r="K211" s="585"/>
      <c r="L211" s="585"/>
      <c r="M211" s="585"/>
      <c r="N211" s="585"/>
      <c r="O211" s="585"/>
      <c r="P211" s="585">
        <v>77</v>
      </c>
      <c r="Q211" s="585"/>
      <c r="R211" s="585"/>
      <c r="S211" s="585"/>
      <c r="T211" s="585">
        <v>77</v>
      </c>
      <c r="U211" s="585"/>
      <c r="V211" s="585"/>
      <c r="W211" s="585"/>
      <c r="X211" s="585"/>
      <c r="Y211" s="585"/>
      <c r="Z211" s="585"/>
      <c r="AA211" s="585"/>
      <c r="AB211" s="585"/>
      <c r="AC211" s="586" t="e">
        <f>IF(NFI_Expiration=1,IF(#REF!&lt;VLOOKUP(L$5,NFI,5,0),1,0)*Table_NFI[[#This Row],[NFI Core Kit]],Table_NFI[NFI Core Kit])</f>
        <v>#REF!</v>
      </c>
      <c r="AD211" s="586" t="e">
        <f>IF(NFI_Expiration=1,IF(#REF!&lt;VLOOKUP(M$5,NFI,5,0),1,0)*Table_NFI[[#This Row],[Sanitary Kit]],Table_NFI[Sanitary Kit])</f>
        <v>#REF!</v>
      </c>
      <c r="AE211" s="586" t="e">
        <f>IF(NFI_Expiration=1,IF(#REF!&lt;VLOOKUP(N$5,NFI,5,0),1,0)*Table_NFI[[#This Row],[Mosquito net]],Table_NFI[Mosquito net])</f>
        <v>#REF!</v>
      </c>
      <c r="AF211" s="586" t="e">
        <f>IF(NFI_Expiration=1,IF(#REF!&lt;VLOOKUP(O$5,NFI,5,0),1,0)*Table_NFI[[#This Row],[Tarpaulin]],Table_NFI[[#This Row],[Tarpaulin]])</f>
        <v>#REF!</v>
      </c>
      <c r="AG211" s="586" t="e">
        <f>IF(NFI_Expiration=1,IF(#REF!&lt;VLOOKUP(P$5,NFI,5,0),1,0)*Table_NFI[[#This Row],[Blanket]],Table_NFI[[#This Row],[Blanket]])</f>
        <v>#REF!</v>
      </c>
      <c r="AH211" s="586" t="e">
        <f>IF(NFI_Expiration=1,IF(#REF!&lt;VLOOKUP(Q$5,NFI,5,0),1,0)*Table_NFI[[#This Row],[Kitchen Set]],Table_NFI[Kitchen Set])</f>
        <v>#REF!</v>
      </c>
      <c r="AI211" s="586" t="e">
        <f>IF(NFI_Expiration=1,IF(#REF!&lt;VLOOKUP(R$5,NFI,5,0),1,0)*Table_NFI[[#This Row],[Clothes Kit]],Table_NFI[Clothes Kit])</f>
        <v>#REF!</v>
      </c>
      <c r="AJ211" s="586" t="e">
        <f>IF(NFI_Expiration=1,IF(#REF!&lt;VLOOKUP(S$5,NFI,5,0),1,0)*Table_NFI[[#This Row],[Plastic Bucket]],Table_NFI[Plastic Bucket])</f>
        <v>#REF!</v>
      </c>
      <c r="AK211" s="586" t="e">
        <f>IF(NFI_Expiration=1,IF(#REF!&lt;VLOOKUP(T$5,NFI,5,0),1,0)*Table_NFI[[#This Row],[Plastic Mat]],Table_NFI[Plastic Mat])*IF(Table_NFI[[#This Row],[Distribution Date]]&gt;"2014-04-01",1,2.5)</f>
        <v>#REF!</v>
      </c>
      <c r="AL211" s="586" t="e">
        <f>IF(NFI_Expiration=1,IF(#REF!&lt;VLOOKUP(U$5,NFI,5,0),1,0)*Table_NFI[[#This Row],[Winter Clothes Adult]],Table_NFI[Winter Clothes Adult])</f>
        <v>#REF!</v>
      </c>
      <c r="AM211" s="586"/>
      <c r="AN211" s="586"/>
      <c r="AO211" s="586"/>
      <c r="AP211" s="586">
        <f>IF(Table_NFI[[#This Row],[Winter Clothes Adult]]+Table_NFI[[#This Row],[Winter Clothes Children]]+Table_NFI[[#This Row],[Winter Items Other]]+Table_NFI[[#This Row],[Winter Blanket]]&gt;0,1,0)</f>
        <v>0</v>
      </c>
      <c r="AQ211" s="586"/>
      <c r="AR211" s="586"/>
      <c r="AS211" s="586"/>
      <c r="AT211" s="220" t="str">
        <f>IFERROR(VLOOKUP(Table_NFI[[#This Row],[Location]],CL,2,0),"")</f>
        <v>MMR001CMP163</v>
      </c>
      <c r="AU211" s="197" t="s">
        <v>1672</v>
      </c>
    </row>
    <row r="212" spans="2:47" hidden="1" x14ac:dyDescent="0.25">
      <c r="B212" s="584">
        <v>43180</v>
      </c>
      <c r="C212" s="584" t="str">
        <f>MONTH(Table_NFI[[#This Row],[Distribution Date]]) &amp; "/" &amp; YEAR(Table_NFI[[#This Row],[Distribution Date]])</f>
        <v>3/2018</v>
      </c>
      <c r="D212" s="213" t="s">
        <v>1268</v>
      </c>
      <c r="E212" s="213" t="s">
        <v>1669</v>
      </c>
      <c r="F212" s="213" t="s">
        <v>378</v>
      </c>
      <c r="G212" s="235" t="s">
        <v>185</v>
      </c>
      <c r="H212" s="213" t="s">
        <v>202</v>
      </c>
      <c r="I212" s="197"/>
      <c r="J212" s="585"/>
      <c r="K212" s="585"/>
      <c r="L212" s="585"/>
      <c r="M212" s="585"/>
      <c r="N212" s="585"/>
      <c r="O212" s="585"/>
      <c r="P212" s="585">
        <v>34</v>
      </c>
      <c r="Q212" s="585"/>
      <c r="R212" s="585"/>
      <c r="S212" s="585"/>
      <c r="T212" s="585">
        <v>34</v>
      </c>
      <c r="U212" s="585"/>
      <c r="V212" s="585"/>
      <c r="W212" s="585"/>
      <c r="X212" s="585"/>
      <c r="Y212" s="585"/>
      <c r="Z212" s="585"/>
      <c r="AA212" s="585"/>
      <c r="AB212" s="585"/>
      <c r="AC212" s="586" t="e">
        <f>IF(NFI_Expiration=1,IF(#REF!&lt;VLOOKUP(L$5,NFI,5,0),1,0)*Table_NFI[[#This Row],[NFI Core Kit]],Table_NFI[NFI Core Kit])</f>
        <v>#REF!</v>
      </c>
      <c r="AD212" s="586" t="e">
        <f>IF(NFI_Expiration=1,IF(#REF!&lt;VLOOKUP(M$5,NFI,5,0),1,0)*Table_NFI[[#This Row],[Sanitary Kit]],Table_NFI[Sanitary Kit])</f>
        <v>#REF!</v>
      </c>
      <c r="AE212" s="586" t="e">
        <f>IF(NFI_Expiration=1,IF(#REF!&lt;VLOOKUP(N$5,NFI,5,0),1,0)*Table_NFI[[#This Row],[Mosquito net]],Table_NFI[Mosquito net])</f>
        <v>#REF!</v>
      </c>
      <c r="AF212" s="586" t="e">
        <f>IF(NFI_Expiration=1,IF(#REF!&lt;VLOOKUP(O$5,NFI,5,0),1,0)*Table_NFI[[#This Row],[Tarpaulin]],Table_NFI[[#This Row],[Tarpaulin]])</f>
        <v>#REF!</v>
      </c>
      <c r="AG212" s="586" t="e">
        <f>IF(NFI_Expiration=1,IF(#REF!&lt;VLOOKUP(P$5,NFI,5,0),1,0)*Table_NFI[[#This Row],[Blanket]],Table_NFI[[#This Row],[Blanket]])</f>
        <v>#REF!</v>
      </c>
      <c r="AH212" s="586" t="e">
        <f>IF(NFI_Expiration=1,IF(#REF!&lt;VLOOKUP(Q$5,NFI,5,0),1,0)*Table_NFI[[#This Row],[Kitchen Set]],Table_NFI[Kitchen Set])</f>
        <v>#REF!</v>
      </c>
      <c r="AI212" s="586" t="e">
        <f>IF(NFI_Expiration=1,IF(#REF!&lt;VLOOKUP(R$5,NFI,5,0),1,0)*Table_NFI[[#This Row],[Clothes Kit]],Table_NFI[Clothes Kit])</f>
        <v>#REF!</v>
      </c>
      <c r="AJ212" s="586" t="e">
        <f>IF(NFI_Expiration=1,IF(#REF!&lt;VLOOKUP(S$5,NFI,5,0),1,0)*Table_NFI[[#This Row],[Plastic Bucket]],Table_NFI[Plastic Bucket])</f>
        <v>#REF!</v>
      </c>
      <c r="AK212" s="586" t="e">
        <f>IF(NFI_Expiration=1,IF(#REF!&lt;VLOOKUP(T$5,NFI,5,0),1,0)*Table_NFI[[#This Row],[Plastic Mat]],Table_NFI[Plastic Mat])*IF(Table_NFI[[#This Row],[Distribution Date]]&gt;"2014-04-01",1,2.5)</f>
        <v>#REF!</v>
      </c>
      <c r="AL212" s="586" t="e">
        <f>IF(NFI_Expiration=1,IF(#REF!&lt;VLOOKUP(U$5,NFI,5,0),1,0)*Table_NFI[[#This Row],[Winter Clothes Adult]],Table_NFI[Winter Clothes Adult])</f>
        <v>#REF!</v>
      </c>
      <c r="AM212" s="586"/>
      <c r="AN212" s="586"/>
      <c r="AO212" s="586"/>
      <c r="AP212" s="586">
        <f>IF(Table_NFI[[#This Row],[Winter Clothes Adult]]+Table_NFI[[#This Row],[Winter Clothes Children]]+Table_NFI[[#This Row],[Winter Items Other]]+Table_NFI[[#This Row],[Winter Blanket]]&gt;0,1,0)</f>
        <v>0</v>
      </c>
      <c r="AQ212" s="586"/>
      <c r="AR212" s="586"/>
      <c r="AS212" s="586"/>
      <c r="AT212" s="220" t="str">
        <f>IFERROR(VLOOKUP(Table_NFI[[#This Row],[Location]],CL,2,0),"")</f>
        <v>MMR001CMP062</v>
      </c>
      <c r="AU212" s="197" t="s">
        <v>1673</v>
      </c>
    </row>
  </sheetData>
  <mergeCells count="11">
    <mergeCell ref="B4:E4"/>
    <mergeCell ref="B2:L2"/>
    <mergeCell ref="B3:L3"/>
    <mergeCell ref="M2:U2"/>
    <mergeCell ref="V2:AD2"/>
    <mergeCell ref="AE2:AM2"/>
    <mergeCell ref="AN2:AU2"/>
    <mergeCell ref="M3:U3"/>
    <mergeCell ref="V3:AD3"/>
    <mergeCell ref="AE3:AM3"/>
    <mergeCell ref="AN3:AU3"/>
  </mergeCells>
  <conditionalFormatting sqref="AT53:AT114">
    <cfRule type="containsText" dxfId="411" priority="62" operator="containsText" text="close">
      <formula>NOT(ISERROR(SEARCH("close",AT53)))</formula>
    </cfRule>
    <cfRule type="containsText" dxfId="410" priority="63"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 H170 H181:H212">
      <formula1>OFFSET(TCL_T1,MATCH(G19,TCL_T,0)-1,1,COUNTIF(TCL_T,G19),1)</formula1>
    </dataValidation>
    <dataValidation type="list" showInputMessage="1" showErrorMessage="1" sqref="G76 G41 G44:G53 G68 G78:G87 G103:G109 G39 G57 G112 G62 G64:G66 G90:G95 G97:G100">
      <formula1>INDIRECT(F39)</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OFFSET([3]data!#REF!,MATCH(G7,[3]data!#REF!,0)-1,0,COUNTIF([3]data!#REF!,G7),1)</xm:f>
          </x14:formula1>
          <xm:sqref>H12:H18 H7:H10</xm:sqref>
        </x14:dataValidation>
        <x14:dataValidation type="list" allowBlank="1" showInputMessage="1" showErrorMessage="1">
          <x14:formula1>
            <xm:f>OFFSET([4]data!#REF!,MATCH(F126,[4]data!#REF!,0)-1,0,COUNTIF([4]data!#REF!,F126),1)</xm:f>
          </x14:formula1>
          <xm:sqref>G124:G125</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OFFSET([5]data!#REF!,MATCH(G169,[5]data!#REF!,0)-1,0,COUNTIF([5]data!#REF!,G169),1)</xm:f>
          </x14:formula1>
          <xm:sqref>H169</xm:sqref>
        </x14:dataValidation>
        <x14:dataValidation type="list" allowBlank="1" showInputMessage="1" showErrorMessage="1">
          <x14:formula1>
            <xm:f>OFFSET([3]data!#REF!,MATCH(G6,[3]data!#REF!,0)-1,0,COUNTIF([3]data!#REF!,G6),1)</xm:f>
          </x14:formula1>
          <xm:sqref>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928</v>
      </c>
      <c r="C1" s="120" t="s">
        <v>507</v>
      </c>
      <c r="D1" s="120" t="s">
        <v>0</v>
      </c>
      <c r="E1" s="120" t="s">
        <v>2</v>
      </c>
      <c r="F1" s="120" t="s">
        <v>929</v>
      </c>
      <c r="G1" s="120" t="s">
        <v>864</v>
      </c>
      <c r="H1" s="120" t="s">
        <v>865</v>
      </c>
      <c r="I1" s="120" t="s">
        <v>866</v>
      </c>
      <c r="J1" s="120" t="s">
        <v>930</v>
      </c>
      <c r="K1" s="120" t="s">
        <v>932</v>
      </c>
      <c r="L1" s="120" t="s">
        <v>931</v>
      </c>
      <c r="M1" s="121" t="s">
        <v>939</v>
      </c>
      <c r="N1" s="122" t="s">
        <v>936</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107</v>
      </c>
      <c r="F2" s="7">
        <f ca="1">OFFSET(CampList[Total],MATCH(Table10[[#This Row],[Pcode]],CampList[CP_Pcode],0)-1,0,1,1)</f>
        <v>559</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214</v>
      </c>
      <c r="K2" s="106">
        <f ca="1">MAX(Table10[[#This Row],[HH]]*VLOOKUP("Winter Clothes Children ",NFI,6)-Table10[[#This Row],[Winter Clothes Children ]],0)</f>
        <v>107</v>
      </c>
      <c r="L2" s="106">
        <f ca="1">MAX(Table10[[#This Row],[HH]]*VLOOKUP("Winter Items Other ",NFI,6)-Table10[[#This Row],[Winter Items Other ]],0)</f>
        <v>107</v>
      </c>
      <c r="M2" s="114" t="str">
        <f>IF(OR(Table10[[#This Row],[Winter Clothes Adult ]]&lt;&gt;0,Table10[[#This Row],[Winter Clothes Children ]]&lt;&gt;0,Table10[[#This Row],[Winter Items Other ]]&lt;&gt;0),"No","")</f>
        <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160</v>
      </c>
      <c r="F4" s="7">
        <f ca="1">OFFSET(CampList[Total],MATCH(Table10[[#This Row],[Pcode]],CampList[CP_Pcode],0)-1,0,1,1)</f>
        <v>830</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320</v>
      </c>
      <c r="K4" s="106">
        <f ca="1">MAX(Table10[[#This Row],[HH]]*VLOOKUP("Winter Clothes Children ",NFI,6)-Table10[[#This Row],[Winter Clothes Children ]],0)</f>
        <v>160</v>
      </c>
      <c r="L4" s="106">
        <f ca="1">MAX(Table10[[#This Row],[HH]]*VLOOKUP("Winter Items Other ",NFI,6)-Table10[[#This Row],[Winter Items Other ]],0)</f>
        <v>160</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143</v>
      </c>
      <c r="F6" s="7">
        <f ca="1">OFFSET(CampList[Total],MATCH(Table10[[#This Row],[Pcode]],CampList[CP_Pcode],0)-1,0,1,1)</f>
        <v>640</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286</v>
      </c>
      <c r="K6" s="106">
        <f ca="1">MAX(Table10[[#This Row],[HH]]*VLOOKUP("Winter Clothes Children ",NFI,6)-Table10[[#This Row],[Winter Clothes Children ]],0)</f>
        <v>143</v>
      </c>
      <c r="L6" s="106">
        <f ca="1">MAX(Table10[[#This Row],[HH]]*VLOOKUP("Winter Items Other ",NFI,6)-Table10[[#This Row],[Winter Items Other ]],0)</f>
        <v>143</v>
      </c>
      <c r="M6" s="114" t="str">
        <f>IF(OR(Table10[[#This Row],[Winter Clothes Adult ]]&lt;&gt;0,Table10[[#This Row],[Winter Clothes Children ]]&lt;&gt;0,Table10[[#This Row],[Winter Items Other ]]&lt;&gt;0),"No","")</f>
        <v/>
      </c>
      <c r="N6" s="115">
        <f>COUNTIF(A:A,Table10[[#This Row],[Pcode]])-1</f>
        <v>0</v>
      </c>
    </row>
    <row r="7" spans="1:20" x14ac:dyDescent="0.25">
      <c r="A7" s="102" t="s">
        <v>878</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172</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60</v>
      </c>
      <c r="K7" s="106">
        <f ca="1">MAX(Table10[[#This Row],[HH]]*VLOOKUP("Winter Clothes Children ",NFI,6)-Table10[[#This Row],[Winter Clothes Children ]],0)</f>
        <v>30</v>
      </c>
      <c r="L7" s="106">
        <f ca="1">MAX(Table10[[#This Row],[HH]]*VLOOKUP("Winter Items Other ",NFI,6)-Table10[[#This Row],[Winter Items Other ]],0)</f>
        <v>30</v>
      </c>
      <c r="M7" s="114" t="str">
        <f>IF(OR(Table10[[#This Row],[Winter Clothes Adult ]]&lt;&gt;0,Table10[[#This Row],[Winter Clothes Children ]]&lt;&gt;0,Table10[[#This Row],[Winter Items Other ]]&lt;&gt;0),"No","")</f>
        <v/>
      </c>
      <c r="N7" s="115">
        <f>COUNTIF(A:A,Table10[[#This Row],[Pcode]])-1</f>
        <v>0</v>
      </c>
    </row>
    <row r="8" spans="1:20" x14ac:dyDescent="0.25">
      <c r="A8" s="102" t="s">
        <v>790</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270</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154</v>
      </c>
      <c r="F9" s="7">
        <f ca="1">OFFSET(CampList[Total],MATCH(Table10[[#This Row],[Pcode]],CampList[CP_Pcode],0)-1,0,1,1)</f>
        <v>919</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308</v>
      </c>
      <c r="K9" s="106">
        <f ca="1">MAX(Table10[[#This Row],[HH]]*VLOOKUP("Winter Clothes Children ",NFI,6)-Table10[[#This Row],[Winter Clothes Children ]],0)</f>
        <v>154</v>
      </c>
      <c r="L9" s="106">
        <f ca="1">MAX(Table10[[#This Row],[HH]]*VLOOKUP("Winter Items Other ",NFI,6)-Table10[[#This Row],[Winter Items Other ]],0)</f>
        <v>154</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163</v>
      </c>
      <c r="F10" s="7">
        <f ca="1">OFFSET(CampList[Total],MATCH(Table10[[#This Row],[Pcode]],CampList[CP_Pcode],0)-1,0,1,1)</f>
        <v>909</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326</v>
      </c>
      <c r="K10" s="106">
        <f ca="1">MAX(Table10[[#This Row],[HH]]*VLOOKUP("Winter Clothes Children ",NFI,6)-Table10[[#This Row],[Winter Clothes Children ]],0)</f>
        <v>163</v>
      </c>
      <c r="L10" s="106">
        <f ca="1">MAX(Table10[[#This Row],[HH]]*VLOOKUP("Winter Items Other ",NFI,6)-Table10[[#This Row],[Winter Items Other ]],0)</f>
        <v>163</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88</v>
      </c>
      <c r="F11" s="7">
        <f ca="1">OFFSET(CampList[Total],MATCH(Table10[[#This Row],[Pcode]],CampList[CP_Pcode],0)-1,0,1,1)</f>
        <v>558</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176</v>
      </c>
      <c r="K11" s="106">
        <f ca="1">MAX(Table10[[#This Row],[HH]]*VLOOKUP("Winter Clothes Children ",NFI,6)-Table10[[#This Row],[Winter Clothes Children ]],0)</f>
        <v>88</v>
      </c>
      <c r="L11" s="106">
        <f ca="1">MAX(Table10[[#This Row],[HH]]*VLOOKUP("Winter Items Other ",NFI,6)-Table10[[#This Row],[Winter Items Other ]],0)</f>
        <v>88</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483</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181</v>
      </c>
      <c r="F13" s="7">
        <f ca="1">OFFSET(CampList[Total],MATCH(Table10[[#This Row],[Pcode]],CampList[CP_Pcode],0)-1,0,1,1)</f>
        <v>1001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362</v>
      </c>
      <c r="K13" s="106">
        <f ca="1">MAX(Table10[[#This Row],[HH]]*VLOOKUP("Winter Clothes Children ",NFI,6)-Table10[[#This Row],[Winter Clothes Children ]],0)</f>
        <v>181</v>
      </c>
      <c r="L13" s="106">
        <f ca="1">MAX(Table10[[#This Row],[HH]]*VLOOKUP("Winter Items Other ",NFI,6)-Table10[[#This Row],[Winter Items Other ]],0)</f>
        <v>181</v>
      </c>
      <c r="M13" s="114" t="str">
        <f>IF(OR(Table10[[#This Row],[Winter Clothes Adult ]]&lt;&gt;0,Table10[[#This Row],[Winter Clothes Children ]]&lt;&gt;0,Table10[[#This Row],[Winter Items Other ]]&lt;&gt;0),"No","")</f>
        <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356</v>
      </c>
      <c r="F14" s="7">
        <f ca="1">OFFSET(CampList[Total],MATCH(Table10[[#This Row],[Pcode]],CampList[CP_Pcode],0)-1,0,1,1)</f>
        <v>1787</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712</v>
      </c>
      <c r="K14" s="106">
        <f ca="1">MAX(Table10[[#This Row],[HH]]*VLOOKUP("Winter Clothes Children ",NFI,6)-Table10[[#This Row],[Winter Clothes Children ]],0)</f>
        <v>356</v>
      </c>
      <c r="L14" s="106">
        <f ca="1">MAX(Table10[[#This Row],[HH]]*VLOOKUP("Winter Items Other ",NFI,6)-Table10[[#This Row],[Winter Items Other ]],0)</f>
        <v>356</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42</v>
      </c>
      <c r="F15" s="7">
        <f ca="1">OFFSET(CampList[Total],MATCH(Table10[[#This Row],[Pcode]],CampList[CP_Pcode],0)-1,0,1,1)</f>
        <v>234</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84</v>
      </c>
      <c r="K15" s="106">
        <f ca="1">MAX(Table10[[#This Row],[HH]]*VLOOKUP("Winter Clothes Children ",NFI,6)-Table10[[#This Row],[Winter Clothes Children ]],0)</f>
        <v>42</v>
      </c>
      <c r="L15" s="106">
        <f ca="1">MAX(Table10[[#This Row],[HH]]*VLOOKUP("Winter Items Other ",NFI,6)-Table10[[#This Row],[Winter Items Other ]],0)</f>
        <v>42</v>
      </c>
      <c r="M15" s="114" t="str">
        <f>IF(OR(Table10[[#This Row],[Winter Clothes Adult ]]&lt;&gt;0,Table10[[#This Row],[Winter Clothes Children ]]&lt;&gt;0,Table10[[#This Row],[Winter Items Other ]]&lt;&gt;0),"No","")</f>
        <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22" t="s">
        <v>933</v>
      </c>
      <c r="S16" s="322" t="s">
        <v>934</v>
      </c>
      <c r="T16" s="322" t="s">
        <v>935</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1572</v>
      </c>
      <c r="R17" s="172" t="e">
        <v>#N/A</v>
      </c>
      <c r="S17" s="172" t="e">
        <v>#N/A</v>
      </c>
      <c r="T17" s="172"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365</v>
      </c>
      <c r="F18" s="7">
        <f ca="1">OFFSET(CampList[Total],MATCH(Table10[[#This Row],[Pcode]],CampList[CP_Pcode],0)-1,0,1,1)</f>
        <v>1730</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730</v>
      </c>
      <c r="K18" s="106">
        <f ca="1">MAX(Table10[[#This Row],[HH]]*VLOOKUP("Winter Clothes Children ",NFI,6)-Table10[[#This Row],[Winter Clothes Children ]],0)</f>
        <v>365</v>
      </c>
      <c r="L18" s="106">
        <f ca="1">MAX(Table10[[#This Row],[HH]]*VLOOKUP("Winter Items Other ",NFI,6)-Table10[[#This Row],[Winter Items Other ]],0)</f>
        <v>365</v>
      </c>
      <c r="M18" s="114" t="str">
        <f>IF(OR(Table10[[#This Row],[Winter Clothes Adult ]]&lt;&gt;0,Table10[[#This Row],[Winter Clothes Children ]]&lt;&gt;0,Table10[[#This Row],[Winter Items Other ]]&lt;&gt;0),"No","")</f>
        <v/>
      </c>
      <c r="N18" s="115">
        <f>COUNTIF(A:A,Table10[[#This Row],[Pcode]])-1</f>
        <v>0</v>
      </c>
      <c r="Q18" s="104" t="s">
        <v>411</v>
      </c>
      <c r="R18" s="172" t="e">
        <v>#N/A</v>
      </c>
      <c r="S18" s="172" t="e">
        <v>#N/A</v>
      </c>
      <c r="T18" s="172" t="e">
        <v>#N/A</v>
      </c>
    </row>
    <row r="19" spans="1:20" x14ac:dyDescent="0.25">
      <c r="A19" s="102" t="s">
        <v>891</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547</v>
      </c>
      <c r="F20" s="7">
        <f ca="1">OFFSET(CampList[Total],MATCH(Table10[[#This Row],[Pcode]],CampList[CP_Pcode],0)-1,0,1,1)</f>
        <v>2368</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1094</v>
      </c>
      <c r="K20" s="106">
        <f ca="1">MAX(Table10[[#This Row],[HH]]*VLOOKUP("Winter Clothes Children ",NFI,6)-Table10[[#This Row],[Winter Clothes Children ]],0)</f>
        <v>547</v>
      </c>
      <c r="L20" s="106">
        <f ca="1">MAX(Table10[[#This Row],[HH]]*VLOOKUP("Winter Items Other ",NFI,6)-Table10[[#This Row],[Winter Items Other ]],0)</f>
        <v>547</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3659</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1497</v>
      </c>
      <c r="F23" s="7">
        <f ca="1">OFFSET(CampList[Total],MATCH(Table10[[#This Row],[Pcode]],CampList[CP_Pcode],0)-1,0,1,1)</f>
        <v>8461</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2994</v>
      </c>
      <c r="K23" s="106">
        <f ca="1">MAX(Table10[[#This Row],[HH]]*VLOOKUP("Winter Clothes Children ",NFI,6)-Table10[[#This Row],[Winter Clothes Children ]],0)</f>
        <v>1497</v>
      </c>
      <c r="L23" s="106">
        <f ca="1">MAX(Table10[[#This Row],[HH]]*VLOOKUP("Winter Items Other ",NFI,6)-Table10[[#This Row],[Winter Items Other ]],0)</f>
        <v>1497</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651</v>
      </c>
      <c r="F24" s="7">
        <f ca="1">OFFSET(CampList[Total],MATCH(Table10[[#This Row],[Pcode]],CampList[CP_Pcode],0)-1,0,1,1)</f>
        <v>3631</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1302</v>
      </c>
      <c r="K24" s="106">
        <f ca="1">MAX(Table10[[#This Row],[HH]]*VLOOKUP("Winter Clothes Children ",NFI,6)-Table10[[#This Row],[Winter Clothes Children ]],0)</f>
        <v>651</v>
      </c>
      <c r="L24" s="106">
        <f ca="1">MAX(Table10[[#This Row],[HH]]*VLOOKUP("Winter Items Other ",NFI,6)-Table10[[#This Row],[Winter Items Other ]],0)</f>
        <v>651</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93</v>
      </c>
      <c r="F25" s="7">
        <f ca="1">OFFSET(CampList[Total],MATCH(Table10[[#This Row],[Pcode]],CampList[CP_Pcode],0)-1,0,1,1)</f>
        <v>428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186</v>
      </c>
      <c r="K25" s="106">
        <f ca="1">MAX(Table10[[#This Row],[HH]]*VLOOKUP("Winter Clothes Children ",NFI,6)-Table10[[#This Row],[Winter Clothes Children ]],0)</f>
        <v>93</v>
      </c>
      <c r="L25" s="106">
        <f ca="1">MAX(Table10[[#This Row],[HH]]*VLOOKUP("Winter Items Other ",NFI,6)-Table10[[#This Row],[Winter Items Other ]],0)</f>
        <v>93</v>
      </c>
      <c r="M25" s="114" t="str">
        <f>IF(OR(Table10[[#This Row],[Winter Clothes Adult ]]&lt;&gt;0,Table10[[#This Row],[Winter Clothes Children ]]&lt;&gt;0,Table10[[#This Row],[Winter Items Other ]]&lt;&gt;0),"No","")</f>
        <v/>
      </c>
      <c r="N25" s="115">
        <f>COUNTIF(A:A,Table10[[#This Row],[Pcode]])-1</f>
        <v>0</v>
      </c>
    </row>
    <row r="26" spans="1:20" x14ac:dyDescent="0.25">
      <c r="A26" s="102" t="s">
        <v>753</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418</v>
      </c>
      <c r="F29" s="7">
        <f ca="1">OFFSET(CampList[Total],MATCH(Table10[[#This Row],[Pcode]],CampList[CP_Pcode],0)-1,0,1,1)</f>
        <v>1554</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836</v>
      </c>
      <c r="K29" s="106">
        <f ca="1">MAX(Table10[[#This Row],[HH]]*VLOOKUP("Winter Clothes Children ",NFI,6)-Table10[[#This Row],[Winter Clothes Children ]],0)</f>
        <v>418</v>
      </c>
      <c r="L29" s="106">
        <f ca="1">MAX(Table10[[#This Row],[HH]]*VLOOKUP("Winter Items Other ",NFI,6)-Table10[[#This Row],[Winter Items Other ]],0)</f>
        <v>418</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182</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25">
      <c r="A31" s="102" t="s">
        <v>772</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40</v>
      </c>
      <c r="F32" s="7">
        <f ca="1">OFFSET(CampList[Total],MATCH(Table10[[#This Row],[Pcode]],CampList[CP_Pcode],0)-1,0,1,1)</f>
        <v>240</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80</v>
      </c>
      <c r="K32" s="106">
        <f ca="1">MAX(Table10[[#This Row],[HH]]*VLOOKUP("Winter Clothes Children ",NFI,6)-Table10[[#This Row],[Winter Clothes Children ]],0)</f>
        <v>40</v>
      </c>
      <c r="L32" s="106">
        <f ca="1">MAX(Table10[[#This Row],[HH]]*VLOOKUP("Winter Items Other ",NFI,6)-Table10[[#This Row],[Winter Items Other ]],0)</f>
        <v>40</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203</v>
      </c>
      <c r="F34" s="7">
        <f ca="1">OFFSET(CampList[Total],MATCH(Table10[[#This Row],[Pcode]],CampList[CP_Pcode],0)-1,0,1,1)</f>
        <v>1138</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406</v>
      </c>
      <c r="K34" s="106">
        <f ca="1">MAX(Table10[[#This Row],[HH]]*VLOOKUP("Winter Clothes Children ",NFI,6)-Table10[[#This Row],[Winter Clothes Children ]],0)</f>
        <v>203</v>
      </c>
      <c r="L34" s="106">
        <f ca="1">MAX(Table10[[#This Row],[HH]]*VLOOKUP("Winter Items Other ",NFI,6)-Table10[[#This Row],[Winter Items Other ]],0)</f>
        <v>203</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293</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25">
      <c r="A37" s="102" t="s">
        <v>821</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895</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817</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56</v>
      </c>
      <c r="F42" s="7">
        <f ca="1">OFFSET(CampList[Total],MATCH(Table10[[#This Row],[Pcode]],CampList[CP_Pcode],0)-1,0,1,1)</f>
        <v>264</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112</v>
      </c>
      <c r="K42" s="106">
        <f ca="1">MAX(Table10[[#This Row],[HH]]*VLOOKUP("Winter Clothes Children ",NFI,6)-Table10[[#This Row],[Winter Clothes Children ]],0)</f>
        <v>56</v>
      </c>
      <c r="L42" s="106">
        <f ca="1">MAX(Table10[[#This Row],[HH]]*VLOOKUP("Winter Items Other ",NFI,6)-Table10[[#This Row],[Winter Items Other ]],0)</f>
        <v>56</v>
      </c>
      <c r="M42" s="114" t="str">
        <f>IF(OR(Table10[[#This Row],[Winter Clothes Adult ]]&lt;&gt;0,Table10[[#This Row],[Winter Clothes Children ]]&lt;&gt;0,Table10[[#This Row],[Winter Items Other ]]&lt;&gt;0),"No","")</f>
        <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29</v>
      </c>
      <c r="F43" s="7">
        <f ca="1">OFFSET(CampList[Total],MATCH(Table10[[#This Row],[Pcode]],CampList[CP_Pcode],0)-1,0,1,1)</f>
        <v>138</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58</v>
      </c>
      <c r="K43" s="106">
        <f ca="1">MAX(Table10[[#This Row],[HH]]*VLOOKUP("Winter Clothes Children ",NFI,6)-Table10[[#This Row],[Winter Clothes Children ]],0)</f>
        <v>29</v>
      </c>
      <c r="L43" s="106">
        <f ca="1">MAX(Table10[[#This Row],[HH]]*VLOOKUP("Winter Items Other ",NFI,6)-Table10[[#This Row],[Winter Items Other ]],0)</f>
        <v>29</v>
      </c>
      <c r="M43" s="114" t="str">
        <f>IF(OR(Table10[[#This Row],[Winter Clothes Adult ]]&lt;&gt;0,Table10[[#This Row],[Winter Clothes Children ]]&lt;&gt;0,Table10[[#This Row],[Winter Items Other ]]&lt;&gt;0),"No","")</f>
        <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338</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58</v>
      </c>
      <c r="F45" s="7">
        <f ca="1">OFFSET(CampList[Total],MATCH(Table10[[#This Row],[Pcode]],CampList[CP_Pcode],0)-1,0,1,1)</f>
        <v>273</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116</v>
      </c>
      <c r="K45" s="106">
        <f ca="1">MAX(Table10[[#This Row],[HH]]*VLOOKUP("Winter Clothes Children ",NFI,6)-Table10[[#This Row],[Winter Clothes Children ]],0)</f>
        <v>58</v>
      </c>
      <c r="L45" s="106">
        <f ca="1">MAX(Table10[[#This Row],[HH]]*VLOOKUP("Winter Items Other ",NFI,6)-Table10[[#This Row],[Winter Items Other ]],0)</f>
        <v>58</v>
      </c>
      <c r="M45" s="114" t="str">
        <f>IF(OR(Table10[[#This Row],[Winter Clothes Adult ]]&lt;&gt;0,Table10[[#This Row],[Winter Clothes Children ]]&lt;&gt;0,Table10[[#This Row],[Winter Items Other ]]&lt;&gt;0),"No","")</f>
        <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196</v>
      </c>
      <c r="F46" s="7">
        <f ca="1">OFFSET(CampList[Total],MATCH(Table10[[#This Row],[Pcode]],CampList[CP_Pcode],0)-1,0,1,1)</f>
        <v>1008</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392</v>
      </c>
      <c r="K46" s="106">
        <f ca="1">MAX(Table10[[#This Row],[HH]]*VLOOKUP("Winter Clothes Children ",NFI,6)-Table10[[#This Row],[Winter Clothes Children ]],0)</f>
        <v>196</v>
      </c>
      <c r="L46" s="106">
        <f ca="1">MAX(Table10[[#This Row],[HH]]*VLOOKUP("Winter Items Other ",NFI,6)-Table10[[#This Row],[Winter Items Other ]],0)</f>
        <v>196</v>
      </c>
      <c r="M46" s="114" t="str">
        <f>IF(OR(Table10[[#This Row],[Winter Clothes Adult ]]&lt;&gt;0,Table10[[#This Row],[Winter Clothes Children ]]&lt;&gt;0,Table10[[#This Row],[Winter Items Other ]]&lt;&gt;0),"No","")</f>
        <v/>
      </c>
      <c r="N46" s="115">
        <f>COUNTIF(A:A,Table10[[#This Row],[Pcode]])-1</f>
        <v>0</v>
      </c>
    </row>
    <row r="47" spans="1:14" x14ac:dyDescent="0.25">
      <c r="A47" s="102" t="s">
        <v>762</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75</v>
      </c>
      <c r="F50" s="7">
        <f ca="1">OFFSET(CampList[Total],MATCH(Table10[[#This Row],[Pcode]],CampList[CP_Pcode],0)-1,0,1,1)</f>
        <v>367</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150</v>
      </c>
      <c r="K50" s="106">
        <f ca="1">MAX(Table10[[#This Row],[HH]]*VLOOKUP("Winter Clothes Children ",NFI,6)-Table10[[#This Row],[Winter Clothes Children ]],0)</f>
        <v>75</v>
      </c>
      <c r="L50" s="106">
        <f ca="1">MAX(Table10[[#This Row],[HH]]*VLOOKUP("Winter Items Other ",NFI,6)-Table10[[#This Row],[Winter Items Other ]],0)</f>
        <v>75</v>
      </c>
      <c r="M50" s="114" t="str">
        <f>IF(OR(Table10[[#This Row],[Winter Clothes Adult ]]&lt;&gt;0,Table10[[#This Row],[Winter Clothes Children ]]&lt;&gt;0,Table10[[#This Row],[Winter Items Other ]]&lt;&gt;0),"No","")</f>
        <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66</v>
      </c>
      <c r="F51" s="7">
        <f ca="1">OFFSET(CampList[Total],MATCH(Table10[[#This Row],[Pcode]],CampList[CP_Pcode],0)-1,0,1,1)</f>
        <v>336</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132</v>
      </c>
      <c r="K51" s="106">
        <f ca="1">MAX(Table10[[#This Row],[HH]]*VLOOKUP("Winter Clothes Children ",NFI,6)-Table10[[#This Row],[Winter Clothes Children ]],0)</f>
        <v>66</v>
      </c>
      <c r="L51" s="106">
        <f ca="1">MAX(Table10[[#This Row],[HH]]*VLOOKUP("Winter Items Other ",NFI,6)-Table10[[#This Row],[Winter Items Other ]],0)</f>
        <v>66</v>
      </c>
      <c r="M51" s="114" t="str">
        <f>IF(OR(Table10[[#This Row],[Winter Clothes Adult ]]&lt;&gt;0,Table10[[#This Row],[Winter Clothes Children ]]&lt;&gt;0,Table10[[#This Row],[Winter Items Other ]]&lt;&gt;0),"No","")</f>
        <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222</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41</v>
      </c>
      <c r="F53" s="7">
        <f ca="1">OFFSET(CampList[Total],MATCH(Table10[[#This Row],[Pcode]],CampList[CP_Pcode],0)-1,0,1,1)</f>
        <v>179</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82</v>
      </c>
      <c r="K53" s="106">
        <f ca="1">MAX(Table10[[#This Row],[HH]]*VLOOKUP("Winter Clothes Children ",NFI,6)-Table10[[#This Row],[Winter Clothes Children ]],0)</f>
        <v>41</v>
      </c>
      <c r="L53" s="106">
        <f ca="1">MAX(Table10[[#This Row],[HH]]*VLOOKUP("Winter Items Other ",NFI,6)-Table10[[#This Row],[Winter Items Other ]],0)</f>
        <v>41</v>
      </c>
      <c r="M53" s="114" t="str">
        <f>IF(OR(Table10[[#This Row],[Winter Clothes Adult ]]&lt;&gt;0,Table10[[#This Row],[Winter Clothes Children ]]&lt;&gt;0,Table10[[#This Row],[Winter Items Other ]]&lt;&gt;0),"No","")</f>
        <v/>
      </c>
      <c r="N53" s="115">
        <f>COUNTIF(A:A,Table10[[#This Row],[Pcode]])-1</f>
        <v>0</v>
      </c>
    </row>
    <row r="54" spans="1:14" x14ac:dyDescent="0.25">
      <c r="A54" s="102" t="s">
        <v>763</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62</v>
      </c>
      <c r="F56" s="106">
        <f ca="1">OFFSET(CampList[Total],MATCH(Table10[[#This Row],[Pcode]],CampList[CP_Pcode],0)-1,0,1,1)</f>
        <v>304</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124</v>
      </c>
      <c r="K56" s="106">
        <f ca="1">MAX(Table10[[#This Row],[HH]]*VLOOKUP("Winter Clothes Children ",NFI,6)-Table10[[#This Row],[Winter Clothes Children ]],0)</f>
        <v>62</v>
      </c>
      <c r="L56" s="106">
        <f ca="1">MAX(Table10[[#This Row],[HH]]*VLOOKUP("Winter Items Other ",NFI,6)-Table10[[#This Row],[Winter Items Other ]],0)</f>
        <v>62</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257</v>
      </c>
      <c r="F57" s="106">
        <f ca="1">OFFSET(CampList[Total],MATCH(Table10[[#This Row],[Pcode]],CampList[CP_Pcode],0)-1,0,1,1)</f>
        <v>1278</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514</v>
      </c>
      <c r="K57" s="106">
        <f ca="1">MAX(Table10[[#This Row],[HH]]*VLOOKUP("Winter Clothes Children ",NFI,6)-Table10[[#This Row],[Winter Clothes Children ]],0)</f>
        <v>257</v>
      </c>
      <c r="L57" s="106">
        <f ca="1">MAX(Table10[[#This Row],[HH]]*VLOOKUP("Winter Items Other ",NFI,6)-Table10[[#This Row],[Winter Items Other ]],0)</f>
        <v>257</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65</v>
      </c>
      <c r="F58" s="106">
        <f ca="1">OFFSET(CampList[Total],MATCH(Table10[[#This Row],[Pcode]],CampList[CP_Pcode],0)-1,0,1,1)</f>
        <v>353</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130</v>
      </c>
      <c r="K58" s="106">
        <f ca="1">MAX(Table10[[#This Row],[HH]]*VLOOKUP("Winter Clothes Children ",NFI,6)-Table10[[#This Row],[Winter Clothes Children ]],0)</f>
        <v>65</v>
      </c>
      <c r="L58" s="106">
        <f ca="1">MAX(Table10[[#This Row],[HH]]*VLOOKUP("Winter Items Other ",NFI,6)-Table10[[#This Row],[Winter Items Other ]],0)</f>
        <v>65</v>
      </c>
      <c r="M58" s="114" t="str">
        <f>IF(OR(Table10[[#This Row],[Winter Clothes Adult ]]&lt;&gt;0,Table10[[#This Row],[Winter Clothes Children ]]&lt;&gt;0,Table10[[#This Row],[Winter Items Other ]]&lt;&gt;0),"No","")</f>
        <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14</v>
      </c>
      <c r="F59" s="106">
        <f ca="1">OFFSET(CampList[Total],MATCH(Table10[[#This Row],[Pcode]],CampList[CP_Pcode],0)-1,0,1,1)</f>
        <v>81</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28</v>
      </c>
      <c r="K59" s="106">
        <f ca="1">MAX(Table10[[#This Row],[HH]]*VLOOKUP("Winter Clothes Children ",NFI,6)-Table10[[#This Row],[Winter Clothes Children ]],0)</f>
        <v>14</v>
      </c>
      <c r="L59" s="106">
        <f ca="1">MAX(Table10[[#This Row],[HH]]*VLOOKUP("Winter Items Other ",NFI,6)-Table10[[#This Row],[Winter Items Other ]],0)</f>
        <v>14</v>
      </c>
      <c r="M59" s="114" t="str">
        <f>IF(OR(Table10[[#This Row],[Winter Clothes Adult ]]&lt;&gt;0,Table10[[#This Row],[Winter Clothes Children ]]&lt;&gt;0,Table10[[#This Row],[Winter Items Other ]]&lt;&gt;0),"No","")</f>
        <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808</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228</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5</v>
      </c>
      <c r="F64" s="106">
        <f ca="1">OFFSET(CampList[Total],MATCH(Table10[[#This Row],[Pcode]],CampList[CP_Pcode],0)-1,0,1,1)</f>
        <v>27</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10</v>
      </c>
      <c r="K64" s="106">
        <f ca="1">MAX(Table10[[#This Row],[HH]]*VLOOKUP("Winter Clothes Children ",NFI,6)-Table10[[#This Row],[Winter Clothes Children ]],0)</f>
        <v>5</v>
      </c>
      <c r="L64" s="106">
        <f ca="1">MAX(Table10[[#This Row],[HH]]*VLOOKUP("Winter Items Other ",NFI,6)-Table10[[#This Row],[Winter Items Other ]],0)</f>
        <v>5</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375</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184</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103</v>
      </c>
      <c r="F69" s="106">
        <f ca="1">OFFSET(CampList[Total],MATCH(Table10[[#This Row],[Pcode]],CampList[CP_Pcode],0)-1,0,1,1)</f>
        <v>504</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206</v>
      </c>
      <c r="K69" s="106">
        <f ca="1">MAX(Table10[[#This Row],[HH]]*VLOOKUP("Winter Clothes Children ",NFI,6)-Table10[[#This Row],[Winter Clothes Children ]],0)</f>
        <v>103</v>
      </c>
      <c r="L69" s="106">
        <f ca="1">MAX(Table10[[#This Row],[HH]]*VLOOKUP("Winter Items Other ",NFI,6)-Table10[[#This Row],[Winter Items Other ]],0)</f>
        <v>103</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13</v>
      </c>
      <c r="F70" s="106">
        <f ca="1">OFFSET(CampList[Total],MATCH(Table10[[#This Row],[Pcode]],CampList[CP_Pcode],0)-1,0,1,1)</f>
        <v>46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26</v>
      </c>
      <c r="K70" s="106">
        <f ca="1">MAX(Table10[[#This Row],[HH]]*VLOOKUP("Winter Clothes Children ",NFI,6)-Table10[[#This Row],[Winter Clothes Children ]],0)</f>
        <v>13</v>
      </c>
      <c r="L70" s="106">
        <f ca="1">MAX(Table10[[#This Row],[HH]]*VLOOKUP("Winter Items Other ",NFI,6)-Table10[[#This Row],[Winter Items Other ]],0)</f>
        <v>13</v>
      </c>
      <c r="M70" s="114" t="str">
        <f>IF(OR(Table10[[#This Row],[Winter Clothes Adult ]]&lt;&gt;0,Table10[[#This Row],[Winter Clothes Children ]]&lt;&gt;0,Table10[[#This Row],[Winter Items Other ]]&lt;&gt;0),"No","")</f>
        <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4</v>
      </c>
      <c r="F71" s="106">
        <f ca="1">OFFSET(CampList[Total],MATCH(Table10[[#This Row],[Pcode]],CampList[CP_Pcode],0)-1,0,1,1)</f>
        <v>27</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8</v>
      </c>
      <c r="K71" s="106">
        <f ca="1">MAX(Table10[[#This Row],[HH]]*VLOOKUP("Winter Clothes Children ",NFI,6)-Table10[[#This Row],[Winter Clothes Children ]],0)</f>
        <v>4</v>
      </c>
      <c r="L71" s="106">
        <f ca="1">MAX(Table10[[#This Row],[HH]]*VLOOKUP("Winter Items Other ",NFI,6)-Table10[[#This Row],[Winter Items Other ]],0)</f>
        <v>4</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918</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104</v>
      </c>
      <c r="F77" s="106">
        <f ca="1">OFFSET(CampList[Total],MATCH(Table10[[#This Row],[Pcode]],CampList[CP_Pcode],0)-1,0,1,1)</f>
        <v>510</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208</v>
      </c>
      <c r="K77" s="106">
        <f ca="1">MAX(Table10[[#This Row],[HH]]*VLOOKUP("Winter Clothes Children ",NFI,6)-Table10[[#This Row],[Winter Clothes Children ]],0)</f>
        <v>104</v>
      </c>
      <c r="L77" s="106">
        <f ca="1">MAX(Table10[[#This Row],[HH]]*VLOOKUP("Winter Items Other ",NFI,6)-Table10[[#This Row],[Winter Items Other ]],0)</f>
        <v>104</v>
      </c>
      <c r="M77" s="114" t="str">
        <f>IF(OR(Table10[[#This Row],[Winter Clothes Adult ]]&lt;&gt;0,Table10[[#This Row],[Winter Clothes Children ]]&lt;&gt;0,Table10[[#This Row],[Winter Items Other ]]&lt;&gt;0),"No","")</f>
        <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41</v>
      </c>
      <c r="F78" s="106">
        <f ca="1">OFFSET(CampList[Total],MATCH(Table10[[#This Row],[Pcode]],CampList[CP_Pcode],0)-1,0,1,1)</f>
        <v>227</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82</v>
      </c>
      <c r="K78" s="106">
        <f ca="1">MAX(Table10[[#This Row],[HH]]*VLOOKUP("Winter Clothes Children ",NFI,6)-Table10[[#This Row],[Winter Clothes Children ]],0)</f>
        <v>41</v>
      </c>
      <c r="L78" s="106">
        <f ca="1">MAX(Table10[[#This Row],[HH]]*VLOOKUP("Winter Items Other ",NFI,6)-Table10[[#This Row],[Winter Items Other ]],0)</f>
        <v>41</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115</v>
      </c>
      <c r="F80" s="106">
        <f ca="1">OFFSET(CampList[Total],MATCH(Table10[[#This Row],[Pcode]],CampList[CP_Pcode],0)-1,0,1,1)</f>
        <v>562</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230</v>
      </c>
      <c r="K80" s="106">
        <f ca="1">MAX(Table10[[#This Row],[HH]]*VLOOKUP("Winter Clothes Children ",NFI,6)-Table10[[#This Row],[Winter Clothes Children ]],0)</f>
        <v>115</v>
      </c>
      <c r="L80" s="106">
        <f ca="1">MAX(Table10[[#This Row],[HH]]*VLOOKUP("Winter Items Other ",NFI,6)-Table10[[#This Row],[Winter Items Other ]],0)</f>
        <v>115</v>
      </c>
      <c r="M80" s="114" t="str">
        <f>IF(OR(Table10[[#This Row],[Winter Clothes Adult ]]&lt;&gt;0,Table10[[#This Row],[Winter Clothes Children ]]&lt;&gt;0,Table10[[#This Row],[Winter Items Other ]]&lt;&gt;0),"No","")</f>
        <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44</v>
      </c>
      <c r="F82" s="106">
        <f ca="1">OFFSET(CampList[Total],MATCH(Table10[[#This Row],[Pcode]],CampList[CP_Pcode],0)-1,0,1,1)</f>
        <v>197</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88</v>
      </c>
      <c r="K82" s="106">
        <f ca="1">MAX(Table10[[#This Row],[HH]]*VLOOKUP("Winter Clothes Children ",NFI,6)-Table10[[#This Row],[Winter Clothes Children ]],0)</f>
        <v>44</v>
      </c>
      <c r="L82" s="106">
        <f ca="1">MAX(Table10[[#This Row],[HH]]*VLOOKUP("Winter Items Other ",NFI,6)-Table10[[#This Row],[Winter Items Other ]],0)</f>
        <v>44</v>
      </c>
      <c r="M82" s="114" t="str">
        <f>IF(OR(Table10[[#This Row],[Winter Clothes Adult ]]&lt;&gt;0,Table10[[#This Row],[Winter Clothes Children ]]&lt;&gt;0,Table10[[#This Row],[Winter Items Other ]]&lt;&gt;0),"No","")</f>
        <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70</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Shwegu</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102</v>
      </c>
      <c r="F88" s="106">
        <f ca="1">OFFSET(CampList[Total],MATCH(Table10[[#This Row],[Pcode]],CampList[CP_Pcode],0)-1,0,1,1)</f>
        <v>546</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204</v>
      </c>
      <c r="K88" s="106">
        <f ca="1">MAX(Table10[[#This Row],[HH]]*VLOOKUP("Winter Clothes Children ",NFI,6)-Table10[[#This Row],[Winter Clothes Children ]],0)</f>
        <v>102</v>
      </c>
      <c r="L88" s="106">
        <f ca="1">MAX(Table10[[#This Row],[HH]]*VLOOKUP("Winter Items Other ",NFI,6)-Table10[[#This Row],[Winter Items Other ]],0)</f>
        <v>102</v>
      </c>
      <c r="M88" s="114" t="str">
        <f>IF(OR(Table10[[#This Row],[Winter Clothes Adult ]]&lt;&gt;0,Table10[[#This Row],[Winter Clothes Children ]]&lt;&gt;0,Table10[[#This Row],[Winter Items Other ]]&lt;&gt;0),"No","")</f>
        <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703</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19</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38</v>
      </c>
      <c r="K90" s="106">
        <f ca="1">MAX(Table10[[#This Row],[HH]]*VLOOKUP("Winter Clothes Children ",NFI,6)-Table10[[#This Row],[Winter Clothes Children ]],0)</f>
        <v>19</v>
      </c>
      <c r="L90" s="106">
        <f ca="1">MAX(Table10[[#This Row],[HH]]*VLOOKUP("Winter Items Other ",NFI,6)-Table10[[#This Row],[Winter Items Other ]],0)</f>
        <v>19</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61</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129</v>
      </c>
      <c r="F92" s="106">
        <f ca="1">OFFSET(CampList[Total],MATCH(Table10[[#This Row],[Pcode]],CampList[CP_Pcode],0)-1,0,1,1)</f>
        <v>742</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258</v>
      </c>
      <c r="K92" s="106">
        <f ca="1">MAX(Table10[[#This Row],[HH]]*VLOOKUP("Winter Clothes Children ",NFI,6)-Table10[[#This Row],[Winter Clothes Children ]],0)</f>
        <v>129</v>
      </c>
      <c r="L92" s="106">
        <f ca="1">MAX(Table10[[#This Row],[HH]]*VLOOKUP("Winter Items Other ",NFI,6)-Table10[[#This Row],[Winter Items Other ]],0)</f>
        <v>129</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30</v>
      </c>
      <c r="F93" s="106">
        <f ca="1">OFFSET(CampList[Total],MATCH(Table10[[#This Row],[Pcode]],CampList[CP_Pcode],0)-1,0,1,1)</f>
        <v>176</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60</v>
      </c>
      <c r="K93" s="106">
        <f ca="1">MAX(Table10[[#This Row],[HH]]*VLOOKUP("Winter Clothes Children ",NFI,6)-Table10[[#This Row],[Winter Clothes Children ]],0)</f>
        <v>30</v>
      </c>
      <c r="L93" s="106">
        <f ca="1">MAX(Table10[[#This Row],[HH]]*VLOOKUP("Winter Items Other ",NFI,6)-Table10[[#This Row],[Winter Items Other ]],0)</f>
        <v>30</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339</v>
      </c>
      <c r="F95" s="106">
        <f ca="1">OFFSET(CampList[Total],MATCH(Table10[[#This Row],[Pcode]],CampList[CP_Pcode],0)-1,0,1,1)</f>
        <v>1975</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678</v>
      </c>
      <c r="K95" s="106">
        <f ca="1">MAX(Table10[[#This Row],[HH]]*VLOOKUP("Winter Clothes Children ",NFI,6)-Table10[[#This Row],[Winter Clothes Children ]],0)</f>
        <v>339</v>
      </c>
      <c r="L95" s="106">
        <f ca="1">MAX(Table10[[#This Row],[HH]]*VLOOKUP("Winter Items Other ",NFI,6)-Table10[[#This Row],[Winter Items Other ]],0)</f>
        <v>339</v>
      </c>
      <c r="M95" s="114" t="str">
        <f>IF(OR(Table10[[#This Row],[Winter Clothes Adult ]]&lt;&gt;0,Table10[[#This Row],[Winter Clothes Children ]]&lt;&gt;0,Table10[[#This Row],[Winter Items Other ]]&lt;&gt;0),"No","")</f>
        <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284</v>
      </c>
      <c r="F96" s="106">
        <f ca="1">OFFSET(CampList[Total],MATCH(Table10[[#This Row],[Pcode]],CampList[CP_Pcode],0)-1,0,1,1)</f>
        <v>1499</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568</v>
      </c>
      <c r="K96" s="106">
        <f ca="1">MAX(Table10[[#This Row],[HH]]*VLOOKUP("Winter Clothes Children ",NFI,6)-Table10[[#This Row],[Winter Clothes Children ]],0)</f>
        <v>284</v>
      </c>
      <c r="L96" s="106">
        <f ca="1">MAX(Table10[[#This Row],[HH]]*VLOOKUP("Winter Items Other ",NFI,6)-Table10[[#This Row],[Winter Items Other ]],0)</f>
        <v>284</v>
      </c>
      <c r="M96" s="114" t="str">
        <f>IF(OR(Table10[[#This Row],[Winter Clothes Adult ]]&lt;&gt;0,Table10[[#This Row],[Winter Clothes Children ]]&lt;&gt;0,Table10[[#This Row],[Winter Items Other ]]&lt;&gt;0),"No","")</f>
        <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510</v>
      </c>
      <c r="F97" s="106">
        <f ca="1">OFFSET(CampList[Total],MATCH(Table10[[#This Row],[Pcode]],CampList[CP_Pcode],0)-1,0,1,1)</f>
        <v>2680</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1020</v>
      </c>
      <c r="K97" s="106">
        <f ca="1">MAX(Table10[[#This Row],[HH]]*VLOOKUP("Winter Clothes Children ",NFI,6)-Table10[[#This Row],[Winter Clothes Children ]],0)</f>
        <v>510</v>
      </c>
      <c r="L97" s="106">
        <f ca="1">MAX(Table10[[#This Row],[HH]]*VLOOKUP("Winter Items Other ",NFI,6)-Table10[[#This Row],[Winter Items Other ]],0)</f>
        <v>510</v>
      </c>
      <c r="M97" s="114" t="str">
        <f>IF(OR(Table10[[#This Row],[Winter Clothes Adult ]]&lt;&gt;0,Table10[[#This Row],[Winter Clothes Children ]]&lt;&gt;0,Table10[[#This Row],[Winter Items Other ]]&lt;&gt;0),"No","")</f>
        <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47</v>
      </c>
      <c r="F98" s="106">
        <f ca="1">OFFSET(CampList[Total],MATCH(Table10[[#This Row],[Pcode]],CampList[CP_Pcode],0)-1,0,1,1)</f>
        <v>208</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94</v>
      </c>
      <c r="K98" s="106">
        <f ca="1">MAX(Table10[[#This Row],[HH]]*VLOOKUP("Winter Clothes Children ",NFI,6)-Table10[[#This Row],[Winter Clothes Children ]],0)</f>
        <v>47</v>
      </c>
      <c r="L98" s="106">
        <f ca="1">MAX(Table10[[#This Row],[HH]]*VLOOKUP("Winter Items Other ",NFI,6)-Table10[[#This Row],[Winter Items Other ]],0)</f>
        <v>47</v>
      </c>
      <c r="M98" s="114" t="str">
        <f>IF(OR(Table10[[#This Row],[Winter Clothes Adult ]]&lt;&gt;0,Table10[[#This Row],[Winter Clothes Children ]]&lt;&gt;0,Table10[[#This Row],[Winter Items Other ]]&lt;&gt;0),"No","")</f>
        <v/>
      </c>
      <c r="N98" s="115">
        <f>COUNTIF(A:A,Table10[[#This Row],[Pcode]])-1</f>
        <v>0</v>
      </c>
    </row>
    <row r="99" spans="1:14" x14ac:dyDescent="0.25">
      <c r="A99" s="102" t="s">
        <v>813</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432</v>
      </c>
      <c r="F99" s="106">
        <f ca="1">OFFSET(CampList[Total],MATCH(Table10[[#This Row],[Pcode]],CampList[CP_Pcode],0)-1,0,1,1)</f>
        <v>2149</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864</v>
      </c>
      <c r="K99" s="106">
        <f ca="1">MAX(Table10[[#This Row],[HH]]*VLOOKUP("Winter Clothes Children ",NFI,6)-Table10[[#This Row],[Winter Clothes Children ]],0)</f>
        <v>432</v>
      </c>
      <c r="L99" s="106">
        <f ca="1">MAX(Table10[[#This Row],[HH]]*VLOOKUP("Winter Items Other ",NFI,6)-Table10[[#This Row],[Winter Items Other ]],0)</f>
        <v>432</v>
      </c>
      <c r="M99" s="114" t="str">
        <f>IF(OR(Table10[[#This Row],[Winter Clothes Adult ]]&lt;&gt;0,Table10[[#This Row],[Winter Clothes Children ]]&lt;&gt;0,Table10[[#This Row],[Winter Items Other ]]&lt;&gt;0),"No","")</f>
        <v/>
      </c>
      <c r="N99" s="115">
        <f>COUNTIF(A:A,Table10[[#This Row],[Pcode]])-1</f>
        <v>0</v>
      </c>
    </row>
    <row r="100" spans="1:14" x14ac:dyDescent="0.25">
      <c r="A100" s="102" t="s">
        <v>848</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172</v>
      </c>
      <c r="F100" s="106">
        <f ca="1">OFFSET(CampList[Total],MATCH(Table10[[#This Row],[Pcode]],CampList[CP_Pcode],0)-1,0,1,1)</f>
        <v>783</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344</v>
      </c>
      <c r="K100" s="106">
        <f ca="1">MAX(Table10[[#This Row],[HH]]*VLOOKUP("Winter Clothes Children ",NFI,6)-Table10[[#This Row],[Winter Clothes Children ]],0)</f>
        <v>172</v>
      </c>
      <c r="L100" s="106">
        <f ca="1">MAX(Table10[[#This Row],[HH]]*VLOOKUP("Winter Items Other ",NFI,6)-Table10[[#This Row],[Winter Items Other ]],0)</f>
        <v>172</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302</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274</v>
      </c>
      <c r="F102" s="106">
        <f ca="1">OFFSET(CampList[Total],MATCH(Table10[[#This Row],[Pcode]],CampList[CP_Pcode],0)-1,0,1,1)</f>
        <v>1210</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548</v>
      </c>
      <c r="K102" s="106">
        <f ca="1">MAX(Table10[[#This Row],[HH]]*VLOOKUP("Winter Clothes Children ",NFI,6)-Table10[[#This Row],[Winter Clothes Children ]],0)</f>
        <v>274</v>
      </c>
      <c r="L102" s="106">
        <f ca="1">MAX(Table10[[#This Row],[HH]]*VLOOKUP("Winter Items Other ",NFI,6)-Table10[[#This Row],[Winter Items Other ]],0)</f>
        <v>274</v>
      </c>
      <c r="M102" s="114" t="str">
        <f>IF(OR(Table10[[#This Row],[Winter Clothes Adult ]]&lt;&gt;0,Table10[[#This Row],[Winter Clothes Children ]]&lt;&gt;0,Table10[[#This Row],[Winter Items Other ]]&lt;&gt;0),"No","")</f>
        <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649</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447</v>
      </c>
      <c r="F107" s="106">
        <f ca="1">OFFSET(CampList[Total],MATCH(Table10[[#This Row],[Pcode]],CampList[CP_Pcode],0)-1,0,1,1)</f>
        <v>2332</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894</v>
      </c>
      <c r="K107" s="106">
        <f ca="1">MAX(Table10[[#This Row],[HH]]*VLOOKUP("Winter Clothes Children ",NFI,6)-Table10[[#This Row],[Winter Clothes Children ]],0)</f>
        <v>447</v>
      </c>
      <c r="L107" s="106">
        <f ca="1">MAX(Table10[[#This Row],[HH]]*VLOOKUP("Winter Items Other ",NFI,6)-Table10[[#This Row],[Winter Items Other ]],0)</f>
        <v>447</v>
      </c>
      <c r="M107" s="114" t="str">
        <f>IF(OR(Table10[[#This Row],[Winter Clothes Adult ]]&lt;&gt;0,Table10[[#This Row],[Winter Clothes Children ]]&lt;&gt;0,Table10[[#This Row],[Winter Items Other ]]&lt;&gt;0),"No","")</f>
        <v/>
      </c>
      <c r="N107" s="115">
        <f>COUNTIF(A:A,Table10[[#This Row],[Pcode]])-1</f>
        <v>0</v>
      </c>
    </row>
    <row r="108" spans="1:14" x14ac:dyDescent="0.25">
      <c r="A108" s="102" t="s">
        <v>914</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156</v>
      </c>
      <c r="F108" s="106">
        <f ca="1">OFFSET(CampList[Total],MATCH(Table10[[#This Row],[Pcode]],CampList[CP_Pcode],0)-1,0,1,1)</f>
        <v>711</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312</v>
      </c>
      <c r="K108" s="106">
        <f ca="1">MAX(Table10[[#This Row],[HH]]*VLOOKUP("Winter Clothes Children ",NFI,6)-Table10[[#This Row],[Winter Clothes Children ]],0)</f>
        <v>156</v>
      </c>
      <c r="L108" s="106">
        <f ca="1">MAX(Table10[[#This Row],[HH]]*VLOOKUP("Winter Items Other ",NFI,6)-Table10[[#This Row],[Winter Items Other ]],0)</f>
        <v>156</v>
      </c>
      <c r="M108" s="114" t="str">
        <f>IF(OR(Table10[[#This Row],[Winter Clothes Adult ]]&lt;&gt;0,Table10[[#This Row],[Winter Clothes Children ]]&lt;&gt;0,Table10[[#This Row],[Winter Items Other ]]&lt;&gt;0),"No","")</f>
        <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16</v>
      </c>
      <c r="F111" s="106">
        <f ca="1">OFFSET(CampList[Total],MATCH(Table10[[#This Row],[Pcode]],CampList[CP_Pcode],0)-1,0,1,1)</f>
        <v>79</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32</v>
      </c>
      <c r="K111" s="106">
        <f ca="1">MAX(Table10[[#This Row],[HH]]*VLOOKUP("Winter Clothes Children ",NFI,6)-Table10[[#This Row],[Winter Clothes Children ]],0)</f>
        <v>16</v>
      </c>
      <c r="L111" s="106">
        <f ca="1">MAX(Table10[[#This Row],[HH]]*VLOOKUP("Winter Items Other ",NFI,6)-Table10[[#This Row],[Winter Items Other ]],0)</f>
        <v>16</v>
      </c>
      <c r="M111" s="114" t="str">
        <f>IF(OR(Table10[[#This Row],[Winter Clothes Adult ]]&lt;&gt;0,Table10[[#This Row],[Winter Clothes Children ]]&lt;&gt;0,Table10[[#This Row],[Winter Items Other ]]&lt;&gt;0),"No","")</f>
        <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185</v>
      </c>
      <c r="F112" s="106">
        <f ca="1">OFFSET(CampList[Total],MATCH(Table10[[#This Row],[Pcode]],CampList[CP_Pcode],0)-1,0,1,1)</f>
        <v>830</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370</v>
      </c>
      <c r="K112" s="106">
        <f ca="1">MAX(Table10[[#This Row],[HH]]*VLOOKUP("Winter Clothes Children ",NFI,6)-Table10[[#This Row],[Winter Clothes Children ]],0)</f>
        <v>185</v>
      </c>
      <c r="L112" s="106">
        <f ca="1">MAX(Table10[[#This Row],[HH]]*VLOOKUP("Winter Items Other ",NFI,6)-Table10[[#This Row],[Winter Items Other ]],0)</f>
        <v>185</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24</v>
      </c>
      <c r="F113" s="106">
        <f ca="1">OFFSET(CampList[Total],MATCH(Table10[[#This Row],[Pcode]],CampList[CP_Pcode],0)-1,0,1,1)</f>
        <v>97</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48</v>
      </c>
      <c r="K113" s="106">
        <f ca="1">MAX(Table10[[#This Row],[HH]]*VLOOKUP("Winter Clothes Children ",NFI,6)-Table10[[#This Row],[Winter Clothes Children ]],0)</f>
        <v>24</v>
      </c>
      <c r="L113" s="106">
        <f ca="1">MAX(Table10[[#This Row],[HH]]*VLOOKUP("Winter Items Other ",NFI,6)-Table10[[#This Row],[Winter Items Other ]],0)</f>
        <v>24</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14</v>
      </c>
      <c r="F114" s="106">
        <f ca="1">OFFSET(CampList[Total],MATCH(Table10[[#This Row],[Pcode]],CampList[CP_Pcode],0)-1,0,1,1)</f>
        <v>76</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28</v>
      </c>
      <c r="K114" s="106">
        <f ca="1">MAX(Table10[[#This Row],[HH]]*VLOOKUP("Winter Clothes Children ",NFI,6)-Table10[[#This Row],[Winter Clothes Children ]],0)</f>
        <v>14</v>
      </c>
      <c r="L114" s="106">
        <f ca="1">MAX(Table10[[#This Row],[HH]]*VLOOKUP("Winter Items Other ",NFI,6)-Table10[[#This Row],[Winter Items Other ]],0)</f>
        <v>14</v>
      </c>
      <c r="M114" s="114" t="str">
        <f>IF(OR(Table10[[#This Row],[Winter Clothes Adult ]]&lt;&gt;0,Table10[[#This Row],[Winter Clothes Children ]]&lt;&gt;0,Table10[[#This Row],[Winter Items Other ]]&lt;&gt;0),"No","")</f>
        <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4</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8</v>
      </c>
      <c r="K115" s="106">
        <f ca="1">MAX(Table10[[#This Row],[HH]]*VLOOKUP("Winter Clothes Children ",NFI,6)-Table10[[#This Row],[Winter Clothes Children ]],0)</f>
        <v>4</v>
      </c>
      <c r="L115" s="106">
        <f ca="1">MAX(Table10[[#This Row],[HH]]*VLOOKUP("Winter Items Other ",NFI,6)-Table10[[#This Row],[Winter Items Other ]],0)</f>
        <v>4</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415</v>
      </c>
      <c r="F116" s="106">
        <f ca="1">OFFSET(CampList[Total],MATCH(Table10[[#This Row],[Pcode]],CampList[CP_Pcode],0)-1,0,1,1)</f>
        <v>1898</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830</v>
      </c>
      <c r="K116" s="106">
        <f ca="1">MAX(Table10[[#This Row],[HH]]*VLOOKUP("Winter Clothes Children ",NFI,6)-Table10[[#This Row],[Winter Clothes Children ]],0)</f>
        <v>415</v>
      </c>
      <c r="L116" s="106">
        <f ca="1">MAX(Table10[[#This Row],[HH]]*VLOOKUP("Winter Items Other ",NFI,6)-Table10[[#This Row],[Winter Items Other ]],0)</f>
        <v>415</v>
      </c>
      <c r="M116" s="114" t="str">
        <f>IF(OR(Table10[[#This Row],[Winter Clothes Adult ]]&lt;&gt;0,Table10[[#This Row],[Winter Clothes Children ]]&lt;&gt;0,Table10[[#This Row],[Winter Items Other ]]&lt;&gt;0),"No","")</f>
        <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906</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42</v>
      </c>
      <c r="F118" s="106">
        <f ca="1">OFFSET(CampList[Total],MATCH(Table10[[#This Row],[Pcode]],CampList[CP_Pcode],0)-1,0,1,1)</f>
        <v>192</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84</v>
      </c>
      <c r="K118" s="106">
        <f ca="1">MAX(Table10[[#This Row],[HH]]*VLOOKUP("Winter Clothes Children ",NFI,6)-Table10[[#This Row],[Winter Clothes Children ]],0)</f>
        <v>42</v>
      </c>
      <c r="L118" s="106">
        <f ca="1">MAX(Table10[[#This Row],[HH]]*VLOOKUP("Winter Items Other ",NFI,6)-Table10[[#This Row],[Winter Items Other ]],0)</f>
        <v>42</v>
      </c>
      <c r="M118" s="114" t="str">
        <f>IF(OR(Table10[[#This Row],[Winter Clothes Adult ]]&lt;&gt;0,Table10[[#This Row],[Winter Clothes Children ]]&lt;&gt;0,Table10[[#This Row],[Winter Items Other ]]&lt;&gt;0),"No","")</f>
        <v/>
      </c>
      <c r="N118" s="115">
        <f>COUNTIF(A:A,Table10[[#This Row],[Pcode]])-1</f>
        <v>0</v>
      </c>
    </row>
    <row r="119" spans="1:14" x14ac:dyDescent="0.25">
      <c r="A119" s="102" t="s">
        <v>916</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22</v>
      </c>
      <c r="F119" s="106">
        <f ca="1">OFFSET(CampList[Total],MATCH(Table10[[#This Row],[Pcode]],CampList[CP_Pcode],0)-1,0,1,1)</f>
        <v>107</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44</v>
      </c>
      <c r="K119" s="106">
        <f ca="1">MAX(Table10[[#This Row],[HH]]*VLOOKUP("Winter Clothes Children ",NFI,6)-Table10[[#This Row],[Winter Clothes Children ]],0)</f>
        <v>22</v>
      </c>
      <c r="L119" s="106">
        <f ca="1">MAX(Table10[[#This Row],[HH]]*VLOOKUP("Winter Items Other ",NFI,6)-Table10[[#This Row],[Winter Items Other ]],0)</f>
        <v>22</v>
      </c>
      <c r="M119" s="114" t="str">
        <f>IF(OR(Table10[[#This Row],[Winter Clothes Adult ]]&lt;&gt;0,Table10[[#This Row],[Winter Clothes Children ]]&lt;&gt;0,Table10[[#This Row],[Winter Items Other ]]&lt;&gt;0),"No","")</f>
        <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59</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25">
      <c r="A123" s="102" t="s">
        <v>908</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200</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46</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25">
      <c r="A125" s="102" t="s">
        <v>912</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126</v>
      </c>
      <c r="F125" s="106">
        <f ca="1">OFFSET(CampList[Total],MATCH(Table10[[#This Row],[Pcode]],CampList[CP_Pcode],0)-1,0,1,1)</f>
        <v>575</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252</v>
      </c>
      <c r="K125" s="106">
        <f ca="1">MAX(Table10[[#This Row],[HH]]*VLOOKUP("Winter Clothes Children ",NFI,6)-Table10[[#This Row],[Winter Clothes Children ]],0)</f>
        <v>126</v>
      </c>
      <c r="L125" s="106">
        <f ca="1">MAX(Table10[[#This Row],[HH]]*VLOOKUP("Winter Items Other ",NFI,6)-Table10[[#This Row],[Winter Items Other ]],0)</f>
        <v>126</v>
      </c>
      <c r="M125" s="114" t="str">
        <f>IF(OR(Table10[[#This Row],[Winter Clothes Adult ]]&lt;&gt;0,Table10[[#This Row],[Winter Clothes Children ]]&lt;&gt;0,Table10[[#This Row],[Winter Items Other ]]&lt;&gt;0),"No","")</f>
        <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58</v>
      </c>
      <c r="F126" s="106">
        <f ca="1">OFFSET(CampList[Total],MATCH(Table10[[#This Row],[Pcode]],CampList[CP_Pcode],0)-1,0,1,1)</f>
        <v>308</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116</v>
      </c>
      <c r="K126" s="106">
        <f ca="1">MAX(Table10[[#This Row],[HH]]*VLOOKUP("Winter Clothes Children ",NFI,6)-Table10[[#This Row],[Winter Clothes Children ]],0)</f>
        <v>58</v>
      </c>
      <c r="L126" s="106">
        <f ca="1">MAX(Table10[[#This Row],[HH]]*VLOOKUP("Winter Items Other ",NFI,6)-Table10[[#This Row],[Winter Items Other ]],0)</f>
        <v>58</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21</v>
      </c>
      <c r="F127" s="106">
        <f ca="1">OFFSET(CampList[Total],MATCH(Table10[[#This Row],[Pcode]],CampList[CP_Pcode],0)-1,0,1,1)</f>
        <v>112</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42</v>
      </c>
      <c r="K127" s="106">
        <f ca="1">MAX(Table10[[#This Row],[HH]]*VLOOKUP("Winter Clothes Children ",NFI,6)-Table10[[#This Row],[Winter Clothes Children ]],0)</f>
        <v>21</v>
      </c>
      <c r="L127" s="106">
        <f ca="1">MAX(Table10[[#This Row],[HH]]*VLOOKUP("Winter Items Other ",NFI,6)-Table10[[#This Row],[Winter Items Other ]],0)</f>
        <v>21</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48</v>
      </c>
      <c r="F128" s="106">
        <f ca="1">OFFSET(CampList[Total],MATCH(Table10[[#This Row],[Pcode]],CampList[CP_Pcode],0)-1,0,1,1)</f>
        <v>225</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96</v>
      </c>
      <c r="K128" s="106">
        <f ca="1">MAX(Table10[[#This Row],[HH]]*VLOOKUP("Winter Clothes Children ",NFI,6)-Table10[[#This Row],[Winter Clothes Children ]],0)</f>
        <v>48</v>
      </c>
      <c r="L128" s="106">
        <f ca="1">MAX(Table10[[#This Row],[HH]]*VLOOKUP("Winter Items Other ",NFI,6)-Table10[[#This Row],[Winter Items Other ]],0)</f>
        <v>48</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773</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41</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20</v>
      </c>
      <c r="F132" s="106">
        <f ca="1">OFFSET(CampList[Total],MATCH(Table10[[#This Row],[Pcode]],CampList[CP_Pcode],0)-1,0,1,1)</f>
        <v>86</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40</v>
      </c>
      <c r="K132" s="106">
        <f ca="1">MAX(Table10[[#This Row],[HH]]*VLOOKUP("Winter Clothes Children ",NFI,6)-Table10[[#This Row],[Winter Clothes Children ]],0)</f>
        <v>20</v>
      </c>
      <c r="L132" s="106">
        <f ca="1">MAX(Table10[[#This Row],[HH]]*VLOOKUP("Winter Items Other ",NFI,6)-Table10[[#This Row],[Winter Items Other ]],0)</f>
        <v>20</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24</v>
      </c>
      <c r="F133" s="106">
        <f ca="1">OFFSET(CampList[Total],MATCH(Table10[[#This Row],[Pcode]],CampList[CP_Pcode],0)-1,0,1,1)</f>
        <v>115</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48</v>
      </c>
      <c r="K133" s="106">
        <f ca="1">MAX(Table10[[#This Row],[HH]]*VLOOKUP("Winter Clothes Children ",NFI,6)-Table10[[#This Row],[Winter Clothes Children ]],0)</f>
        <v>24</v>
      </c>
      <c r="L133" s="106">
        <f ca="1">MAX(Table10[[#This Row],[HH]]*VLOOKUP("Winter Items Other ",NFI,6)-Table10[[#This Row],[Winter Items Other ]],0)</f>
        <v>24</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67</v>
      </c>
      <c r="F135" s="106">
        <f ca="1">OFFSET(CampList[Total],MATCH(Table10[[#This Row],[Pcode]],CampList[CP_Pcode],0)-1,0,1,1)</f>
        <v>296</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134</v>
      </c>
      <c r="K135" s="106">
        <f ca="1">MAX(Table10[[#This Row],[HH]]*VLOOKUP("Winter Clothes Children ",NFI,6)-Table10[[#This Row],[Winter Clothes Children ]],0)</f>
        <v>67</v>
      </c>
      <c r="L135" s="106">
        <f ca="1">MAX(Table10[[#This Row],[HH]]*VLOOKUP("Winter Items Other ",NFI,6)-Table10[[#This Row],[Winter Items Other ]],0)</f>
        <v>67</v>
      </c>
      <c r="M135" s="114" t="str">
        <f>IF(OR(Table10[[#This Row],[Winter Clothes Adult ]]&lt;&gt;0,Table10[[#This Row],[Winter Clothes Children ]]&lt;&gt;0,Table10[[#This Row],[Winter Items Other ]]&lt;&gt;0),"No","")</f>
        <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64</v>
      </c>
      <c r="F136" s="106">
        <f ca="1">OFFSET(CampList[Total],MATCH(Table10[[#This Row],[Pcode]],CampList[CP_Pcode],0)-1,0,1,1)</f>
        <v>362</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128</v>
      </c>
      <c r="K136" s="106">
        <f ca="1">MAX(Table10[[#This Row],[HH]]*VLOOKUP("Winter Clothes Children ",NFI,6)-Table10[[#This Row],[Winter Clothes Children ]],0)</f>
        <v>64</v>
      </c>
      <c r="L136" s="106">
        <f ca="1">MAX(Table10[[#This Row],[HH]]*VLOOKUP("Winter Items Other ",NFI,6)-Table10[[#This Row],[Winter Items Other ]],0)</f>
        <v>64</v>
      </c>
      <c r="M136" s="114" t="str">
        <f>IF(OR(Table10[[#This Row],[Winter Clothes Adult ]]&lt;&gt;0,Table10[[#This Row],[Winter Clothes Children ]]&lt;&gt;0,Table10[[#This Row],[Winter Items Other ]]&lt;&gt;0),"No","")</f>
        <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771</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117</v>
      </c>
      <c r="F139" s="106">
        <f ca="1">OFFSET(CampList[Total],MATCH(Table10[[#This Row],[Pcode]],CampList[CP_Pcode],0)-1,0,1,1)</f>
        <v>459</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234</v>
      </c>
      <c r="K139" s="106">
        <f ca="1">MAX(Table10[[#This Row],[HH]]*VLOOKUP("Winter Clothes Children ",NFI,6)-Table10[[#This Row],[Winter Clothes Children ]],0)</f>
        <v>117</v>
      </c>
      <c r="L139" s="106">
        <f ca="1">MAX(Table10[[#This Row],[HH]]*VLOOKUP("Winter Items Other ",NFI,6)-Table10[[#This Row],[Winter Items Other ]],0)</f>
        <v>117</v>
      </c>
      <c r="M139" s="114" t="str">
        <f>IF(OR(Table10[[#This Row],[Winter Clothes Adult ]]&lt;&gt;0,Table10[[#This Row],[Winter Clothes Children ]]&lt;&gt;0,Table10[[#This Row],[Winter Items Other ]]&lt;&gt;0),"No","")</f>
        <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63</v>
      </c>
      <c r="F140" s="106">
        <f ca="1">OFFSET(CampList[Total],MATCH(Table10[[#This Row],[Pcode]],CampList[CP_Pcode],0)-1,0,1,1)</f>
        <v>321</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126</v>
      </c>
      <c r="K140" s="106">
        <f ca="1">MAX(Table10[[#This Row],[HH]]*VLOOKUP("Winter Clothes Children ",NFI,6)-Table10[[#This Row],[Winter Clothes Children ]],0)</f>
        <v>63</v>
      </c>
      <c r="L140" s="106">
        <f ca="1">MAX(Table10[[#This Row],[HH]]*VLOOKUP("Winter Items Other ",NFI,6)-Table10[[#This Row],[Winter Items Other ]],0)</f>
        <v>63</v>
      </c>
      <c r="M140" s="114" t="str">
        <f>IF(OR(Table10[[#This Row],[Winter Clothes Adult ]]&lt;&gt;0,Table10[[#This Row],[Winter Clothes Children ]]&lt;&gt;0,Table10[[#This Row],[Winter Items Other ]]&lt;&gt;0),"No","")</f>
        <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29</v>
      </c>
      <c r="F141" s="106">
        <f ca="1">OFFSET(CampList[Total],MATCH(Table10[[#This Row],[Pcode]],CampList[CP_Pcode],0)-1,0,1,1)</f>
        <v>160</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58</v>
      </c>
      <c r="K141" s="106">
        <f ca="1">MAX(Table10[[#This Row],[HH]]*VLOOKUP("Winter Clothes Children ",NFI,6)-Table10[[#This Row],[Winter Clothes Children ]],0)</f>
        <v>29</v>
      </c>
      <c r="L141" s="106">
        <f ca="1">MAX(Table10[[#This Row],[HH]]*VLOOKUP("Winter Items Other ",NFI,6)-Table10[[#This Row],[Winter Items Other ]],0)</f>
        <v>29</v>
      </c>
      <c r="M141" s="114" t="str">
        <f>IF(OR(Table10[[#This Row],[Winter Clothes Adult ]]&lt;&gt;0,Table10[[#This Row],[Winter Clothes Children ]]&lt;&gt;0,Table10[[#This Row],[Winter Items Other ]]&lt;&gt;0),"No","")</f>
        <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499</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39</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118</v>
      </c>
      <c r="F146" s="106">
        <f ca="1">OFFSET(CampList[Total],MATCH(Table10[[#This Row],[Pcode]],CampList[CP_Pcode],0)-1,0,1,1)</f>
        <v>569</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236</v>
      </c>
      <c r="K146" s="106">
        <f ca="1">MAX(Table10[[#This Row],[HH]]*VLOOKUP("Winter Clothes Children ",NFI,6)-Table10[[#This Row],[Winter Clothes Children ]],0)</f>
        <v>118</v>
      </c>
      <c r="L146" s="106">
        <f ca="1">MAX(Table10[[#This Row],[HH]]*VLOOKUP("Winter Items Other ",NFI,6)-Table10[[#This Row],[Winter Items Other ]],0)</f>
        <v>118</v>
      </c>
      <c r="M146" s="114" t="str">
        <f>IF(OR(Table10[[#This Row],[Winter Clothes Adult ]]&lt;&gt;0,Table10[[#This Row],[Winter Clothes Children ]]&lt;&gt;0,Table10[[#This Row],[Winter Items Other ]]&lt;&gt;0),"No","")</f>
        <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114</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88</v>
      </c>
      <c r="F148" s="106">
        <f ca="1">OFFSET(CampList[Total],MATCH(Table10[[#This Row],[Pcode]],CampList[CP_Pcode],0)-1,0,1,1)</f>
        <v>330</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176</v>
      </c>
      <c r="K148" s="106">
        <f ca="1">MAX(Table10[[#This Row],[HH]]*VLOOKUP("Winter Clothes Children ",NFI,6)-Table10[[#This Row],[Winter Clothes Children ]],0)</f>
        <v>88</v>
      </c>
      <c r="L148" s="106">
        <f ca="1">MAX(Table10[[#This Row],[HH]]*VLOOKUP("Winter Items Other ",NFI,6)-Table10[[#This Row],[Winter Items Other ]],0)</f>
        <v>88</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46</v>
      </c>
      <c r="F149" s="106">
        <f ca="1">OFFSET(CampList[Total],MATCH(Table10[[#This Row],[Pcode]],CampList[CP_Pcode],0)-1,0,1,1)</f>
        <v>199</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92</v>
      </c>
      <c r="K149" s="106">
        <f ca="1">MAX(Table10[[#This Row],[HH]]*VLOOKUP("Winter Clothes Children ",NFI,6)-Table10[[#This Row],[Winter Clothes Children ]],0)</f>
        <v>46</v>
      </c>
      <c r="L149" s="106">
        <f ca="1">MAX(Table10[[#This Row],[HH]]*VLOOKUP("Winter Items Other ",NFI,6)-Table10[[#This Row],[Winter Items Other ]],0)</f>
        <v>46</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511</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50</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751</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73</v>
      </c>
      <c r="F155" s="106">
        <f ca="1">OFFSET(CampList[Total],MATCH(Table10[[#This Row],[Pcode]],CampList[CP_Pcode],0)-1,0,1,1)</f>
        <v>406</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146</v>
      </c>
      <c r="K155" s="106">
        <f ca="1">MAX(Table10[[#This Row],[HH]]*VLOOKUP("Winter Clothes Children ",NFI,6)-Table10[[#This Row],[Winter Clothes Children ]],0)</f>
        <v>73</v>
      </c>
      <c r="L155" s="106">
        <f ca="1">MAX(Table10[[#This Row],[HH]]*VLOOKUP("Winter Items Other ",NFI,6)-Table10[[#This Row],[Winter Items Other ]],0)</f>
        <v>73</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267</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7</v>
      </c>
      <c r="F157" s="106">
        <f ca="1">OFFSET(CampList[Total],MATCH(Table10[[#This Row],[Pcode]],CampList[CP_Pcode],0)-1,0,1,1)</f>
        <v>31</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14</v>
      </c>
      <c r="K157" s="106">
        <f ca="1">MAX(Table10[[#This Row],[HH]]*VLOOKUP("Winter Clothes Children ",NFI,6)-Table10[[#This Row],[Winter Clothes Children ]],0)</f>
        <v>7</v>
      </c>
      <c r="L157" s="106">
        <f ca="1">MAX(Table10[[#This Row],[HH]]*VLOOKUP("Winter Items Other ",NFI,6)-Table10[[#This Row],[Winter Items Other ]],0)</f>
        <v>7</v>
      </c>
      <c r="M157" s="114" t="str">
        <f>IF(OR(Table10[[#This Row],[Winter Clothes Adult ]]&lt;&gt;0,Table10[[#This Row],[Winter Clothes Children ]]&lt;&gt;0,Table10[[#This Row],[Winter Items Other ]]&lt;&gt;0),"No","")</f>
        <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241</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46</v>
      </c>
      <c r="F160" s="106">
        <f ca="1">OFFSET(CampList[Total],MATCH(Table10[[#This Row],[Pcode]],CampList[CP_Pcode],0)-1,0,1,1)</f>
        <v>192</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92</v>
      </c>
      <c r="K160" s="106">
        <f ca="1">MAX(Table10[[#This Row],[HH]]*VLOOKUP("Winter Clothes Children ",NFI,6)-Table10[[#This Row],[Winter Clothes Children ]],0)</f>
        <v>46</v>
      </c>
      <c r="L160" s="106">
        <f ca="1">MAX(Table10[[#This Row],[HH]]*VLOOKUP("Winter Items Other ",NFI,6)-Table10[[#This Row],[Winter Items Other ]],0)</f>
        <v>46</v>
      </c>
      <c r="M160" s="114" t="str">
        <f>IF(OR(Table10[[#This Row],[Winter Clothes Adult ]]&lt;&gt;0,Table10[[#This Row],[Winter Clothes Children ]]&lt;&gt;0,Table10[[#This Row],[Winter Items Other ]]&lt;&gt;0),"No","")</f>
        <v/>
      </c>
      <c r="N160" s="115">
        <f>COUNTIF(A:A,Table10[[#This Row],[Pcode]])-1</f>
        <v>0</v>
      </c>
    </row>
    <row r="161" spans="1:14" x14ac:dyDescent="0.25">
      <c r="A161" s="102" t="s">
        <v>876</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69</v>
      </c>
      <c r="F162" s="106">
        <f ca="1">OFFSET(CampList[Total],MATCH(Table10[[#This Row],[Pcode]],CampList[CP_Pcode],0)-1,0,1,1)</f>
        <v>290</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138</v>
      </c>
      <c r="K162" s="106">
        <f ca="1">MAX(Table10[[#This Row],[HH]]*VLOOKUP("Winter Clothes Children ",NFI,6)-Table10[[#This Row],[Winter Clothes Children ]],0)</f>
        <v>69</v>
      </c>
      <c r="L162" s="106">
        <f ca="1">MAX(Table10[[#This Row],[HH]]*VLOOKUP("Winter Items Other ",NFI,6)-Table10[[#This Row],[Winter Items Other ]],0)</f>
        <v>69</v>
      </c>
      <c r="M162" s="114" t="str">
        <f>IF(OR(Table10[[#This Row],[Winter Clothes Adult ]]&lt;&gt;0,Table10[[#This Row],[Winter Clothes Children ]]&lt;&gt;0,Table10[[#This Row],[Winter Items Other ]]&lt;&gt;0),"No","")</f>
        <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180</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1425</v>
      </c>
      <c r="F165" s="106">
        <f ca="1">OFFSET(CampList[Total],MATCH(Table10[[#This Row],[Pcode]],CampList[CP_Pcode],0)-1,0,1,1)</f>
        <v>7038</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2850</v>
      </c>
      <c r="K165" s="106">
        <f ca="1">MAX(Table10[[#This Row],[HH]]*VLOOKUP("Winter Clothes Children ",NFI,6)-Table10[[#This Row],[Winter Clothes Children ]],0)</f>
        <v>1425</v>
      </c>
      <c r="L165" s="106">
        <f ca="1">MAX(Table10[[#This Row],[HH]]*VLOOKUP("Winter Items Other ",NFI,6)-Table10[[#This Row],[Winter Items Other ]],0)</f>
        <v>1425</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14</v>
      </c>
      <c r="F167" s="106">
        <f ca="1">OFFSET(CampList[Total],MATCH(Table10[[#This Row],[Pcode]],CampList[CP_Pcode],0)-1,0,1,1)</f>
        <v>77</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28</v>
      </c>
      <c r="K167" s="106">
        <f ca="1">MAX(Table10[[#This Row],[HH]]*VLOOKUP("Winter Clothes Children ",NFI,6)-Table10[[#This Row],[Winter Clothes Children ]],0)</f>
        <v>14</v>
      </c>
      <c r="L167" s="106">
        <f ca="1">MAX(Table10[[#This Row],[HH]]*VLOOKUP("Winter Items Other ",NFI,6)-Table10[[#This Row],[Winter Items Other ]],0)</f>
        <v>14</v>
      </c>
      <c r="M167" s="114" t="str">
        <f>IF(OR(Table10[[#This Row],[Winter Clothes Adult ]]&lt;&gt;0,Table10[[#This Row],[Winter Clothes Children ]]&lt;&gt;0,Table10[[#This Row],[Winter Items Other ]]&lt;&gt;0),"No","")</f>
        <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66</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tabSelected="1" zoomScale="112" zoomScaleNormal="112" zoomScaleSheetLayoutView="80" workbookViewId="0">
      <selection activeCell="AH15" sqref="AH15"/>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23" customWidth="1"/>
    <col min="41" max="45" width="11" style="8" customWidth="1"/>
    <col min="46" max="46" width="11.42578125" style="323"/>
    <col min="47" max="47" width="29.140625" style="8" customWidth="1"/>
    <col min="48" max="48" width="5" style="8" customWidth="1"/>
    <col min="49" max="49" width="11.42578125" style="8" customWidth="1"/>
    <col min="50" max="50" width="16.28515625" style="8" customWidth="1"/>
    <col min="51" max="51" width="17.85546875" style="8"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23"/>
      <c r="AJ1" s="323"/>
      <c r="AK1" s="323"/>
      <c r="AL1" s="323"/>
      <c r="AM1" s="323"/>
      <c r="AN1" s="323"/>
      <c r="AT1" s="323"/>
      <c r="AU1"/>
      <c r="AV1"/>
      <c r="AW1"/>
      <c r="WD1" s="13"/>
    </row>
    <row r="2" spans="1:602" s="1" customFormat="1" ht="25.15" customHeight="1" thickBot="1" x14ac:dyDescent="0.3">
      <c r="B2" s="86"/>
      <c r="C2" s="390" t="s">
        <v>1416</v>
      </c>
      <c r="D2" s="390"/>
      <c r="E2" s="390"/>
      <c r="F2" s="390"/>
      <c r="G2" s="390"/>
      <c r="H2" s="390"/>
      <c r="I2" s="390"/>
      <c r="J2" s="382"/>
      <c r="K2" s="382"/>
      <c r="L2" s="382"/>
      <c r="M2" s="382"/>
      <c r="N2" s="382"/>
      <c r="O2" s="382"/>
      <c r="P2" s="382"/>
      <c r="Q2" s="382"/>
      <c r="R2" s="382"/>
      <c r="S2" s="382"/>
      <c r="T2" s="87"/>
      <c r="V2" s="38" t="s">
        <v>1026</v>
      </c>
      <c r="W2" s="72">
        <f>SUMIFS(CampList[HH],CampList[Status],"open",CampList[Opening Date],"&gt;=" &amp; NFI_Monitor_Date)</f>
        <v>2684</v>
      </c>
      <c r="X2" s="38"/>
      <c r="Y2" s="38"/>
      <c r="Z2" s="38"/>
      <c r="AA2" s="38"/>
      <c r="AB2" s="38"/>
      <c r="AC2" s="38"/>
      <c r="AD2" s="38"/>
      <c r="AE2" s="38"/>
      <c r="AF2" s="30"/>
      <c r="AG2" s="30"/>
      <c r="AH2" s="30"/>
      <c r="AI2" s="323"/>
      <c r="AJ2" s="323"/>
      <c r="AK2" s="323"/>
      <c r="AL2" s="323"/>
      <c r="AM2" s="323"/>
      <c r="AN2" s="323"/>
      <c r="AO2" s="30"/>
      <c r="AP2" s="30"/>
      <c r="AQ2" s="30"/>
      <c r="AR2" s="30"/>
      <c r="AS2" s="30"/>
      <c r="AT2" s="323"/>
      <c r="AU2"/>
      <c r="AV2"/>
      <c r="AW2"/>
      <c r="AX2" s="571" t="s">
        <v>408</v>
      </c>
      <c r="AY2" s="572" t="s">
        <v>960</v>
      </c>
      <c r="AZ2" s="30"/>
      <c r="BJ2" s="15"/>
      <c r="BK2" s="15"/>
      <c r="WD2" s="184"/>
    </row>
    <row r="3" spans="1:602" s="5" customFormat="1" ht="12.75" customHeight="1" thickBot="1" x14ac:dyDescent="0.3">
      <c r="B3" s="88"/>
      <c r="C3" s="817">
        <f>Definition!B23</f>
        <v>43160</v>
      </c>
      <c r="D3" s="817"/>
      <c r="E3" s="817"/>
      <c r="F3" s="817"/>
      <c r="G3" s="817"/>
      <c r="H3" s="817"/>
      <c r="I3" s="97"/>
      <c r="J3" s="85"/>
      <c r="K3" s="85"/>
      <c r="L3" s="85"/>
      <c r="M3" s="85"/>
      <c r="N3" s="85"/>
      <c r="O3" s="85"/>
      <c r="P3" s="85"/>
      <c r="Q3" s="85"/>
      <c r="R3" s="85"/>
      <c r="S3" s="85"/>
      <c r="T3" s="89"/>
      <c r="V3" s="38" t="s">
        <v>1027</v>
      </c>
      <c r="W3" s="72" t="e">
        <f>SUMIFS(CampList[HH],CampList[Status],"open",#REF!,"P1")</f>
        <v>#REF!</v>
      </c>
      <c r="X3" s="72"/>
      <c r="Y3" s="38"/>
      <c r="Z3" s="38"/>
      <c r="AA3" s="38"/>
      <c r="AB3" s="38"/>
      <c r="AC3" s="38"/>
      <c r="AD3" s="38"/>
      <c r="AE3" s="38"/>
      <c r="AF3" s="30"/>
      <c r="AG3" s="323"/>
      <c r="AH3" s="323"/>
      <c r="AI3" s="323"/>
      <c r="AJ3" s="323"/>
      <c r="AK3" s="323"/>
      <c r="AL3" s="323"/>
      <c r="AM3" s="323"/>
      <c r="AN3" s="323"/>
      <c r="AO3" s="323"/>
      <c r="AP3" s="323"/>
      <c r="AQ3" s="30"/>
      <c r="AR3" s="30"/>
      <c r="AS3" s="30"/>
      <c r="AT3" s="323"/>
      <c r="AU3"/>
      <c r="AV3"/>
      <c r="AW3"/>
      <c r="AX3"/>
      <c r="AY3"/>
      <c r="AZ3"/>
      <c r="BA3"/>
      <c r="BB3"/>
      <c r="BC3"/>
      <c r="BD3"/>
      <c r="BJ3" s="16"/>
      <c r="BK3" s="16"/>
      <c r="WD3" s="185"/>
    </row>
    <row r="4" spans="1:602" s="13" customFormat="1" ht="36.75" thickBot="1" x14ac:dyDescent="0.6">
      <c r="B4" s="391"/>
      <c r="C4" s="386"/>
      <c r="D4" s="385"/>
      <c r="E4" s="385"/>
      <c r="F4"/>
      <c r="G4"/>
      <c r="H4" s="385"/>
      <c r="I4" s="385"/>
      <c r="J4" s="385"/>
      <c r="K4" s="385"/>
      <c r="L4" s="385"/>
      <c r="M4" s="385"/>
      <c r="N4" s="385"/>
      <c r="O4" s="385"/>
      <c r="P4" s="385"/>
      <c r="Q4" s="387"/>
      <c r="R4" s="385"/>
      <c r="S4" s="385"/>
      <c r="T4" s="392"/>
      <c r="V4" s="13" t="s">
        <v>1223</v>
      </c>
      <c r="AG4" s="323"/>
      <c r="AH4" s="323"/>
      <c r="AI4" s="323"/>
      <c r="AJ4" s="323"/>
      <c r="AK4" s="323"/>
      <c r="AL4" s="323"/>
      <c r="AM4" s="323"/>
      <c r="AN4" s="323"/>
      <c r="AO4" s="323"/>
      <c r="AP4" s="323"/>
      <c r="AU4" s="139" t="s">
        <v>1459</v>
      </c>
      <c r="AV4"/>
      <c r="AW4"/>
      <c r="AX4" s="460" t="s">
        <v>1308</v>
      </c>
      <c r="AY4" s="474" t="s">
        <v>1420</v>
      </c>
      <c r="AZ4"/>
      <c r="BA4"/>
      <c r="BB4"/>
      <c r="BC4"/>
      <c r="BD4"/>
    </row>
    <row r="5" spans="1:602" s="13" customFormat="1" ht="36.75" thickBot="1" x14ac:dyDescent="0.6">
      <c r="B5" s="123"/>
      <c r="C5" s="124"/>
      <c r="D5" s="125"/>
      <c r="E5" s="125"/>
      <c r="I5" s="125"/>
      <c r="J5" s="125"/>
      <c r="K5" s="125"/>
      <c r="L5" s="125"/>
      <c r="M5" s="125"/>
      <c r="N5" s="125"/>
      <c r="O5" s="125"/>
      <c r="P5" s="125"/>
      <c r="Q5" s="126"/>
      <c r="R5" s="125"/>
      <c r="S5" s="125"/>
      <c r="T5" s="127"/>
      <c r="AG5" s="323"/>
      <c r="AH5" s="323"/>
      <c r="AI5" s="323"/>
      <c r="AJ5" s="323"/>
      <c r="AK5" s="323"/>
      <c r="AL5" s="323"/>
      <c r="AM5" s="323"/>
      <c r="AN5" s="323"/>
      <c r="AO5" s="323"/>
      <c r="AP5" s="323"/>
      <c r="AU5" s="6" t="s">
        <v>1458</v>
      </c>
      <c r="AV5" s="133">
        <v>430</v>
      </c>
      <c r="AW5"/>
      <c r="AX5" s="745" t="s">
        <v>1268</v>
      </c>
      <c r="AY5" s="475">
        <v>4</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23"/>
      <c r="AH6" s="323"/>
      <c r="AI6" s="323"/>
      <c r="AJ6" s="323"/>
      <c r="AK6" s="323"/>
      <c r="AL6" s="323"/>
      <c r="AM6" s="323"/>
      <c r="AN6" s="323"/>
      <c r="AO6" s="323"/>
      <c r="AP6" s="323"/>
      <c r="AT6" s="323"/>
      <c r="AU6" s="6" t="s">
        <v>1457</v>
      </c>
      <c r="AV6" s="133">
        <v>726</v>
      </c>
      <c r="AW6"/>
      <c r="AX6" s="493" t="s">
        <v>462</v>
      </c>
      <c r="AY6" s="476">
        <v>2</v>
      </c>
      <c r="WD6" s="13"/>
    </row>
    <row r="7" spans="1:602" s="30" customFormat="1" x14ac:dyDescent="0.2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23"/>
      <c r="AH7" s="323"/>
      <c r="AI7" s="323"/>
      <c r="AJ7" s="323"/>
      <c r="AK7" s="323"/>
      <c r="AL7" s="323"/>
      <c r="AM7" s="323"/>
      <c r="AN7" s="323"/>
      <c r="AO7" s="323"/>
      <c r="AP7" s="323"/>
      <c r="AT7" s="323"/>
      <c r="AU7" s="6" t="s">
        <v>1456</v>
      </c>
      <c r="AV7" s="133">
        <v>2710</v>
      </c>
      <c r="AW7"/>
      <c r="AX7" s="493" t="s">
        <v>1597</v>
      </c>
      <c r="AY7" s="476">
        <v>11</v>
      </c>
      <c r="WD7" s="13"/>
    </row>
    <row r="8" spans="1:602" ht="15" customHeight="1" x14ac:dyDescent="0.25">
      <c r="B8" s="95"/>
      <c r="C8" s="138"/>
      <c r="D8" s="138"/>
      <c r="E8" s="138"/>
      <c r="I8" s="138"/>
      <c r="J8" s="138"/>
      <c r="K8" s="138"/>
      <c r="L8" s="138"/>
      <c r="M8" s="138"/>
      <c r="N8" s="138"/>
      <c r="O8" s="138"/>
      <c r="P8" s="138"/>
      <c r="Q8" s="138"/>
      <c r="R8" s="138"/>
      <c r="S8" s="138"/>
      <c r="T8" s="93"/>
      <c r="Y8" s="1"/>
      <c r="AG8" s="323"/>
      <c r="AH8" s="323"/>
      <c r="AO8" s="323"/>
      <c r="AP8" s="323"/>
      <c r="AU8" s="6" t="s">
        <v>1455</v>
      </c>
      <c r="AV8" s="133">
        <v>2522</v>
      </c>
      <c r="AW8"/>
      <c r="AX8" s="493" t="s">
        <v>1091</v>
      </c>
      <c r="AY8" s="476">
        <v>2</v>
      </c>
    </row>
    <row r="9" spans="1:602" ht="24" x14ac:dyDescent="0.25">
      <c r="B9" s="95"/>
      <c r="C9" s="398"/>
      <c r="D9" s="399"/>
      <c r="E9" s="400"/>
      <c r="I9" s="399"/>
      <c r="J9" s="400"/>
      <c r="K9" s="138"/>
      <c r="L9" s="398"/>
      <c r="M9" s="399"/>
      <c r="N9" s="400"/>
      <c r="O9" s="399"/>
      <c r="P9" s="399"/>
      <c r="Q9" s="399"/>
      <c r="R9" s="399"/>
      <c r="S9" s="400"/>
      <c r="T9" s="93"/>
      <c r="W9" s="14"/>
      <c r="X9" s="1"/>
      <c r="Y9" s="95"/>
      <c r="Z9" s="129" t="s">
        <v>766</v>
      </c>
      <c r="AA9" s="129" t="s">
        <v>767</v>
      </c>
      <c r="AB9" s="43" t="s">
        <v>768</v>
      </c>
      <c r="AC9" s="43" t="s">
        <v>769</v>
      </c>
      <c r="AD9" s="44" t="s">
        <v>770</v>
      </c>
      <c r="AE9" s="44" t="s">
        <v>771</v>
      </c>
      <c r="AF9" s="93"/>
      <c r="AG9" s="323"/>
      <c r="AH9" s="323"/>
      <c r="AO9" s="323"/>
      <c r="AP9" s="323"/>
      <c r="AU9" s="6" t="s">
        <v>1454</v>
      </c>
      <c r="AV9" s="133">
        <v>879</v>
      </c>
      <c r="AW9"/>
      <c r="AX9" s="493" t="s">
        <v>1482</v>
      </c>
      <c r="AY9" s="476">
        <v>24</v>
      </c>
    </row>
    <row r="10" spans="1:602" x14ac:dyDescent="0.25">
      <c r="B10" s="95"/>
      <c r="C10" s="388"/>
      <c r="D10" s="401"/>
      <c r="E10" s="389"/>
      <c r="I10" s="403"/>
      <c r="J10" s="403"/>
      <c r="K10" s="138"/>
      <c r="L10" s="388"/>
      <c r="M10" s="401"/>
      <c r="N10" s="389"/>
      <c r="O10" s="402"/>
      <c r="P10" s="403"/>
      <c r="Q10" s="402"/>
      <c r="R10" s="403"/>
      <c r="S10" s="403"/>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23"/>
      <c r="AH10" s="323"/>
      <c r="AO10" s="323"/>
      <c r="AP10" s="323"/>
      <c r="AU10" s="6" t="s">
        <v>1453</v>
      </c>
      <c r="AV10" s="133">
        <v>8554</v>
      </c>
      <c r="AW10"/>
      <c r="AX10" s="461" t="s">
        <v>411</v>
      </c>
      <c r="AY10" s="462">
        <v>43</v>
      </c>
    </row>
    <row r="11" spans="1:602" ht="15" customHeight="1" x14ac:dyDescent="0.25">
      <c r="B11" s="95"/>
      <c r="C11" s="388"/>
      <c r="D11" s="401"/>
      <c r="E11" s="389"/>
      <c r="I11" s="403"/>
      <c r="J11" s="403"/>
      <c r="K11" s="138"/>
      <c r="L11" s="818"/>
      <c r="M11" s="819"/>
      <c r="N11" s="820"/>
      <c r="O11" s="823"/>
      <c r="P11" s="821"/>
      <c r="Q11" s="823"/>
      <c r="R11" s="822"/>
      <c r="S11" s="821"/>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23"/>
      <c r="AH11" s="323"/>
      <c r="AO11" s="323"/>
      <c r="AP11" s="323"/>
      <c r="AU11" s="6" t="s">
        <v>1452</v>
      </c>
      <c r="AV11" s="133">
        <v>1243</v>
      </c>
      <c r="AW11"/>
      <c r="AX11"/>
      <c r="AY11"/>
    </row>
    <row r="12" spans="1:602" ht="15" customHeight="1" x14ac:dyDescent="0.25">
      <c r="B12" s="95"/>
      <c r="C12" s="388"/>
      <c r="D12" s="401"/>
      <c r="E12" s="389"/>
      <c r="I12" s="403"/>
      <c r="J12" s="403"/>
      <c r="K12" s="138"/>
      <c r="L12" s="818"/>
      <c r="M12" s="819"/>
      <c r="N12" s="820"/>
      <c r="O12" s="823"/>
      <c r="P12" s="821"/>
      <c r="Q12" s="823"/>
      <c r="R12" s="822"/>
      <c r="S12" s="821"/>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23"/>
      <c r="AH12" s="323"/>
      <c r="AO12" s="323"/>
      <c r="AP12" s="323"/>
      <c r="AU12" s="6" t="s">
        <v>1451</v>
      </c>
      <c r="AV12" s="133">
        <v>630</v>
      </c>
      <c r="AW12"/>
      <c r="AX12"/>
      <c r="AY12"/>
    </row>
    <row r="13" spans="1:602" ht="15" customHeight="1" x14ac:dyDescent="0.25">
      <c r="B13" s="95"/>
      <c r="C13" s="388"/>
      <c r="D13" s="401"/>
      <c r="E13" s="389"/>
      <c r="I13" s="403"/>
      <c r="J13" s="403"/>
      <c r="K13" s="138"/>
      <c r="L13" s="388"/>
      <c r="M13" s="401"/>
      <c r="N13" s="389"/>
      <c r="O13" s="402"/>
      <c r="P13" s="403"/>
      <c r="Q13" s="402"/>
      <c r="R13" s="403"/>
      <c r="S13" s="403"/>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23"/>
      <c r="AH13" s="323"/>
      <c r="AO13" s="323"/>
      <c r="AP13" s="323"/>
      <c r="AU13" s="6" t="s">
        <v>1450</v>
      </c>
      <c r="AV13" s="133">
        <v>3417</v>
      </c>
      <c r="AW13"/>
      <c r="AX13"/>
      <c r="AY13"/>
    </row>
    <row r="14" spans="1:602" ht="15" customHeight="1" x14ac:dyDescent="0.25">
      <c r="B14" s="95"/>
      <c r="C14" s="388"/>
      <c r="D14" s="401"/>
      <c r="E14" s="389"/>
      <c r="I14" s="403"/>
      <c r="J14" s="403"/>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23"/>
      <c r="AH14" s="323"/>
      <c r="AO14" s="323"/>
      <c r="AP14" s="323"/>
      <c r="AU14" s="6" t="s">
        <v>1449</v>
      </c>
      <c r="AV14" s="133">
        <v>596</v>
      </c>
      <c r="AW14"/>
      <c r="AX14"/>
      <c r="AY14"/>
    </row>
    <row r="15" spans="1:602" ht="15" customHeight="1" x14ac:dyDescent="0.25">
      <c r="B15" s="95"/>
      <c r="C15" s="388"/>
      <c r="D15" s="401"/>
      <c r="E15" s="389"/>
      <c r="I15" s="403"/>
      <c r="J15" s="403"/>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23"/>
      <c r="AH15" s="323"/>
      <c r="AO15" s="323"/>
      <c r="AP15" s="323"/>
      <c r="AU15"/>
      <c r="AV15"/>
      <c r="AW15"/>
      <c r="AX15"/>
      <c r="AY15"/>
    </row>
    <row r="16" spans="1:602" ht="13.5" customHeight="1" x14ac:dyDescent="0.25">
      <c r="B16" s="95"/>
      <c r="C16" s="388"/>
      <c r="D16" s="401"/>
      <c r="E16" s="389"/>
      <c r="F16"/>
      <c r="G16"/>
      <c r="H16"/>
      <c r="I16" s="403"/>
      <c r="J16" s="403"/>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23"/>
      <c r="AH16" s="323"/>
      <c r="AO16" s="323"/>
      <c r="AP16" s="323"/>
      <c r="AU16" s="139" t="s">
        <v>1807</v>
      </c>
      <c r="AV16" s="323" t="s">
        <v>537</v>
      </c>
      <c r="AW16"/>
      <c r="AX16"/>
      <c r="AY16"/>
    </row>
    <row r="17" spans="2:602" s="38" customFormat="1" ht="14.25" customHeight="1" x14ac:dyDescent="0.25">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23"/>
      <c r="AH17" s="323"/>
      <c r="AI17" s="323"/>
      <c r="AJ17" s="323"/>
      <c r="AK17" s="323"/>
      <c r="AL17" s="323"/>
      <c r="AM17" s="323"/>
      <c r="AN17" s="323"/>
      <c r="AO17" s="323"/>
      <c r="AP17" s="323"/>
      <c r="AT17" s="323"/>
      <c r="AU17"/>
      <c r="AV17"/>
      <c r="AW17"/>
      <c r="AX17"/>
      <c r="AY17"/>
      <c r="WD17" s="13"/>
    </row>
    <row r="18" spans="2:602" s="38" customFormat="1" x14ac:dyDescent="0.25">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23"/>
      <c r="AH18" s="323"/>
      <c r="AI18" s="323"/>
      <c r="AJ18" s="323"/>
      <c r="AK18" s="323"/>
      <c r="AL18" s="323"/>
      <c r="AM18" s="323"/>
      <c r="AN18" s="323"/>
      <c r="AO18" s="323"/>
      <c r="AP18" s="323"/>
      <c r="AT18" s="323"/>
      <c r="AU18" s="139" t="s">
        <v>410</v>
      </c>
      <c r="AV18" t="s">
        <v>1460</v>
      </c>
      <c r="AW18"/>
      <c r="AX18"/>
      <c r="AY18"/>
      <c r="WD18" s="13"/>
    </row>
    <row r="19" spans="2:602"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23"/>
      <c r="AH19" s="323"/>
      <c r="AO19" s="323"/>
      <c r="AP19" s="323"/>
      <c r="AU19" s="6" t="s">
        <v>5</v>
      </c>
      <c r="AV19" s="133">
        <v>21</v>
      </c>
      <c r="AW19"/>
      <c r="AX19"/>
      <c r="AY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23"/>
      <c r="AH20" s="323"/>
      <c r="AO20" s="323"/>
      <c r="AP20" s="323"/>
      <c r="AU20" s="6" t="s">
        <v>27</v>
      </c>
      <c r="AV20" s="133">
        <v>6</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23"/>
      <c r="AH21" s="323"/>
      <c r="AO21" s="323"/>
      <c r="AP21" s="323"/>
      <c r="AU21" s="6" t="s">
        <v>480</v>
      </c>
      <c r="AV21" s="133">
        <v>1</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23"/>
      <c r="AH22" s="323"/>
      <c r="AO22" s="323"/>
      <c r="AP22" s="323"/>
      <c r="AU22" s="6" t="s">
        <v>719</v>
      </c>
      <c r="AV22" s="133">
        <v>3</v>
      </c>
      <c r="AW22"/>
    </row>
    <row r="23" spans="2:602" s="323" customFormat="1" ht="12.75" customHeight="1" x14ac:dyDescent="0.25">
      <c r="B23" s="95"/>
      <c r="C23" s="10"/>
      <c r="D23" s="10"/>
      <c r="E23" s="10"/>
      <c r="F23"/>
      <c r="G23"/>
      <c r="H23"/>
      <c r="I23" s="10"/>
      <c r="J23" s="10"/>
      <c r="K23" s="10"/>
      <c r="L23" s="10"/>
      <c r="M23" s="10"/>
      <c r="N23" s="10"/>
      <c r="O23" s="10"/>
      <c r="P23" s="10"/>
      <c r="Q23" s="10"/>
      <c r="R23" s="10"/>
      <c r="S23" s="10"/>
      <c r="T23" s="93"/>
      <c r="Y23" s="132"/>
      <c r="AU23" s="6" t="s">
        <v>146</v>
      </c>
      <c r="AV23" s="133">
        <v>5</v>
      </c>
      <c r="AW23"/>
      <c r="WD23" s="13"/>
    </row>
    <row r="24" spans="2:602" s="323" customFormat="1" ht="12.75" customHeight="1" x14ac:dyDescent="0.25">
      <c r="B24" s="95"/>
      <c r="C24" s="10"/>
      <c r="D24" s="10"/>
      <c r="E24" s="10"/>
      <c r="I24" s="10"/>
      <c r="J24" s="10"/>
      <c r="K24" s="10"/>
      <c r="L24" s="10"/>
      <c r="M24" s="10"/>
      <c r="N24" s="10"/>
      <c r="O24" s="10"/>
      <c r="P24" s="10"/>
      <c r="Q24" s="10"/>
      <c r="R24" s="10"/>
      <c r="S24" s="10"/>
      <c r="T24" s="93"/>
      <c r="Y24" s="132"/>
      <c r="AU24" s="6" t="s">
        <v>151</v>
      </c>
      <c r="AV24" s="133">
        <v>28</v>
      </c>
      <c r="AW24"/>
      <c r="WD24" s="13"/>
    </row>
    <row r="25" spans="2:602" s="323" customFormat="1" ht="12.75" customHeight="1" x14ac:dyDescent="0.25">
      <c r="B25" s="95"/>
      <c r="C25" s="10"/>
      <c r="D25" s="10"/>
      <c r="E25" s="10"/>
      <c r="I25" s="10"/>
      <c r="J25" s="10"/>
      <c r="K25" s="10"/>
      <c r="L25" s="10"/>
      <c r="M25" s="10"/>
      <c r="N25" s="10"/>
      <c r="O25" s="10"/>
      <c r="P25" s="10"/>
      <c r="Q25" s="10"/>
      <c r="R25" s="10"/>
      <c r="S25" s="10"/>
      <c r="T25" s="93"/>
      <c r="Y25" s="132"/>
      <c r="AU25" s="6" t="s">
        <v>237</v>
      </c>
      <c r="AV25" s="133">
        <v>37</v>
      </c>
      <c r="AW25"/>
      <c r="WD25" s="13"/>
    </row>
    <row r="26" spans="2:602" s="323" customFormat="1" ht="12.75" customHeight="1" x14ac:dyDescent="0.25">
      <c r="B26" s="95"/>
      <c r="C26" s="10"/>
      <c r="D26" s="10"/>
      <c r="E26" s="10"/>
      <c r="F26" s="404"/>
      <c r="G26" s="404"/>
      <c r="H26" s="381"/>
      <c r="I26" s="10"/>
      <c r="J26" s="10"/>
      <c r="K26" s="10"/>
      <c r="L26" s="10"/>
      <c r="M26" s="10"/>
      <c r="N26" s="10"/>
      <c r="O26" s="10"/>
      <c r="P26" s="10"/>
      <c r="Q26" s="10"/>
      <c r="R26" s="10"/>
      <c r="S26" s="10"/>
      <c r="T26" s="93"/>
      <c r="Y26" s="132"/>
      <c r="AU26" s="6" t="s">
        <v>297</v>
      </c>
      <c r="AV26" s="133">
        <v>18</v>
      </c>
      <c r="AW26"/>
      <c r="WD26" s="13"/>
    </row>
    <row r="27" spans="2:602" s="323" customFormat="1" ht="12.75" customHeight="1" x14ac:dyDescent="0.25">
      <c r="B27" s="95"/>
      <c r="C27" s="10"/>
      <c r="D27" s="10"/>
      <c r="E27" s="10"/>
      <c r="F27" s="404"/>
      <c r="G27" s="404"/>
      <c r="H27" s="381"/>
      <c r="I27" s="10"/>
      <c r="J27" s="10"/>
      <c r="K27" s="10"/>
      <c r="L27" s="10"/>
      <c r="M27" s="10"/>
      <c r="N27" s="10"/>
      <c r="O27" s="10"/>
      <c r="P27" s="10"/>
      <c r="Q27" s="10"/>
      <c r="R27" s="10"/>
      <c r="S27" s="10"/>
      <c r="T27" s="93"/>
      <c r="Y27" s="132"/>
      <c r="AU27" s="6" t="s">
        <v>301</v>
      </c>
      <c r="AV27" s="133">
        <v>8</v>
      </c>
      <c r="AW27"/>
      <c r="WD27" s="13"/>
    </row>
    <row r="28" spans="2:602" s="323" customFormat="1" ht="12.75" customHeight="1" x14ac:dyDescent="0.25">
      <c r="B28" s="95"/>
      <c r="C28" s="10"/>
      <c r="D28" s="10"/>
      <c r="E28" s="10"/>
      <c r="F28" s="404"/>
      <c r="G28" s="404"/>
      <c r="H28" s="381"/>
      <c r="I28" s="10"/>
      <c r="J28" s="10"/>
      <c r="K28" s="10"/>
      <c r="L28" s="10"/>
      <c r="M28" s="10"/>
      <c r="N28" s="10"/>
      <c r="O28" s="10"/>
      <c r="P28" s="10"/>
      <c r="Q28" s="10"/>
      <c r="R28" s="10"/>
      <c r="S28" s="10"/>
      <c r="T28" s="93"/>
      <c r="Y28" s="132"/>
      <c r="AU28" s="6" t="s">
        <v>747</v>
      </c>
      <c r="AV28" s="133">
        <v>2</v>
      </c>
      <c r="AW28"/>
      <c r="WD28" s="13"/>
    </row>
    <row r="29" spans="2:602" s="323" customFormat="1" ht="12.75" customHeight="1" x14ac:dyDescent="0.25">
      <c r="B29" s="95"/>
      <c r="C29" s="10"/>
      <c r="D29" s="10"/>
      <c r="E29" s="10"/>
      <c r="I29" s="10"/>
      <c r="J29" s="10"/>
      <c r="K29" s="10"/>
      <c r="L29" s="10"/>
      <c r="M29" s="10"/>
      <c r="N29" s="10"/>
      <c r="O29" s="10"/>
      <c r="P29" s="10"/>
      <c r="Q29" s="10"/>
      <c r="R29" s="10"/>
      <c r="S29" s="10"/>
      <c r="T29" s="93"/>
      <c r="Y29" s="132"/>
      <c r="AU29" s="6" t="s">
        <v>1140</v>
      </c>
      <c r="AV29" s="133">
        <v>3</v>
      </c>
      <c r="AW29"/>
      <c r="WD29" s="13"/>
    </row>
    <row r="30" spans="2:602" s="323" customFormat="1" x14ac:dyDescent="0.25">
      <c r="B30" s="95"/>
      <c r="C30" s="10"/>
      <c r="D30" s="10"/>
      <c r="E30" s="10"/>
      <c r="I30" s="10"/>
      <c r="J30" s="10"/>
      <c r="K30" s="10"/>
      <c r="L30" s="10"/>
      <c r="M30" s="10"/>
      <c r="N30" s="10"/>
      <c r="O30" s="10"/>
      <c r="P30" s="10"/>
      <c r="Q30" s="10"/>
      <c r="R30" s="10"/>
      <c r="S30" s="10"/>
      <c r="T30" s="93"/>
      <c r="Y30" s="132"/>
      <c r="AU30" s="6" t="s">
        <v>309</v>
      </c>
      <c r="AV30" s="133">
        <v>32</v>
      </c>
      <c r="AW30"/>
      <c r="WD30" s="13"/>
    </row>
    <row r="31" spans="2:602" s="323" customFormat="1" ht="12.75" customHeight="1" x14ac:dyDescent="0.25">
      <c r="B31" s="95"/>
      <c r="C31" s="10"/>
      <c r="D31" s="10"/>
      <c r="E31" s="10"/>
      <c r="I31" s="10"/>
      <c r="J31" s="10"/>
      <c r="K31" s="10"/>
      <c r="L31" s="10"/>
      <c r="M31" s="10"/>
      <c r="N31" s="10"/>
      <c r="O31" s="10"/>
      <c r="P31" s="10"/>
      <c r="Q31" s="10"/>
      <c r="R31" s="10"/>
      <c r="S31" s="10"/>
      <c r="T31" s="93"/>
      <c r="Y31" s="132"/>
      <c r="AU31" s="6" t="s">
        <v>180</v>
      </c>
      <c r="AV31" s="133">
        <v>3</v>
      </c>
      <c r="AW31"/>
      <c r="WD31" s="13"/>
    </row>
    <row r="32" spans="2:602" s="323"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1598</v>
      </c>
      <c r="AV32" s="133">
        <v>2</v>
      </c>
      <c r="AW32"/>
      <c r="WD32" s="13"/>
    </row>
    <row r="33" spans="2:602" s="323" customFormat="1" x14ac:dyDescent="0.25">
      <c r="B33" s="95"/>
      <c r="C33" s="10"/>
      <c r="D33" s="10"/>
      <c r="E33" s="10"/>
      <c r="F33" s="10"/>
      <c r="G33" s="10"/>
      <c r="H33" s="10"/>
      <c r="I33" s="10"/>
      <c r="J33" s="10"/>
      <c r="K33" s="10"/>
      <c r="L33" s="10"/>
      <c r="M33" s="10"/>
      <c r="N33" s="10"/>
      <c r="O33" s="10"/>
      <c r="P33" s="10"/>
      <c r="Q33" s="10"/>
      <c r="R33" s="10"/>
      <c r="S33" s="10"/>
      <c r="T33" s="93"/>
      <c r="Y33" s="132"/>
      <c r="AU33" s="6" t="s">
        <v>1603</v>
      </c>
      <c r="AV33" s="133">
        <v>13</v>
      </c>
      <c r="AW33" s="30"/>
      <c r="WD33" s="13"/>
    </row>
    <row r="34" spans="2:602" s="323" customFormat="1" x14ac:dyDescent="0.25">
      <c r="B34" s="95"/>
      <c r="F34" s="10"/>
      <c r="G34" s="10"/>
      <c r="H34" s="10"/>
      <c r="I34" s="10"/>
      <c r="J34" s="10"/>
      <c r="K34" s="10"/>
      <c r="L34" s="10"/>
      <c r="M34" s="10"/>
      <c r="N34" s="10"/>
      <c r="O34" s="10"/>
      <c r="P34" s="10"/>
      <c r="Q34" s="10"/>
      <c r="R34" s="10"/>
      <c r="S34" s="10"/>
      <c r="T34" s="93"/>
      <c r="Y34" s="132"/>
      <c r="AU34" s="6" t="s">
        <v>494</v>
      </c>
      <c r="AV34" s="133">
        <v>8</v>
      </c>
      <c r="AW34"/>
      <c r="WD34" s="13"/>
    </row>
    <row r="35" spans="2:602" s="323" customFormat="1" x14ac:dyDescent="0.25">
      <c r="B35" s="95"/>
      <c r="F35" s="10"/>
      <c r="G35" s="10"/>
      <c r="H35" s="10"/>
      <c r="I35" s="10"/>
      <c r="J35" s="10"/>
      <c r="K35" s="10"/>
      <c r="L35" s="10"/>
      <c r="M35" s="10"/>
      <c r="N35" s="10"/>
      <c r="O35" s="10"/>
      <c r="P35" s="10"/>
      <c r="Q35" s="10"/>
      <c r="R35" s="10"/>
      <c r="S35" s="10"/>
      <c r="T35" s="93"/>
      <c r="Y35" s="132"/>
      <c r="AU35" s="6" t="s">
        <v>185</v>
      </c>
      <c r="AV35" s="133">
        <v>17</v>
      </c>
      <c r="AW35"/>
      <c r="WD35" s="13"/>
    </row>
    <row r="36" spans="2:602" s="323" customFormat="1" x14ac:dyDescent="0.25">
      <c r="B36" s="95"/>
      <c r="F36" s="10"/>
      <c r="G36" s="10"/>
      <c r="H36" s="10"/>
      <c r="I36" s="10"/>
      <c r="J36" s="10"/>
      <c r="K36" s="10"/>
      <c r="L36" s="10"/>
      <c r="M36" s="10"/>
      <c r="N36" s="10"/>
      <c r="O36" s="10"/>
      <c r="P36" s="10"/>
      <c r="Q36" s="10"/>
      <c r="R36" s="10"/>
      <c r="S36" s="10"/>
      <c r="T36" s="93"/>
      <c r="Y36" s="132"/>
      <c r="AU36" s="6" t="s">
        <v>411</v>
      </c>
      <c r="AV36" s="133">
        <v>207</v>
      </c>
      <c r="AW36"/>
      <c r="WD36" s="13"/>
    </row>
    <row r="37" spans="2:602" s="323" customFormat="1" x14ac:dyDescent="0.25">
      <c r="B37" s="95"/>
      <c r="F37" s="10"/>
      <c r="G37" s="10"/>
      <c r="H37" s="10"/>
      <c r="I37" s="10"/>
      <c r="J37" s="10"/>
      <c r="K37" s="10"/>
      <c r="L37" s="10"/>
      <c r="M37" s="10"/>
      <c r="N37" s="10"/>
      <c r="O37" s="10"/>
      <c r="P37" s="10"/>
      <c r="Q37" s="10"/>
      <c r="R37" s="10"/>
      <c r="S37" s="10"/>
      <c r="T37" s="93"/>
      <c r="Y37" s="132"/>
      <c r="AU37"/>
      <c r="AV37"/>
      <c r="AW37"/>
      <c r="WD37" s="13"/>
    </row>
    <row r="38" spans="2:602" s="323" customFormat="1" x14ac:dyDescent="0.25">
      <c r="B38" s="95"/>
      <c r="F38" s="10"/>
      <c r="G38" s="10"/>
      <c r="H38" s="10"/>
      <c r="I38" s="10"/>
      <c r="J38" s="10"/>
      <c r="K38" s="10"/>
      <c r="L38" s="10"/>
      <c r="M38" s="10"/>
      <c r="N38" s="10"/>
      <c r="O38" s="10"/>
      <c r="P38" s="10"/>
      <c r="Q38" s="10"/>
      <c r="R38" s="10"/>
      <c r="S38" s="10"/>
      <c r="T38" s="93"/>
      <c r="Y38" s="132"/>
      <c r="AR38" s="465"/>
      <c r="AU38"/>
      <c r="AV38"/>
      <c r="AW38"/>
      <c r="WD38" s="13"/>
    </row>
    <row r="39" spans="2:602" s="323" customFormat="1" x14ac:dyDescent="0.25">
      <c r="B39" s="95"/>
      <c r="F39" s="10"/>
      <c r="G39" s="10"/>
      <c r="H39" s="10"/>
      <c r="I39" s="10"/>
      <c r="J39" s="10"/>
      <c r="K39" s="10"/>
      <c r="L39" s="10"/>
      <c r="M39" s="10"/>
      <c r="N39" s="10"/>
      <c r="O39" s="10"/>
      <c r="P39" s="10"/>
      <c r="Q39" s="10"/>
      <c r="R39" s="10"/>
      <c r="S39" s="10"/>
      <c r="T39" s="93"/>
      <c r="Y39" s="132"/>
      <c r="AR39" s="13">
        <f>COUNTIF(AV41:AV54,"&gt;5/1/2017")</f>
        <v>0</v>
      </c>
      <c r="AU39"/>
      <c r="AV39"/>
      <c r="AW39"/>
      <c r="WD39" s="13"/>
    </row>
    <row r="40" spans="2:602" s="323" customFormat="1" x14ac:dyDescent="0.25">
      <c r="B40" s="95"/>
      <c r="F40" s="10"/>
      <c r="G40" s="10"/>
      <c r="H40" s="10"/>
      <c r="I40" s="10"/>
      <c r="J40" s="10"/>
      <c r="K40" s="10"/>
      <c r="L40" s="10"/>
      <c r="M40" s="10"/>
      <c r="N40" s="10"/>
      <c r="O40" s="10"/>
      <c r="P40" s="10"/>
      <c r="Q40" s="10"/>
      <c r="R40" s="10"/>
      <c r="S40" s="10"/>
      <c r="T40" s="93"/>
      <c r="Y40" s="132"/>
      <c r="AU40"/>
      <c r="AV40"/>
      <c r="AW40"/>
      <c r="WD40" s="13"/>
    </row>
    <row r="41" spans="2:602" s="323" customFormat="1" x14ac:dyDescent="0.25">
      <c r="B41" s="95"/>
      <c r="F41" s="10"/>
      <c r="G41" s="10"/>
      <c r="H41" s="10"/>
      <c r="I41" s="10"/>
      <c r="J41" s="10"/>
      <c r="K41" s="10"/>
      <c r="L41" s="10"/>
      <c r="M41" s="10"/>
      <c r="N41" s="10"/>
      <c r="O41" s="10"/>
      <c r="P41" s="10"/>
      <c r="Q41" s="10"/>
      <c r="R41" s="10"/>
      <c r="S41" s="10"/>
      <c r="T41" s="93"/>
      <c r="Y41" s="132"/>
      <c r="AU41"/>
      <c r="AV41"/>
      <c r="WD41" s="13"/>
    </row>
    <row r="42" spans="2:602" s="323" customFormat="1" x14ac:dyDescent="0.25">
      <c r="B42" s="95"/>
      <c r="F42" s="10"/>
      <c r="G42" s="10"/>
      <c r="H42" s="10"/>
      <c r="I42" s="10"/>
      <c r="J42" s="10"/>
      <c r="K42" s="10"/>
      <c r="L42" s="10"/>
      <c r="M42" s="10"/>
      <c r="N42" s="10"/>
      <c r="O42" s="10"/>
      <c r="P42" s="10"/>
      <c r="Q42" s="10"/>
      <c r="R42" s="10"/>
      <c r="S42" s="10"/>
      <c r="T42" s="93"/>
      <c r="Y42" s="132"/>
      <c r="AU42"/>
      <c r="AV42"/>
      <c r="WD42" s="13"/>
    </row>
    <row r="43" spans="2:602" s="323" customFormat="1" x14ac:dyDescent="0.25">
      <c r="B43" s="95"/>
      <c r="F43" s="10"/>
      <c r="G43" s="10"/>
      <c r="H43" s="10"/>
      <c r="I43" s="10"/>
      <c r="J43" s="10"/>
      <c r="K43" s="10"/>
      <c r="L43" s="10"/>
      <c r="M43" s="10"/>
      <c r="N43" s="10"/>
      <c r="O43" s="10"/>
      <c r="P43" s="10"/>
      <c r="Q43" s="10"/>
      <c r="R43" s="10"/>
      <c r="S43" s="10"/>
      <c r="T43" s="93"/>
      <c r="Y43" s="132"/>
      <c r="AU43"/>
      <c r="AV43"/>
      <c r="WD43" s="13"/>
    </row>
    <row r="44" spans="2:602" s="323" customFormat="1" x14ac:dyDescent="0.25">
      <c r="B44" s="95"/>
      <c r="F44" s="10"/>
      <c r="G44" s="10"/>
      <c r="H44" s="10"/>
      <c r="I44" s="10"/>
      <c r="J44" s="10"/>
      <c r="K44" s="10"/>
      <c r="L44" s="10"/>
      <c r="M44" s="10"/>
      <c r="N44" s="10"/>
      <c r="O44" s="10"/>
      <c r="P44" s="10"/>
      <c r="Q44" s="10"/>
      <c r="R44" s="10"/>
      <c r="S44" s="10"/>
      <c r="T44" s="93"/>
      <c r="Y44" s="132"/>
      <c r="AU44"/>
      <c r="AV44"/>
      <c r="WD44" s="13"/>
    </row>
    <row r="45" spans="2:602" s="323" customFormat="1" x14ac:dyDescent="0.25">
      <c r="B45" s="95"/>
      <c r="C45" s="10"/>
      <c r="D45" s="10"/>
      <c r="E45" s="10"/>
      <c r="F45" s="10"/>
      <c r="G45" s="10"/>
      <c r="H45" s="10"/>
      <c r="I45" s="10"/>
      <c r="J45" s="10"/>
      <c r="K45" s="10"/>
      <c r="L45" s="10"/>
      <c r="M45" s="10"/>
      <c r="N45" s="10"/>
      <c r="O45" s="10"/>
      <c r="P45" s="10"/>
      <c r="Q45" s="10"/>
      <c r="R45" s="10"/>
      <c r="S45" s="10"/>
      <c r="T45" s="93"/>
      <c r="Y45" s="132"/>
      <c r="AU45"/>
      <c r="AV45"/>
      <c r="WD45" s="13"/>
    </row>
    <row r="46" spans="2:602" s="323" customFormat="1" x14ac:dyDescent="0.25">
      <c r="B46" s="95"/>
      <c r="F46" s="10"/>
      <c r="G46" s="10"/>
      <c r="H46" s="10"/>
      <c r="I46" s="10"/>
      <c r="J46" s="10"/>
      <c r="K46" s="10"/>
      <c r="L46" s="10"/>
      <c r="M46" s="10"/>
      <c r="N46" s="10"/>
      <c r="O46" s="10"/>
      <c r="P46" s="10"/>
      <c r="Q46" s="10"/>
      <c r="R46" s="10"/>
      <c r="S46" s="10"/>
      <c r="T46" s="93"/>
      <c r="Y46" s="132"/>
      <c r="AU46"/>
      <c r="AV46"/>
      <c r="WD46" s="13"/>
    </row>
    <row r="47" spans="2:602" s="323" customFormat="1" ht="12.75" customHeight="1" x14ac:dyDescent="0.25">
      <c r="B47" s="95"/>
      <c r="F47" s="10"/>
      <c r="G47" s="10"/>
      <c r="H47" s="10"/>
      <c r="I47" s="10"/>
      <c r="J47" s="10"/>
      <c r="K47" s="10"/>
      <c r="L47" s="10"/>
      <c r="M47" s="10"/>
      <c r="N47" s="10"/>
      <c r="O47" s="10"/>
      <c r="P47" s="10"/>
      <c r="Q47" s="10"/>
      <c r="R47" s="10"/>
      <c r="S47" s="10"/>
      <c r="T47" s="93"/>
      <c r="Y47" s="132"/>
      <c r="AU47"/>
      <c r="AV47"/>
      <c r="WD47" s="13"/>
    </row>
    <row r="48" spans="2:602" s="323" customFormat="1" x14ac:dyDescent="0.25">
      <c r="B48" s="95"/>
      <c r="F48" s="10"/>
      <c r="G48" s="10"/>
      <c r="H48" s="10"/>
      <c r="I48" s="10"/>
      <c r="J48" s="10"/>
      <c r="K48" s="10"/>
      <c r="L48" s="10"/>
      <c r="M48" s="10"/>
      <c r="N48" s="10"/>
      <c r="O48" s="10"/>
      <c r="P48" s="10"/>
      <c r="Q48" s="10"/>
      <c r="R48" s="10"/>
      <c r="S48" s="10"/>
      <c r="T48" s="93"/>
      <c r="Y48" s="132"/>
      <c r="AU48"/>
      <c r="AV48"/>
      <c r="WD48" s="13"/>
    </row>
    <row r="49" spans="2:602" s="323" customFormat="1" ht="12.75" customHeight="1" x14ac:dyDescent="0.25">
      <c r="B49" s="95"/>
      <c r="F49" s="10"/>
      <c r="G49" s="10"/>
      <c r="H49" s="10"/>
      <c r="I49" s="10"/>
      <c r="J49" s="10"/>
      <c r="K49" s="10"/>
      <c r="L49" s="10"/>
      <c r="M49" s="10"/>
      <c r="N49" s="10"/>
      <c r="O49" s="10"/>
      <c r="P49" s="10"/>
      <c r="Q49" s="10"/>
      <c r="R49" s="10"/>
      <c r="S49" s="10"/>
      <c r="T49" s="93"/>
      <c r="Y49" s="132"/>
      <c r="AU49"/>
      <c r="AV49"/>
      <c r="WD49" s="13"/>
    </row>
    <row r="50" spans="2:602" s="323" customFormat="1" ht="12.75" customHeight="1" x14ac:dyDescent="0.25">
      <c r="B50" s="95"/>
      <c r="F50" s="10"/>
      <c r="G50" s="10"/>
      <c r="H50" s="10"/>
      <c r="I50" s="10"/>
      <c r="J50" s="10"/>
      <c r="K50" s="10"/>
      <c r="L50" s="10"/>
      <c r="M50" s="10"/>
      <c r="N50" s="10"/>
      <c r="O50" s="10"/>
      <c r="P50" s="10"/>
      <c r="Q50" s="10"/>
      <c r="R50" s="10"/>
      <c r="S50" s="10"/>
      <c r="T50" s="93"/>
      <c r="Y50" s="132"/>
      <c r="AU50"/>
      <c r="AV50"/>
      <c r="WD50" s="13"/>
    </row>
    <row r="51" spans="2:602" s="323" customFormat="1" ht="12.75" customHeight="1" x14ac:dyDescent="0.25">
      <c r="B51" s="95"/>
      <c r="F51" s="10"/>
      <c r="G51" s="10"/>
      <c r="H51" s="10"/>
      <c r="I51" s="10"/>
      <c r="J51" s="10"/>
      <c r="K51" s="10"/>
      <c r="L51" s="10"/>
      <c r="M51" s="10"/>
      <c r="N51" s="10"/>
      <c r="O51" s="10"/>
      <c r="P51" s="10"/>
      <c r="Q51" s="10"/>
      <c r="R51" s="10"/>
      <c r="S51" s="10"/>
      <c r="T51" s="93"/>
      <c r="Y51" s="132"/>
      <c r="AU51"/>
      <c r="AV51"/>
      <c r="WD51" s="13"/>
    </row>
    <row r="52" spans="2:602" s="323" customFormat="1" ht="12.75" customHeight="1" x14ac:dyDescent="0.25">
      <c r="B52" s="95"/>
      <c r="F52" s="10"/>
      <c r="G52" s="10"/>
      <c r="H52" s="10"/>
      <c r="I52" s="10"/>
      <c r="J52" s="10"/>
      <c r="K52" s="10"/>
      <c r="L52" s="10"/>
      <c r="M52" s="10"/>
      <c r="N52" s="10"/>
      <c r="O52" s="10"/>
      <c r="P52" s="10"/>
      <c r="Q52" s="10"/>
      <c r="R52" s="10"/>
      <c r="S52" s="10"/>
      <c r="T52" s="93"/>
      <c r="Y52" s="132"/>
      <c r="AU52"/>
      <c r="AV52"/>
      <c r="WD52" s="13"/>
    </row>
    <row r="53" spans="2:602" s="323" customFormat="1" ht="12.75" customHeight="1" x14ac:dyDescent="0.25">
      <c r="B53" s="95"/>
      <c r="F53" s="10"/>
      <c r="G53" s="10"/>
      <c r="H53" s="10"/>
      <c r="I53" s="10"/>
      <c r="J53" s="10"/>
      <c r="K53" s="10"/>
      <c r="L53" s="10"/>
      <c r="M53" s="10"/>
      <c r="N53" s="10"/>
      <c r="O53" s="10"/>
      <c r="P53" s="10"/>
      <c r="Q53" s="10"/>
      <c r="R53" s="10"/>
      <c r="S53" s="10"/>
      <c r="T53" s="93"/>
      <c r="Y53" s="132"/>
      <c r="AU53"/>
      <c r="AV53"/>
      <c r="WD53" s="13"/>
    </row>
    <row r="54" spans="2:602" ht="12.75" customHeight="1" x14ac:dyDescent="0.25">
      <c r="B54" s="95"/>
      <c r="F54" s="10"/>
      <c r="G54" s="10"/>
      <c r="H54" s="10"/>
      <c r="I54" s="10"/>
      <c r="J54" s="10"/>
      <c r="K54" s="10"/>
      <c r="L54" s="10"/>
      <c r="M54" s="10"/>
      <c r="N54" s="10"/>
      <c r="O54" s="10"/>
      <c r="P54" s="10"/>
      <c r="Q54" s="10"/>
      <c r="R54" s="10"/>
      <c r="S54" s="10"/>
      <c r="T54" s="93"/>
      <c r="AU54"/>
      <c r="AV54"/>
    </row>
    <row r="55" spans="2:602" ht="12.75" customHeight="1" x14ac:dyDescent="0.25">
      <c r="B55" s="95"/>
      <c r="F55" s="10"/>
      <c r="G55" s="10"/>
      <c r="H55" s="10"/>
      <c r="I55" s="10"/>
      <c r="J55" s="10"/>
      <c r="K55" s="10"/>
      <c r="L55" s="10"/>
      <c r="M55" s="10"/>
      <c r="N55" s="10"/>
      <c r="O55" s="10"/>
      <c r="P55" s="10"/>
      <c r="Q55" s="10"/>
      <c r="R55" s="10"/>
      <c r="S55" s="10"/>
      <c r="T55" s="93"/>
      <c r="AU55"/>
      <c r="AV55"/>
    </row>
    <row r="56" spans="2:602" x14ac:dyDescent="0.25">
      <c r="B56" s="95"/>
      <c r="F56" s="10"/>
      <c r="G56" s="10"/>
      <c r="H56" s="10"/>
      <c r="I56" s="10"/>
      <c r="J56" s="10"/>
      <c r="K56" s="10"/>
      <c r="L56" s="10"/>
      <c r="M56" s="10"/>
      <c r="N56" s="10"/>
      <c r="O56" s="10"/>
      <c r="P56" s="10"/>
      <c r="Q56" s="10"/>
      <c r="R56" s="10"/>
      <c r="S56" s="10"/>
      <c r="T56" s="93"/>
      <c r="AU56"/>
      <c r="AV56"/>
    </row>
    <row r="57" spans="2:602" ht="26.25" customHeight="1" x14ac:dyDescent="0.25">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c r="AU58"/>
      <c r="AV58"/>
    </row>
    <row r="59" spans="2:602" hidden="1" x14ac:dyDescent="0.25">
      <c r="C59" s="4"/>
      <c r="D59" s="4"/>
      <c r="E59" s="4"/>
      <c r="F59" s="4"/>
      <c r="N59" s="4"/>
      <c r="O59" s="4"/>
      <c r="P59" s="4"/>
      <c r="Q59" s="4"/>
      <c r="AU59"/>
      <c r="AV59"/>
    </row>
    <row r="60" spans="2:602" ht="15.75" hidden="1" thickBot="1" x14ac:dyDescent="0.3">
      <c r="G60" s="139" t="s">
        <v>458</v>
      </c>
      <c r="H60" s="323" t="s">
        <v>460</v>
      </c>
      <c r="I60" s="92"/>
      <c r="J60" s="92"/>
      <c r="K60" s="92"/>
      <c r="L60" s="92"/>
      <c r="M60" s="92"/>
      <c r="AU60"/>
      <c r="AV60"/>
    </row>
    <row r="61" spans="2:602" ht="28.5" hidden="1" customHeight="1" x14ac:dyDescent="0.25">
      <c r="G61" s="139" t="s">
        <v>966</v>
      </c>
      <c r="H61" s="323" t="s">
        <v>960</v>
      </c>
      <c r="I61" s="4"/>
      <c r="J61" s="4"/>
      <c r="K61" s="4"/>
      <c r="L61" s="4"/>
      <c r="M61" s="4"/>
      <c r="AU61"/>
      <c r="AV61"/>
    </row>
    <row r="62" spans="2:602" hidden="1" x14ac:dyDescent="0.25">
      <c r="AU62"/>
      <c r="AV62"/>
    </row>
    <row r="63" spans="2:602" hidden="1" x14ac:dyDescent="0.25">
      <c r="G63" s="139" t="s">
        <v>410</v>
      </c>
      <c r="H63" s="323" t="s">
        <v>1023</v>
      </c>
      <c r="I63" s="323" t="s">
        <v>1227</v>
      </c>
      <c r="J63" s="323" t="s">
        <v>1228</v>
      </c>
      <c r="K63" s="323" t="s">
        <v>1229</v>
      </c>
      <c r="L63" s="323" t="s">
        <v>1024</v>
      </c>
      <c r="M63" s="323" t="s">
        <v>1025</v>
      </c>
      <c r="AU63"/>
      <c r="AV63"/>
    </row>
    <row r="64" spans="2:602" hidden="1" x14ac:dyDescent="0.25">
      <c r="G64" s="6" t="s">
        <v>827</v>
      </c>
      <c r="H64" s="133"/>
      <c r="I64" s="133"/>
      <c r="J64" s="133"/>
      <c r="K64" s="133"/>
      <c r="L64" s="133"/>
      <c r="M64" s="133"/>
      <c r="AU64"/>
      <c r="AV64"/>
    </row>
    <row r="65" spans="3:48" hidden="1" x14ac:dyDescent="0.25">
      <c r="C65"/>
      <c r="D65"/>
      <c r="G65" s="6" t="s">
        <v>420</v>
      </c>
      <c r="H65" s="133">
        <v>997</v>
      </c>
      <c r="I65" s="133">
        <v>543</v>
      </c>
      <c r="J65" s="133">
        <v>1571</v>
      </c>
      <c r="K65" s="133">
        <v>305</v>
      </c>
      <c r="L65" s="133">
        <v>343</v>
      </c>
      <c r="M65" s="133">
        <v>1310</v>
      </c>
      <c r="AU65"/>
      <c r="AV65"/>
    </row>
    <row r="66" spans="3:48" hidden="1" x14ac:dyDescent="0.25">
      <c r="C66"/>
      <c r="D66"/>
      <c r="G66" s="6" t="s">
        <v>1268</v>
      </c>
      <c r="H66" s="133">
        <v>322</v>
      </c>
      <c r="I66" s="133">
        <v>77</v>
      </c>
      <c r="J66" s="133">
        <v>454</v>
      </c>
      <c r="K66" s="133">
        <v>322</v>
      </c>
      <c r="L66" s="133"/>
      <c r="M66" s="133">
        <v>322</v>
      </c>
      <c r="AU66"/>
      <c r="AV66"/>
    </row>
    <row r="67" spans="3:48" hidden="1" x14ac:dyDescent="0.25">
      <c r="C67"/>
      <c r="D67"/>
      <c r="E67"/>
      <c r="F67"/>
      <c r="G67" s="6" t="s">
        <v>411</v>
      </c>
      <c r="H67" s="133">
        <v>1319</v>
      </c>
      <c r="I67" s="133">
        <v>620</v>
      </c>
      <c r="J67" s="133">
        <v>2025</v>
      </c>
      <c r="K67" s="133">
        <v>627</v>
      </c>
      <c r="L67" s="133">
        <v>343</v>
      </c>
      <c r="M67" s="133">
        <v>1632</v>
      </c>
      <c r="AU67"/>
      <c r="AV67"/>
    </row>
    <row r="68" spans="3:48" hidden="1" x14ac:dyDescent="0.25">
      <c r="C68" s="323" t="s">
        <v>1226</v>
      </c>
      <c r="D68" s="323" t="s">
        <v>1227</v>
      </c>
      <c r="E68" s="323" t="s">
        <v>1228</v>
      </c>
      <c r="F68" s="323" t="s">
        <v>1229</v>
      </c>
      <c r="G68" s="323" t="s">
        <v>1024</v>
      </c>
      <c r="H68" s="323" t="s">
        <v>1025</v>
      </c>
      <c r="I68"/>
      <c r="J68"/>
      <c r="K68"/>
      <c r="L68"/>
      <c r="M68"/>
      <c r="AU68"/>
      <c r="AV68"/>
    </row>
    <row r="69" spans="3:48" hidden="1" x14ac:dyDescent="0.25">
      <c r="C69" s="133">
        <v>2522</v>
      </c>
      <c r="D69" s="133">
        <v>879</v>
      </c>
      <c r="E69" s="133">
        <v>8554</v>
      </c>
      <c r="F69" s="133">
        <v>1243</v>
      </c>
      <c r="G69" s="133">
        <v>630</v>
      </c>
      <c r="H69" s="133">
        <v>3417</v>
      </c>
      <c r="I69"/>
      <c r="J69"/>
      <c r="K69"/>
      <c r="L69"/>
      <c r="M69"/>
      <c r="AU69"/>
      <c r="AV69"/>
    </row>
    <row r="70" spans="3:48" hidden="1" x14ac:dyDescent="0.25">
      <c r="C70"/>
      <c r="D70"/>
      <c r="E70"/>
      <c r="F70"/>
      <c r="G70"/>
      <c r="H70"/>
      <c r="I70"/>
      <c r="J70"/>
      <c r="K70"/>
      <c r="L70"/>
      <c r="M70"/>
      <c r="AU70"/>
      <c r="AV70"/>
    </row>
    <row r="71" spans="3:48" hidden="1" x14ac:dyDescent="0.25">
      <c r="C71"/>
      <c r="D71"/>
      <c r="E71"/>
      <c r="F71"/>
      <c r="G71"/>
      <c r="H71"/>
      <c r="I71"/>
      <c r="J71"/>
      <c r="K71"/>
      <c r="L71"/>
      <c r="M71"/>
      <c r="AU71"/>
      <c r="AV71"/>
    </row>
    <row r="72" spans="3:48" hidden="1" x14ac:dyDescent="0.25">
      <c r="C72"/>
      <c r="D72"/>
      <c r="E72"/>
      <c r="F72"/>
      <c r="G72"/>
      <c r="H72"/>
      <c r="I72"/>
      <c r="J72"/>
      <c r="K72"/>
      <c r="L72"/>
      <c r="M72"/>
      <c r="AU72"/>
      <c r="AV72"/>
    </row>
    <row r="73" spans="3:48" hidden="1" x14ac:dyDescent="0.25">
      <c r="C73"/>
      <c r="D73"/>
      <c r="E73"/>
      <c r="F73"/>
      <c r="G73"/>
      <c r="H73"/>
      <c r="I73"/>
      <c r="J73"/>
      <c r="K73"/>
      <c r="L73"/>
      <c r="M73"/>
      <c r="AU73"/>
      <c r="AV73"/>
    </row>
    <row r="74" spans="3:48" hidden="1" x14ac:dyDescent="0.25">
      <c r="C74"/>
      <c r="D74"/>
      <c r="E74"/>
      <c r="F74"/>
      <c r="G74"/>
      <c r="H74"/>
      <c r="I74"/>
      <c r="J74"/>
      <c r="K74"/>
      <c r="L74"/>
      <c r="M74"/>
      <c r="AU74"/>
      <c r="AV74"/>
    </row>
    <row r="75" spans="3:48" hidden="1" x14ac:dyDescent="0.25">
      <c r="C75"/>
      <c r="D75"/>
      <c r="E75"/>
      <c r="F75"/>
      <c r="G75"/>
      <c r="H75"/>
      <c r="I75"/>
      <c r="J75"/>
      <c r="K75"/>
      <c r="L75"/>
      <c r="M75"/>
      <c r="AU75"/>
      <c r="AV75"/>
    </row>
    <row r="76" spans="3:48" hidden="1" x14ac:dyDescent="0.25">
      <c r="C76"/>
      <c r="D76"/>
      <c r="E76"/>
      <c r="F76"/>
      <c r="G76"/>
      <c r="H76"/>
      <c r="I76"/>
      <c r="J76"/>
      <c r="K76"/>
      <c r="L76"/>
      <c r="M76"/>
      <c r="AU76"/>
      <c r="AV76"/>
    </row>
    <row r="77" spans="3:48" hidden="1" x14ac:dyDescent="0.25">
      <c r="C77"/>
      <c r="D77"/>
      <c r="E77"/>
      <c r="F77"/>
      <c r="G77"/>
      <c r="H77"/>
      <c r="I77"/>
      <c r="J77"/>
      <c r="K77"/>
      <c r="L77"/>
      <c r="M77"/>
      <c r="AU77"/>
      <c r="AV77"/>
    </row>
    <row r="78" spans="3:48" hidden="1" x14ac:dyDescent="0.25">
      <c r="C78"/>
      <c r="D78"/>
      <c r="E78"/>
      <c r="F78"/>
      <c r="G78"/>
      <c r="H78"/>
      <c r="I78"/>
      <c r="J78"/>
      <c r="K78"/>
      <c r="L78"/>
      <c r="M78"/>
      <c r="AU78"/>
      <c r="AV78"/>
    </row>
    <row r="79" spans="3:48" hidden="1" x14ac:dyDescent="0.25">
      <c r="C79"/>
      <c r="D79"/>
      <c r="E79"/>
      <c r="F79"/>
      <c r="G79"/>
      <c r="H79"/>
      <c r="I79"/>
      <c r="J79"/>
      <c r="K79"/>
      <c r="L79"/>
      <c r="AU79"/>
      <c r="AV79"/>
    </row>
    <row r="80" spans="3:48" hidden="1" x14ac:dyDescent="0.25">
      <c r="C80"/>
      <c r="D80"/>
      <c r="E80"/>
      <c r="F80"/>
      <c r="G80"/>
      <c r="H80"/>
      <c r="I80"/>
      <c r="J80"/>
      <c r="K80"/>
      <c r="L80"/>
      <c r="AU80"/>
      <c r="AV80"/>
    </row>
    <row r="81" spans="3:48" hidden="1" x14ac:dyDescent="0.25">
      <c r="C81"/>
      <c r="D81"/>
      <c r="E81"/>
      <c r="F81"/>
      <c r="G81"/>
      <c r="H81"/>
      <c r="I81"/>
      <c r="J81"/>
      <c r="K81"/>
      <c r="L81"/>
      <c r="AU81"/>
      <c r="AV81"/>
    </row>
    <row r="82" spans="3:48" hidden="1" x14ac:dyDescent="0.25">
      <c r="C82"/>
      <c r="D82"/>
      <c r="E82"/>
      <c r="F82"/>
      <c r="G82"/>
      <c r="H82"/>
      <c r="I82"/>
      <c r="J82"/>
      <c r="K82"/>
      <c r="L82"/>
      <c r="AU82"/>
      <c r="AV82"/>
    </row>
    <row r="83" spans="3:48" hidden="1" x14ac:dyDescent="0.25">
      <c r="C83"/>
      <c r="D83"/>
      <c r="E83"/>
      <c r="F83"/>
      <c r="G83"/>
      <c r="H83"/>
      <c r="I83"/>
      <c r="J83"/>
      <c r="K83"/>
      <c r="L83"/>
      <c r="AU83"/>
      <c r="AV83"/>
    </row>
    <row r="84" spans="3:48" hidden="1" x14ac:dyDescent="0.25">
      <c r="C84"/>
      <c r="D84"/>
      <c r="E84"/>
      <c r="F84"/>
      <c r="G84"/>
      <c r="H84"/>
      <c r="I84"/>
      <c r="J84"/>
      <c r="K84"/>
      <c r="L84"/>
      <c r="AU84"/>
      <c r="AV84"/>
    </row>
    <row r="85" spans="3:48" hidden="1" x14ac:dyDescent="0.25">
      <c r="C85"/>
      <c r="D85"/>
      <c r="E85"/>
      <c r="G85"/>
      <c r="H85"/>
      <c r="I85"/>
      <c r="J85"/>
      <c r="K85"/>
      <c r="L85"/>
      <c r="AU85"/>
      <c r="AV85"/>
    </row>
    <row r="86" spans="3:48" hidden="1" x14ac:dyDescent="0.25">
      <c r="G86"/>
      <c r="H86"/>
      <c r="I86"/>
      <c r="J86"/>
      <c r="K86"/>
      <c r="L86"/>
      <c r="AU86"/>
      <c r="AV86"/>
    </row>
    <row r="87" spans="3:48" hidden="1" x14ac:dyDescent="0.25">
      <c r="G87"/>
      <c r="H87"/>
      <c r="I87"/>
      <c r="J87"/>
      <c r="K87"/>
      <c r="L87"/>
      <c r="AU87"/>
      <c r="AV87"/>
    </row>
    <row r="88" spans="3:48" hidden="1" x14ac:dyDescent="0.25">
      <c r="G88"/>
      <c r="H88"/>
      <c r="I88"/>
      <c r="J88"/>
      <c r="K88"/>
      <c r="L88"/>
      <c r="AU88"/>
      <c r="AV88"/>
    </row>
    <row r="89" spans="3:48" hidden="1" x14ac:dyDescent="0.25">
      <c r="G89"/>
      <c r="H89"/>
      <c r="I89"/>
      <c r="J89"/>
      <c r="K89"/>
      <c r="L89"/>
      <c r="AU89"/>
      <c r="AV89"/>
    </row>
    <row r="90" spans="3:48" hidden="1" x14ac:dyDescent="0.25">
      <c r="G90"/>
      <c r="H90"/>
      <c r="I90"/>
      <c r="J90"/>
      <c r="K90"/>
      <c r="L90"/>
      <c r="AU90"/>
      <c r="AV90"/>
    </row>
    <row r="91" spans="3:48" hidden="1" x14ac:dyDescent="0.25">
      <c r="G91"/>
      <c r="H91"/>
      <c r="I91"/>
      <c r="J91"/>
      <c r="K91"/>
      <c r="L91"/>
      <c r="AU91"/>
      <c r="AV91"/>
    </row>
    <row r="92" spans="3:48" ht="12" customHeight="1" x14ac:dyDescent="0.25">
      <c r="G92"/>
      <c r="H92"/>
      <c r="I92"/>
      <c r="J92"/>
      <c r="K92"/>
      <c r="L92"/>
      <c r="AU92"/>
      <c r="AV92"/>
    </row>
    <row r="93" spans="3:48" x14ac:dyDescent="0.25">
      <c r="G93"/>
      <c r="H93"/>
      <c r="I93"/>
      <c r="J93"/>
      <c r="K93"/>
      <c r="L93"/>
      <c r="AU93"/>
      <c r="AV93"/>
    </row>
    <row r="94" spans="3:48" x14ac:dyDescent="0.25">
      <c r="G94"/>
      <c r="H94"/>
      <c r="I94"/>
      <c r="J94"/>
      <c r="K94"/>
      <c r="L94"/>
      <c r="AU94"/>
      <c r="AV94"/>
    </row>
    <row r="95" spans="3:48" x14ac:dyDescent="0.25">
      <c r="G95"/>
      <c r="H95"/>
      <c r="I95"/>
      <c r="J95"/>
      <c r="K95"/>
      <c r="L95"/>
      <c r="AU95"/>
      <c r="AV95"/>
    </row>
    <row r="96" spans="3:48" x14ac:dyDescent="0.25">
      <c r="G96"/>
      <c r="H96"/>
      <c r="I96"/>
      <c r="J96"/>
      <c r="K96"/>
      <c r="L96"/>
      <c r="AU96"/>
      <c r="AV96"/>
    </row>
    <row r="97" spans="3:48" x14ac:dyDescent="0.25">
      <c r="G97"/>
      <c r="H97"/>
      <c r="I97"/>
      <c r="J97"/>
      <c r="K97"/>
      <c r="L97"/>
      <c r="AU97"/>
      <c r="AV97"/>
    </row>
    <row r="98" spans="3:48" x14ac:dyDescent="0.25">
      <c r="C98"/>
      <c r="D98"/>
      <c r="E98"/>
      <c r="F98"/>
      <c r="G98"/>
      <c r="H98"/>
      <c r="I98"/>
      <c r="J98"/>
      <c r="K98"/>
      <c r="L98"/>
      <c r="AU98"/>
      <c r="AV98"/>
    </row>
    <row r="99" spans="3:48" x14ac:dyDescent="0.25">
      <c r="C99"/>
      <c r="D99"/>
      <c r="E99"/>
      <c r="F99"/>
      <c r="G99"/>
      <c r="H99"/>
      <c r="I99"/>
      <c r="J99"/>
      <c r="K99"/>
      <c r="L99"/>
      <c r="AU99"/>
      <c r="AV99"/>
    </row>
    <row r="100" spans="3:48" x14ac:dyDescent="0.25">
      <c r="C100"/>
      <c r="D100"/>
      <c r="E100"/>
      <c r="F100"/>
      <c r="G100"/>
      <c r="H100"/>
      <c r="I100"/>
      <c r="J100"/>
      <c r="K100"/>
      <c r="L100"/>
      <c r="AU100"/>
      <c r="AV100"/>
    </row>
    <row r="101" spans="3:48" x14ac:dyDescent="0.25">
      <c r="C101"/>
      <c r="D101"/>
      <c r="E101"/>
      <c r="F101"/>
      <c r="G101"/>
      <c r="H101"/>
      <c r="I101"/>
      <c r="J101"/>
      <c r="K101"/>
      <c r="L101"/>
      <c r="AU101"/>
      <c r="AV101"/>
    </row>
    <row r="102" spans="3:48" x14ac:dyDescent="0.25">
      <c r="C102"/>
      <c r="D102"/>
      <c r="E102"/>
      <c r="F102"/>
      <c r="G102"/>
      <c r="H102"/>
      <c r="I102"/>
      <c r="J102"/>
      <c r="K102"/>
      <c r="L102"/>
      <c r="AU102"/>
      <c r="AV102"/>
    </row>
    <row r="103" spans="3:48" x14ac:dyDescent="0.25">
      <c r="C103"/>
      <c r="D103"/>
      <c r="E103"/>
      <c r="F103"/>
      <c r="G103"/>
      <c r="H103"/>
      <c r="I103"/>
      <c r="J103"/>
      <c r="K103"/>
      <c r="L103"/>
      <c r="AU103"/>
      <c r="AV103"/>
    </row>
    <row r="104" spans="3:48" x14ac:dyDescent="0.25">
      <c r="C104"/>
      <c r="D104"/>
      <c r="E104"/>
      <c r="F104"/>
      <c r="G104"/>
      <c r="H104"/>
      <c r="I104"/>
      <c r="J104"/>
      <c r="K104"/>
      <c r="L104"/>
      <c r="AU104"/>
      <c r="AV104"/>
    </row>
    <row r="105" spans="3:48" x14ac:dyDescent="0.25">
      <c r="C105"/>
      <c r="D105"/>
      <c r="E105"/>
      <c r="F105"/>
      <c r="G105"/>
      <c r="H105"/>
      <c r="I105"/>
      <c r="J105"/>
      <c r="K105"/>
      <c r="L105"/>
      <c r="AU105"/>
      <c r="AV105"/>
    </row>
    <row r="106" spans="3:48" x14ac:dyDescent="0.25">
      <c r="C106"/>
      <c r="D106"/>
      <c r="E106"/>
      <c r="F106"/>
      <c r="G106"/>
      <c r="H106"/>
      <c r="I106"/>
      <c r="J106"/>
      <c r="K106"/>
      <c r="L106"/>
      <c r="AU106"/>
      <c r="AV106"/>
    </row>
    <row r="107" spans="3:48" x14ac:dyDescent="0.25">
      <c r="C107"/>
      <c r="D107"/>
      <c r="E107"/>
      <c r="F107"/>
      <c r="G107"/>
      <c r="H107"/>
      <c r="I107"/>
      <c r="J107"/>
      <c r="K107"/>
      <c r="L107"/>
      <c r="AU107"/>
      <c r="AV107"/>
    </row>
    <row r="108" spans="3:48" x14ac:dyDescent="0.25">
      <c r="C108"/>
      <c r="D108"/>
      <c r="E108"/>
      <c r="F108"/>
      <c r="G108"/>
      <c r="H108"/>
      <c r="I108"/>
      <c r="J108"/>
      <c r="K108"/>
      <c r="L108"/>
      <c r="AU108"/>
      <c r="AV108"/>
    </row>
    <row r="109" spans="3:48" x14ac:dyDescent="0.25">
      <c r="C109"/>
      <c r="D109"/>
      <c r="E109"/>
      <c r="F109"/>
      <c r="G109"/>
      <c r="H109"/>
      <c r="I109"/>
      <c r="J109"/>
      <c r="K109"/>
      <c r="L109"/>
      <c r="AU109"/>
      <c r="AV109"/>
    </row>
    <row r="110" spans="3:48" x14ac:dyDescent="0.25">
      <c r="C110"/>
      <c r="D110"/>
      <c r="E110"/>
      <c r="F110"/>
      <c r="G110"/>
      <c r="H110"/>
      <c r="I110"/>
      <c r="J110"/>
      <c r="K110"/>
      <c r="L110"/>
      <c r="AU110"/>
      <c r="AV110"/>
    </row>
    <row r="111" spans="3:48" x14ac:dyDescent="0.25">
      <c r="C111"/>
      <c r="D111"/>
      <c r="E111"/>
      <c r="F111"/>
      <c r="G111"/>
      <c r="H111"/>
      <c r="I111"/>
      <c r="J111"/>
      <c r="K111"/>
      <c r="L111"/>
      <c r="AU111"/>
      <c r="AV111"/>
    </row>
    <row r="112" spans="3:48" x14ac:dyDescent="0.25">
      <c r="C112"/>
      <c r="D112"/>
      <c r="E112"/>
      <c r="F112"/>
      <c r="G112"/>
      <c r="H112"/>
      <c r="I112"/>
      <c r="J112"/>
      <c r="K112"/>
      <c r="L112"/>
      <c r="AU112"/>
      <c r="AV112"/>
    </row>
    <row r="113" spans="3:48" x14ac:dyDescent="0.25">
      <c r="C113"/>
      <c r="D113"/>
      <c r="E113"/>
      <c r="F113"/>
      <c r="G113"/>
      <c r="H113"/>
      <c r="I113"/>
      <c r="J113"/>
      <c r="K113"/>
      <c r="L113"/>
      <c r="AU113"/>
      <c r="AV113"/>
    </row>
    <row r="114" spans="3:48" x14ac:dyDescent="0.25">
      <c r="C114"/>
      <c r="D114"/>
      <c r="E114"/>
      <c r="F114"/>
      <c r="G114"/>
      <c r="H114"/>
      <c r="I114"/>
      <c r="J114"/>
      <c r="K114"/>
      <c r="L114"/>
      <c r="AU114"/>
      <c r="AV114"/>
    </row>
    <row r="115" spans="3:48" x14ac:dyDescent="0.25">
      <c r="C115"/>
      <c r="D115"/>
      <c r="E115"/>
      <c r="F115"/>
      <c r="G115"/>
      <c r="H115"/>
      <c r="I115"/>
      <c r="J115"/>
      <c r="K115"/>
      <c r="L115"/>
      <c r="AU115"/>
      <c r="AV115"/>
    </row>
    <row r="116" spans="3:48" x14ac:dyDescent="0.25">
      <c r="C116"/>
      <c r="D116"/>
      <c r="E116"/>
      <c r="F116"/>
      <c r="G116"/>
      <c r="H116"/>
      <c r="I116"/>
      <c r="J116"/>
      <c r="K116"/>
      <c r="L116"/>
      <c r="AU116"/>
      <c r="AV116"/>
    </row>
    <row r="117" spans="3:48" x14ac:dyDescent="0.25">
      <c r="C117"/>
      <c r="D117"/>
      <c r="E117"/>
      <c r="F117"/>
      <c r="G117"/>
      <c r="H117"/>
      <c r="I117"/>
      <c r="J117"/>
      <c r="K117"/>
      <c r="L117"/>
      <c r="AU117"/>
      <c r="AV117"/>
    </row>
    <row r="118" spans="3:48" x14ac:dyDescent="0.25">
      <c r="C118"/>
      <c r="D118"/>
      <c r="E118"/>
      <c r="F118"/>
      <c r="G118"/>
      <c r="H118"/>
      <c r="I118"/>
      <c r="J118"/>
      <c r="K118"/>
      <c r="L118"/>
      <c r="AU118"/>
      <c r="AV118"/>
    </row>
    <row r="119" spans="3:48" x14ac:dyDescent="0.25">
      <c r="C119"/>
      <c r="D119"/>
      <c r="E119"/>
      <c r="F119"/>
      <c r="G119"/>
      <c r="H119"/>
      <c r="I119"/>
      <c r="J119"/>
      <c r="K119"/>
      <c r="L119"/>
      <c r="AU119"/>
      <c r="AV119"/>
    </row>
    <row r="120" spans="3:48" x14ac:dyDescent="0.25">
      <c r="C120"/>
      <c r="D120"/>
      <c r="E120"/>
      <c r="F120"/>
      <c r="G120"/>
      <c r="H120"/>
      <c r="I120"/>
      <c r="J120"/>
      <c r="K120"/>
      <c r="L120"/>
      <c r="AU120"/>
      <c r="AV120"/>
    </row>
    <row r="121" spans="3:48" x14ac:dyDescent="0.25">
      <c r="G121"/>
      <c r="H121"/>
      <c r="I121"/>
      <c r="J121"/>
      <c r="K121"/>
      <c r="L121"/>
      <c r="AU121"/>
      <c r="AV121"/>
    </row>
    <row r="122" spans="3:48" x14ac:dyDescent="0.25">
      <c r="G122"/>
      <c r="H122"/>
      <c r="I122"/>
      <c r="J122"/>
      <c r="K122"/>
      <c r="L122"/>
      <c r="AU122"/>
      <c r="AV122"/>
    </row>
    <row r="123" spans="3:48" x14ac:dyDescent="0.25">
      <c r="G123"/>
      <c r="H123"/>
      <c r="I123"/>
      <c r="J123"/>
      <c r="K123"/>
      <c r="L123"/>
      <c r="AU123"/>
      <c r="AV123"/>
    </row>
    <row r="124" spans="3:48" x14ac:dyDescent="0.25">
      <c r="G124"/>
      <c r="H124"/>
      <c r="I124"/>
      <c r="J124"/>
      <c r="K124"/>
      <c r="L124"/>
      <c r="AU124"/>
      <c r="AV124"/>
    </row>
    <row r="125" spans="3:48" x14ac:dyDescent="0.25">
      <c r="G125"/>
      <c r="H125"/>
      <c r="I125"/>
      <c r="J125"/>
      <c r="K125"/>
      <c r="L125"/>
      <c r="AU125"/>
      <c r="AV125"/>
    </row>
    <row r="126" spans="3:48" x14ac:dyDescent="0.25">
      <c r="G126"/>
      <c r="H126"/>
      <c r="I126"/>
      <c r="J126"/>
      <c r="K126"/>
      <c r="L126"/>
      <c r="AU126"/>
      <c r="AV126"/>
    </row>
    <row r="127" spans="3:48" x14ac:dyDescent="0.25">
      <c r="G127"/>
      <c r="H127"/>
      <c r="I127"/>
      <c r="J127"/>
      <c r="K127"/>
      <c r="L127"/>
      <c r="AU127"/>
      <c r="AV127"/>
    </row>
    <row r="128" spans="3:48" x14ac:dyDescent="0.25">
      <c r="G128"/>
      <c r="H128"/>
      <c r="I128"/>
      <c r="J128"/>
      <c r="K128"/>
      <c r="L128"/>
      <c r="AU128"/>
      <c r="AV128"/>
    </row>
    <row r="129" spans="7:48" x14ac:dyDescent="0.25">
      <c r="G129"/>
      <c r="H129"/>
      <c r="I129"/>
      <c r="J129"/>
      <c r="K129"/>
      <c r="L129"/>
      <c r="AU129"/>
      <c r="AV129"/>
    </row>
    <row r="130" spans="7:48" x14ac:dyDescent="0.25">
      <c r="G130"/>
      <c r="H130"/>
      <c r="I130"/>
      <c r="J130"/>
      <c r="K130"/>
      <c r="L130"/>
      <c r="AU130"/>
      <c r="AV130"/>
    </row>
    <row r="131" spans="7:48" x14ac:dyDescent="0.25">
      <c r="G131"/>
      <c r="H131"/>
      <c r="I131"/>
      <c r="J131"/>
      <c r="K131"/>
      <c r="L131"/>
      <c r="AU131"/>
      <c r="AV131"/>
    </row>
    <row r="132" spans="7:48" x14ac:dyDescent="0.25">
      <c r="G132"/>
      <c r="H132"/>
      <c r="I132"/>
      <c r="J132"/>
      <c r="K132"/>
      <c r="L132"/>
      <c r="AU132"/>
      <c r="AV132"/>
    </row>
    <row r="133" spans="7:48" x14ac:dyDescent="0.25">
      <c r="G133"/>
      <c r="H133"/>
      <c r="I133"/>
      <c r="J133"/>
      <c r="K133"/>
      <c r="L133"/>
      <c r="AU133"/>
      <c r="AV133"/>
    </row>
    <row r="134" spans="7:48" x14ac:dyDescent="0.25">
      <c r="G134"/>
      <c r="H134"/>
      <c r="I134"/>
      <c r="J134"/>
      <c r="K134"/>
      <c r="L134"/>
      <c r="AU134"/>
      <c r="AV134"/>
    </row>
    <row r="135" spans="7:48" x14ac:dyDescent="0.25">
      <c r="G135"/>
      <c r="H135"/>
      <c r="I135"/>
      <c r="J135"/>
      <c r="K135"/>
      <c r="L135"/>
      <c r="AU135"/>
      <c r="AV135"/>
    </row>
    <row r="136" spans="7:48" x14ac:dyDescent="0.25">
      <c r="G136"/>
      <c r="H136"/>
      <c r="I136"/>
      <c r="J136"/>
      <c r="K136"/>
      <c r="L136"/>
      <c r="AU136"/>
      <c r="AV136"/>
    </row>
    <row r="137" spans="7:48" x14ac:dyDescent="0.25">
      <c r="G137"/>
      <c r="H137"/>
      <c r="I137"/>
      <c r="J137"/>
      <c r="K137"/>
      <c r="L137"/>
      <c r="AU137"/>
      <c r="AV137"/>
    </row>
    <row r="138" spans="7:48" x14ac:dyDescent="0.25">
      <c r="G138"/>
      <c r="H138"/>
      <c r="I138"/>
      <c r="J138"/>
      <c r="K138"/>
      <c r="L138"/>
      <c r="AU138"/>
      <c r="AV138"/>
    </row>
    <row r="139" spans="7:48" x14ac:dyDescent="0.25">
      <c r="G139"/>
      <c r="H139"/>
      <c r="I139"/>
      <c r="J139"/>
      <c r="K139"/>
      <c r="L139"/>
      <c r="AU139"/>
      <c r="AV139"/>
    </row>
    <row r="140" spans="7:48" x14ac:dyDescent="0.25">
      <c r="G140"/>
      <c r="H140"/>
      <c r="I140"/>
      <c r="J140"/>
      <c r="K140"/>
      <c r="L140"/>
      <c r="AU140"/>
      <c r="AV140"/>
    </row>
    <row r="141" spans="7:48" x14ac:dyDescent="0.25">
      <c r="G141"/>
      <c r="H141"/>
      <c r="I141"/>
      <c r="J141"/>
      <c r="K141"/>
      <c r="L141"/>
      <c r="AU141"/>
      <c r="AV141"/>
    </row>
    <row r="142" spans="7:48" x14ac:dyDescent="0.25">
      <c r="G142"/>
      <c r="H142"/>
      <c r="I142"/>
      <c r="J142"/>
      <c r="K142"/>
      <c r="L142"/>
      <c r="AU142"/>
      <c r="AV142"/>
    </row>
    <row r="143" spans="7:48" x14ac:dyDescent="0.25">
      <c r="G143"/>
      <c r="H143"/>
      <c r="I143"/>
      <c r="J143"/>
      <c r="K143"/>
      <c r="L143"/>
      <c r="AU143"/>
      <c r="AV143"/>
    </row>
    <row r="144" spans="7:48" x14ac:dyDescent="0.25">
      <c r="G144"/>
      <c r="H144"/>
      <c r="I144"/>
      <c r="J144"/>
      <c r="K144"/>
      <c r="L144"/>
      <c r="AU144"/>
      <c r="AV144"/>
    </row>
    <row r="145" spans="7:48" x14ac:dyDescent="0.25">
      <c r="G145"/>
      <c r="H145"/>
      <c r="I145"/>
      <c r="J145"/>
      <c r="K145"/>
      <c r="L145"/>
      <c r="AU145"/>
      <c r="AV145"/>
    </row>
    <row r="146" spans="7:48" x14ac:dyDescent="0.25">
      <c r="G146"/>
      <c r="H146"/>
      <c r="I146"/>
      <c r="J146"/>
      <c r="K146"/>
      <c r="L146"/>
      <c r="AU146"/>
      <c r="AV146"/>
    </row>
    <row r="147" spans="7:48" x14ac:dyDescent="0.25">
      <c r="G147"/>
      <c r="H147"/>
      <c r="I147"/>
      <c r="J147"/>
      <c r="K147"/>
      <c r="L147"/>
      <c r="AU147"/>
      <c r="AV147"/>
    </row>
    <row r="148" spans="7:48" x14ac:dyDescent="0.25">
      <c r="G148"/>
      <c r="H148"/>
      <c r="I148"/>
      <c r="J148"/>
      <c r="K148"/>
      <c r="L148"/>
      <c r="AU148"/>
      <c r="AV148"/>
    </row>
    <row r="149" spans="7:48" x14ac:dyDescent="0.25">
      <c r="G149"/>
      <c r="H149"/>
      <c r="I149"/>
      <c r="J149"/>
      <c r="K149"/>
      <c r="L149"/>
      <c r="AU149"/>
      <c r="AV149"/>
    </row>
    <row r="150" spans="7:48" x14ac:dyDescent="0.25">
      <c r="G150"/>
      <c r="H150"/>
      <c r="I150"/>
      <c r="J150"/>
      <c r="K150"/>
      <c r="L150"/>
      <c r="AU150"/>
      <c r="AV150"/>
    </row>
    <row r="151" spans="7:48" x14ac:dyDescent="0.25">
      <c r="G151"/>
      <c r="H151"/>
      <c r="I151"/>
      <c r="J151"/>
      <c r="K151"/>
      <c r="L151"/>
      <c r="AU151"/>
      <c r="AV151"/>
    </row>
    <row r="152" spans="7:48" x14ac:dyDescent="0.25">
      <c r="G152"/>
      <c r="H152"/>
      <c r="I152"/>
      <c r="J152"/>
      <c r="K152"/>
      <c r="L152"/>
      <c r="AU152"/>
      <c r="AV152"/>
    </row>
    <row r="153" spans="7:48" x14ac:dyDescent="0.25">
      <c r="G153"/>
      <c r="H153"/>
      <c r="I153"/>
      <c r="J153"/>
      <c r="K153"/>
      <c r="L153"/>
      <c r="AU153"/>
      <c r="AV153"/>
    </row>
    <row r="154" spans="7:48" x14ac:dyDescent="0.25">
      <c r="G154"/>
      <c r="H154"/>
      <c r="I154"/>
      <c r="J154"/>
      <c r="K154"/>
      <c r="L154"/>
    </row>
    <row r="155" spans="7:48" x14ac:dyDescent="0.25">
      <c r="G155"/>
      <c r="H155"/>
      <c r="I155"/>
      <c r="J155"/>
      <c r="K155"/>
      <c r="L155"/>
    </row>
    <row r="156" spans="7:48" x14ac:dyDescent="0.25">
      <c r="G156"/>
      <c r="H156"/>
      <c r="I156"/>
      <c r="J156"/>
      <c r="K156"/>
      <c r="L156"/>
    </row>
    <row r="157" spans="7:48" x14ac:dyDescent="0.25">
      <c r="G157"/>
      <c r="H157"/>
      <c r="I157"/>
      <c r="J157"/>
      <c r="K157"/>
      <c r="L157"/>
    </row>
    <row r="158" spans="7:48" x14ac:dyDescent="0.25">
      <c r="G158"/>
      <c r="H158"/>
      <c r="I158"/>
      <c r="J158"/>
      <c r="K158"/>
      <c r="L158"/>
    </row>
    <row r="159" spans="7:48" x14ac:dyDescent="0.25">
      <c r="G159"/>
      <c r="H159"/>
      <c r="I159"/>
      <c r="J159"/>
      <c r="K159"/>
      <c r="L159"/>
    </row>
    <row r="160" spans="7:48"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workbookViewId="0">
      <selection activeCell="A22" sqref="A22"/>
    </sheetView>
  </sheetViews>
  <sheetFormatPr defaultColWidth="8.85546875" defaultRowHeight="15" x14ac:dyDescent="0.25"/>
  <cols>
    <col min="1" max="1" width="19" style="323" customWidth="1"/>
    <col min="2" max="2" width="12.42578125" style="323" customWidth="1"/>
    <col min="3" max="5" width="8.85546875" style="323"/>
    <col min="6" max="6" width="14.28515625" style="323" customWidth="1"/>
    <col min="7" max="7" width="22.5703125" style="323" customWidth="1"/>
    <col min="8" max="8" width="20" style="323" customWidth="1"/>
    <col min="9" max="9" width="23.5703125" style="323" customWidth="1"/>
    <col min="10" max="16384" width="8.85546875" style="323"/>
  </cols>
  <sheetData>
    <row r="1" spans="1:10" x14ac:dyDescent="0.25">
      <c r="A1" s="485" t="s">
        <v>1584</v>
      </c>
      <c r="B1" s="485" t="s">
        <v>392</v>
      </c>
      <c r="C1" s="485" t="s">
        <v>392</v>
      </c>
      <c r="D1" s="485" t="s">
        <v>0</v>
      </c>
      <c r="E1" s="485" t="s">
        <v>392</v>
      </c>
      <c r="F1" s="485" t="s">
        <v>0</v>
      </c>
      <c r="G1" s="485" t="s">
        <v>1475</v>
      </c>
      <c r="H1" s="485" t="s">
        <v>1476</v>
      </c>
      <c r="I1" s="485" t="s">
        <v>1477</v>
      </c>
    </row>
    <row r="2" spans="1:10" x14ac:dyDescent="0.25">
      <c r="A2" s="323" t="s">
        <v>1478</v>
      </c>
      <c r="B2" s="323" t="s">
        <v>378</v>
      </c>
      <c r="C2" s="323" t="s">
        <v>378</v>
      </c>
      <c r="D2" s="323" t="s">
        <v>5</v>
      </c>
      <c r="E2" s="323" t="s">
        <v>378</v>
      </c>
      <c r="F2" s="323" t="s">
        <v>5</v>
      </c>
      <c r="G2" s="323" t="s">
        <v>1479</v>
      </c>
      <c r="H2" s="323" t="s">
        <v>4</v>
      </c>
      <c r="I2" s="323" t="s">
        <v>1480</v>
      </c>
      <c r="J2" s="323" t="s">
        <v>1481</v>
      </c>
    </row>
    <row r="3" spans="1:10" x14ac:dyDescent="0.25">
      <c r="A3" s="323" t="s">
        <v>1482</v>
      </c>
      <c r="B3" s="323" t="s">
        <v>506</v>
      </c>
      <c r="C3" s="323" t="s">
        <v>378</v>
      </c>
      <c r="D3" s="323" t="s">
        <v>27</v>
      </c>
      <c r="E3" s="323" t="s">
        <v>378</v>
      </c>
      <c r="F3" s="323" t="s">
        <v>5</v>
      </c>
      <c r="G3" s="323" t="s">
        <v>12</v>
      </c>
      <c r="H3" s="323" t="s">
        <v>11</v>
      </c>
      <c r="I3" s="323" t="s">
        <v>1483</v>
      </c>
      <c r="J3" s="323" t="s">
        <v>1484</v>
      </c>
    </row>
    <row r="4" spans="1:10" x14ac:dyDescent="0.25">
      <c r="A4" s="323" t="s">
        <v>1589</v>
      </c>
      <c r="C4" s="323" t="s">
        <v>378</v>
      </c>
      <c r="D4" s="323" t="s">
        <v>480</v>
      </c>
      <c r="E4" s="323" t="s">
        <v>378</v>
      </c>
      <c r="F4" s="323" t="s">
        <v>5</v>
      </c>
      <c r="G4" s="323" t="s">
        <v>22</v>
      </c>
      <c r="H4" s="323" t="s">
        <v>21</v>
      </c>
      <c r="I4" s="323" t="s">
        <v>1485</v>
      </c>
    </row>
    <row r="5" spans="1:10" x14ac:dyDescent="0.25">
      <c r="A5" s="323" t="s">
        <v>424</v>
      </c>
      <c r="C5" s="323" t="s">
        <v>378</v>
      </c>
      <c r="D5" s="323" t="s">
        <v>151</v>
      </c>
      <c r="E5" s="323" t="s">
        <v>378</v>
      </c>
      <c r="F5" s="323" t="s">
        <v>5</v>
      </c>
      <c r="G5" s="323" t="s">
        <v>14</v>
      </c>
      <c r="H5" s="323" t="s">
        <v>13</v>
      </c>
      <c r="I5" s="323" t="s">
        <v>1486</v>
      </c>
    </row>
    <row r="6" spans="1:10" x14ac:dyDescent="0.25">
      <c r="A6" s="323" t="s">
        <v>1312</v>
      </c>
      <c r="C6" s="323" t="s">
        <v>378</v>
      </c>
      <c r="D6" s="323" t="s">
        <v>173</v>
      </c>
      <c r="E6" s="323" t="s">
        <v>378</v>
      </c>
      <c r="F6" s="323" t="s">
        <v>5</v>
      </c>
      <c r="G6" s="323" t="s">
        <v>1487</v>
      </c>
      <c r="H6" s="323" t="s">
        <v>19</v>
      </c>
    </row>
    <row r="7" spans="1:10" x14ac:dyDescent="0.25">
      <c r="A7" s="323" t="s">
        <v>1488</v>
      </c>
      <c r="C7" s="323" t="s">
        <v>378</v>
      </c>
      <c r="D7" s="323" t="s">
        <v>180</v>
      </c>
      <c r="E7" s="323" t="s">
        <v>378</v>
      </c>
      <c r="F7" s="323" t="s">
        <v>5</v>
      </c>
      <c r="G7" s="323" t="s">
        <v>18</v>
      </c>
      <c r="H7" s="323" t="s">
        <v>17</v>
      </c>
    </row>
    <row r="8" spans="1:10" x14ac:dyDescent="0.25">
      <c r="A8" s="323" t="s">
        <v>1489</v>
      </c>
      <c r="C8" s="323" t="s">
        <v>378</v>
      </c>
      <c r="D8" s="323" t="s">
        <v>185</v>
      </c>
      <c r="E8" s="323" t="s">
        <v>378</v>
      </c>
      <c r="F8" s="323" t="s">
        <v>5</v>
      </c>
      <c r="G8" s="323" t="s">
        <v>364</v>
      </c>
      <c r="H8" s="323" t="s">
        <v>374</v>
      </c>
    </row>
    <row r="9" spans="1:10" x14ac:dyDescent="0.25">
      <c r="A9" s="323" t="s">
        <v>779</v>
      </c>
      <c r="C9" s="323" t="s">
        <v>378</v>
      </c>
      <c r="D9" s="323" t="s">
        <v>237</v>
      </c>
      <c r="E9" s="323" t="s">
        <v>378</v>
      </c>
      <c r="F9" s="323" t="s">
        <v>5</v>
      </c>
      <c r="G9" s="323" t="s">
        <v>1490</v>
      </c>
      <c r="H9" s="323" t="s">
        <v>375</v>
      </c>
    </row>
    <row r="10" spans="1:10" x14ac:dyDescent="0.25">
      <c r="A10" s="323" t="s">
        <v>1491</v>
      </c>
      <c r="C10" s="323" t="s">
        <v>378</v>
      </c>
      <c r="D10" s="323" t="s">
        <v>299</v>
      </c>
      <c r="E10" s="323" t="s">
        <v>378</v>
      </c>
      <c r="F10" s="323" t="s">
        <v>5</v>
      </c>
      <c r="G10" s="323" t="s">
        <v>8</v>
      </c>
      <c r="H10" s="323" t="s">
        <v>7</v>
      </c>
    </row>
    <row r="11" spans="1:10" x14ac:dyDescent="0.25">
      <c r="A11" s="323" t="s">
        <v>1268</v>
      </c>
      <c r="C11" s="323" t="s">
        <v>378</v>
      </c>
      <c r="D11" s="323" t="s">
        <v>301</v>
      </c>
      <c r="E11" s="323" t="s">
        <v>378</v>
      </c>
      <c r="F11" s="323" t="s">
        <v>5</v>
      </c>
      <c r="G11" s="323" t="s">
        <v>26</v>
      </c>
      <c r="H11" s="323" t="s">
        <v>25</v>
      </c>
    </row>
    <row r="12" spans="1:10" x14ac:dyDescent="0.25">
      <c r="A12" s="323" t="s">
        <v>462</v>
      </c>
      <c r="C12" s="323" t="s">
        <v>378</v>
      </c>
      <c r="D12" s="323" t="s">
        <v>747</v>
      </c>
      <c r="E12" s="323" t="s">
        <v>378</v>
      </c>
      <c r="F12" s="323" t="s">
        <v>5</v>
      </c>
      <c r="G12" s="323" t="s">
        <v>24</v>
      </c>
      <c r="H12" s="323" t="s">
        <v>23</v>
      </c>
    </row>
    <row r="13" spans="1:10" x14ac:dyDescent="0.25">
      <c r="A13" s="323" t="s">
        <v>1492</v>
      </c>
      <c r="C13" s="323" t="s">
        <v>378</v>
      </c>
      <c r="D13" s="323" t="s">
        <v>1140</v>
      </c>
      <c r="E13" s="323" t="s">
        <v>378</v>
      </c>
      <c r="F13" s="323" t="s">
        <v>27</v>
      </c>
      <c r="G13" s="323" t="s">
        <v>1493</v>
      </c>
      <c r="H13" s="323" t="s">
        <v>29</v>
      </c>
    </row>
    <row r="14" spans="1:10" x14ac:dyDescent="0.25">
      <c r="A14" s="323" t="s">
        <v>1393</v>
      </c>
      <c r="C14" s="323" t="s">
        <v>378</v>
      </c>
      <c r="D14" s="323" t="s">
        <v>309</v>
      </c>
      <c r="E14" s="323" t="s">
        <v>378</v>
      </c>
      <c r="F14" s="323" t="s">
        <v>27</v>
      </c>
      <c r="G14" s="323" t="s">
        <v>28</v>
      </c>
      <c r="H14" s="323" t="s">
        <v>30</v>
      </c>
    </row>
    <row r="15" spans="1:10" x14ac:dyDescent="0.25">
      <c r="A15" s="323" t="s">
        <v>420</v>
      </c>
      <c r="C15" s="323" t="s">
        <v>506</v>
      </c>
      <c r="D15" s="323" t="s">
        <v>719</v>
      </c>
      <c r="E15" s="323" t="s">
        <v>378</v>
      </c>
      <c r="F15" s="323" t="s">
        <v>27</v>
      </c>
      <c r="G15" s="323" t="s">
        <v>791</v>
      </c>
      <c r="H15" s="323" t="s">
        <v>790</v>
      </c>
    </row>
    <row r="16" spans="1:10" x14ac:dyDescent="0.25">
      <c r="A16" s="323" t="s">
        <v>774</v>
      </c>
      <c r="C16" s="323" t="s">
        <v>506</v>
      </c>
      <c r="D16" s="323" t="s">
        <v>146</v>
      </c>
      <c r="E16" s="323" t="s">
        <v>378</v>
      </c>
      <c r="F16" s="323" t="s">
        <v>27</v>
      </c>
      <c r="G16" s="323" t="s">
        <v>877</v>
      </c>
      <c r="H16" s="323" t="s">
        <v>878</v>
      </c>
    </row>
    <row r="17" spans="1:8" x14ac:dyDescent="0.25">
      <c r="A17" s="323" t="s">
        <v>826</v>
      </c>
      <c r="C17" s="323" t="s">
        <v>506</v>
      </c>
      <c r="D17" s="323" t="s">
        <v>166</v>
      </c>
      <c r="E17" s="323" t="s">
        <v>378</v>
      </c>
      <c r="F17" s="323" t="s">
        <v>27</v>
      </c>
      <c r="G17" s="323" t="s">
        <v>363</v>
      </c>
      <c r="H17" s="323" t="s">
        <v>376</v>
      </c>
    </row>
    <row r="18" spans="1:8" x14ac:dyDescent="0.25">
      <c r="A18" s="323" t="s">
        <v>1583</v>
      </c>
      <c r="C18" s="323" t="s">
        <v>506</v>
      </c>
      <c r="D18" s="323" t="s">
        <v>230</v>
      </c>
      <c r="E18" s="323" t="s">
        <v>378</v>
      </c>
      <c r="F18" s="323" t="s">
        <v>480</v>
      </c>
      <c r="G18" s="323" t="s">
        <v>1494</v>
      </c>
      <c r="H18" s="323" t="s">
        <v>119</v>
      </c>
    </row>
    <row r="19" spans="1:8" x14ac:dyDescent="0.25">
      <c r="A19" s="323" t="s">
        <v>1585</v>
      </c>
      <c r="C19" s="323" t="s">
        <v>506</v>
      </c>
      <c r="D19" s="323" t="s">
        <v>288</v>
      </c>
      <c r="E19" s="323" t="s">
        <v>378</v>
      </c>
      <c r="F19" s="323" t="s">
        <v>480</v>
      </c>
      <c r="G19" s="323" t="s">
        <v>140</v>
      </c>
      <c r="H19" s="323" t="s">
        <v>139</v>
      </c>
    </row>
    <row r="20" spans="1:8" x14ac:dyDescent="0.25">
      <c r="A20" s="323" t="s">
        <v>1586</v>
      </c>
      <c r="C20" s="323" t="s">
        <v>506</v>
      </c>
      <c r="D20" s="323" t="s">
        <v>297</v>
      </c>
      <c r="E20" s="323" t="s">
        <v>378</v>
      </c>
      <c r="F20" s="323" t="s">
        <v>480</v>
      </c>
      <c r="G20" s="323" t="s">
        <v>1495</v>
      </c>
      <c r="H20" s="323" t="s">
        <v>87</v>
      </c>
    </row>
    <row r="21" spans="1:8" x14ac:dyDescent="0.25">
      <c r="A21" s="567" t="s">
        <v>1596</v>
      </c>
      <c r="C21" s="323" t="s">
        <v>506</v>
      </c>
      <c r="D21" s="323" t="s">
        <v>1204</v>
      </c>
      <c r="E21" s="323" t="s">
        <v>378</v>
      </c>
      <c r="F21" s="323" t="s">
        <v>480</v>
      </c>
      <c r="G21" s="323" t="s">
        <v>1496</v>
      </c>
      <c r="H21" s="323" t="s">
        <v>51</v>
      </c>
    </row>
    <row r="22" spans="1:8" x14ac:dyDescent="0.25">
      <c r="A22" s="323" t="s">
        <v>1618</v>
      </c>
      <c r="D22" s="323" t="s">
        <v>717</v>
      </c>
      <c r="E22" s="323" t="s">
        <v>378</v>
      </c>
      <c r="F22" s="323" t="s">
        <v>480</v>
      </c>
      <c r="G22" s="323" t="s">
        <v>1497</v>
      </c>
      <c r="H22" s="323" t="s">
        <v>1277</v>
      </c>
    </row>
    <row r="23" spans="1:8" x14ac:dyDescent="0.25">
      <c r="E23" s="323" t="s">
        <v>378</v>
      </c>
      <c r="F23" s="323" t="s">
        <v>480</v>
      </c>
      <c r="G23" s="323" t="s">
        <v>1498</v>
      </c>
      <c r="H23" s="323" t="s">
        <v>123</v>
      </c>
    </row>
    <row r="24" spans="1:8" x14ac:dyDescent="0.25">
      <c r="E24" s="323" t="s">
        <v>378</v>
      </c>
      <c r="F24" s="323" t="s">
        <v>480</v>
      </c>
      <c r="G24" s="323" t="s">
        <v>1499</v>
      </c>
      <c r="H24" s="323" t="s">
        <v>125</v>
      </c>
    </row>
    <row r="25" spans="1:8" x14ac:dyDescent="0.25">
      <c r="E25" s="323" t="s">
        <v>378</v>
      </c>
      <c r="F25" s="323" t="s">
        <v>480</v>
      </c>
      <c r="G25" s="323" t="s">
        <v>1500</v>
      </c>
      <c r="H25" s="323" t="s">
        <v>1168</v>
      </c>
    </row>
    <row r="26" spans="1:8" x14ac:dyDescent="0.25">
      <c r="E26" s="323" t="s">
        <v>378</v>
      </c>
      <c r="F26" s="323" t="s">
        <v>480</v>
      </c>
      <c r="G26" s="323" t="s">
        <v>1501</v>
      </c>
      <c r="H26" s="323" t="s">
        <v>918</v>
      </c>
    </row>
    <row r="27" spans="1:8" x14ac:dyDescent="0.25">
      <c r="E27" s="323" t="s">
        <v>378</v>
      </c>
      <c r="F27" s="323" t="s">
        <v>480</v>
      </c>
      <c r="G27" s="323" t="s">
        <v>1502</v>
      </c>
      <c r="H27" s="323" t="s">
        <v>1165</v>
      </c>
    </row>
    <row r="28" spans="1:8" x14ac:dyDescent="0.25">
      <c r="E28" s="323" t="s">
        <v>378</v>
      </c>
      <c r="F28" s="323" t="s">
        <v>480</v>
      </c>
      <c r="G28" s="323" t="s">
        <v>100</v>
      </c>
      <c r="H28" s="323" t="s">
        <v>99</v>
      </c>
    </row>
    <row r="29" spans="1:8" x14ac:dyDescent="0.25">
      <c r="E29" s="323" t="s">
        <v>378</v>
      </c>
      <c r="F29" s="323" t="s">
        <v>480</v>
      </c>
      <c r="G29" s="323" t="s">
        <v>72</v>
      </c>
      <c r="H29" s="323" t="s">
        <v>71</v>
      </c>
    </row>
    <row r="30" spans="1:8" x14ac:dyDescent="0.25">
      <c r="E30" s="323" t="s">
        <v>378</v>
      </c>
      <c r="F30" s="323" t="s">
        <v>480</v>
      </c>
      <c r="G30" s="323" t="s">
        <v>92</v>
      </c>
      <c r="H30" s="323" t="s">
        <v>91</v>
      </c>
    </row>
    <row r="31" spans="1:8" x14ac:dyDescent="0.25">
      <c r="E31" s="323" t="s">
        <v>378</v>
      </c>
      <c r="F31" s="323" t="s">
        <v>480</v>
      </c>
      <c r="G31" s="323" t="s">
        <v>108</v>
      </c>
      <c r="H31" s="323" t="s">
        <v>107</v>
      </c>
    </row>
    <row r="32" spans="1:8" x14ac:dyDescent="0.25">
      <c r="E32" s="323" t="s">
        <v>378</v>
      </c>
      <c r="F32" s="323" t="s">
        <v>480</v>
      </c>
      <c r="G32" s="323" t="s">
        <v>1161</v>
      </c>
      <c r="H32" s="323" t="s">
        <v>1167</v>
      </c>
    </row>
    <row r="33" spans="5:8" x14ac:dyDescent="0.25">
      <c r="E33" s="323" t="s">
        <v>378</v>
      </c>
      <c r="F33" s="323" t="s">
        <v>480</v>
      </c>
      <c r="G33" s="323" t="s">
        <v>1503</v>
      </c>
      <c r="H33" s="323" t="s">
        <v>75</v>
      </c>
    </row>
    <row r="34" spans="5:8" x14ac:dyDescent="0.25">
      <c r="E34" s="323" t="s">
        <v>378</v>
      </c>
      <c r="F34" s="323" t="s">
        <v>480</v>
      </c>
      <c r="G34" s="323" t="s">
        <v>41</v>
      </c>
      <c r="H34" s="323" t="s">
        <v>40</v>
      </c>
    </row>
    <row r="35" spans="5:8" x14ac:dyDescent="0.25">
      <c r="E35" s="323" t="s">
        <v>378</v>
      </c>
      <c r="F35" s="323" t="s">
        <v>480</v>
      </c>
      <c r="G35" s="323" t="s">
        <v>90</v>
      </c>
      <c r="H35" s="323" t="s">
        <v>89</v>
      </c>
    </row>
    <row r="36" spans="5:8" x14ac:dyDescent="0.25">
      <c r="E36" s="323" t="s">
        <v>378</v>
      </c>
      <c r="F36" s="323" t="s">
        <v>480</v>
      </c>
      <c r="G36" s="323" t="s">
        <v>118</v>
      </c>
      <c r="H36" s="323" t="s">
        <v>117</v>
      </c>
    </row>
    <row r="37" spans="5:8" x14ac:dyDescent="0.25">
      <c r="E37" s="323" t="s">
        <v>378</v>
      </c>
      <c r="F37" s="323" t="s">
        <v>480</v>
      </c>
      <c r="G37" s="323" t="s">
        <v>43</v>
      </c>
      <c r="H37" s="323" t="s">
        <v>42</v>
      </c>
    </row>
    <row r="38" spans="5:8" x14ac:dyDescent="0.25">
      <c r="E38" s="323" t="s">
        <v>378</v>
      </c>
      <c r="F38" s="323" t="s">
        <v>480</v>
      </c>
      <c r="G38" s="323" t="s">
        <v>44</v>
      </c>
      <c r="H38" s="323" t="s">
        <v>45</v>
      </c>
    </row>
    <row r="39" spans="5:8" x14ac:dyDescent="0.25">
      <c r="E39" s="323" t="s">
        <v>378</v>
      </c>
      <c r="F39" s="323" t="s">
        <v>480</v>
      </c>
      <c r="G39" s="323" t="s">
        <v>551</v>
      </c>
      <c r="H39" s="323" t="s">
        <v>46</v>
      </c>
    </row>
    <row r="40" spans="5:8" x14ac:dyDescent="0.25">
      <c r="E40" s="323" t="s">
        <v>378</v>
      </c>
      <c r="F40" s="323" t="s">
        <v>151</v>
      </c>
      <c r="G40" s="323" t="s">
        <v>188</v>
      </c>
      <c r="H40" s="323" t="s">
        <v>187</v>
      </c>
    </row>
    <row r="41" spans="5:8" x14ac:dyDescent="0.25">
      <c r="E41" s="323" t="s">
        <v>378</v>
      </c>
      <c r="F41" s="323" t="s">
        <v>151</v>
      </c>
      <c r="G41" s="323" t="s">
        <v>12</v>
      </c>
      <c r="H41" s="323" t="s">
        <v>388</v>
      </c>
    </row>
    <row r="42" spans="5:8" x14ac:dyDescent="0.25">
      <c r="E42" s="323" t="s">
        <v>378</v>
      </c>
      <c r="F42" s="323" t="s">
        <v>151</v>
      </c>
      <c r="G42" s="323" t="s">
        <v>198</v>
      </c>
      <c r="H42" s="323" t="s">
        <v>197</v>
      </c>
    </row>
    <row r="43" spans="5:8" x14ac:dyDescent="0.25">
      <c r="E43" s="323" t="s">
        <v>378</v>
      </c>
      <c r="F43" s="323" t="s">
        <v>151</v>
      </c>
      <c r="G43" s="323" t="s">
        <v>1504</v>
      </c>
      <c r="H43" s="323" t="s">
        <v>848</v>
      </c>
    </row>
    <row r="44" spans="5:8" x14ac:dyDescent="0.25">
      <c r="E44" s="323" t="s">
        <v>378</v>
      </c>
      <c r="F44" s="323" t="s">
        <v>151</v>
      </c>
      <c r="G44" s="323" t="s">
        <v>152</v>
      </c>
      <c r="H44" s="323" t="s">
        <v>150</v>
      </c>
    </row>
    <row r="45" spans="5:8" x14ac:dyDescent="0.25">
      <c r="E45" s="323" t="s">
        <v>378</v>
      </c>
      <c r="F45" s="323" t="s">
        <v>151</v>
      </c>
      <c r="G45" s="323" t="s">
        <v>1505</v>
      </c>
      <c r="H45" s="323" t="s">
        <v>153</v>
      </c>
    </row>
    <row r="46" spans="5:8" x14ac:dyDescent="0.25">
      <c r="E46" s="323" t="s">
        <v>378</v>
      </c>
      <c r="F46" s="323" t="s">
        <v>151</v>
      </c>
      <c r="G46" s="323" t="s">
        <v>1506</v>
      </c>
      <c r="H46" s="323" t="s">
        <v>914</v>
      </c>
    </row>
    <row r="47" spans="5:8" x14ac:dyDescent="0.25">
      <c r="E47" s="323" t="s">
        <v>378</v>
      </c>
      <c r="F47" s="323" t="s">
        <v>151</v>
      </c>
      <c r="G47" s="323" t="s">
        <v>156</v>
      </c>
      <c r="H47" s="323" t="s">
        <v>155</v>
      </c>
    </row>
    <row r="48" spans="5:8" x14ac:dyDescent="0.25">
      <c r="E48" s="323" t="s">
        <v>378</v>
      </c>
      <c r="F48" s="323" t="s">
        <v>151</v>
      </c>
      <c r="G48" s="323" t="s">
        <v>1507</v>
      </c>
      <c r="H48" s="323" t="s">
        <v>159</v>
      </c>
    </row>
    <row r="49" spans="5:8" x14ac:dyDescent="0.25">
      <c r="E49" s="323" t="s">
        <v>378</v>
      </c>
      <c r="F49" s="323" t="s">
        <v>151</v>
      </c>
      <c r="G49" s="323" t="s">
        <v>1508</v>
      </c>
      <c r="H49" s="323" t="s">
        <v>813</v>
      </c>
    </row>
    <row r="50" spans="5:8" x14ac:dyDescent="0.25">
      <c r="E50" s="323" t="s">
        <v>378</v>
      </c>
      <c r="F50" s="323" t="s">
        <v>151</v>
      </c>
      <c r="G50" s="323" t="s">
        <v>1509</v>
      </c>
      <c r="H50" s="323" t="s">
        <v>941</v>
      </c>
    </row>
    <row r="51" spans="5:8" x14ac:dyDescent="0.25">
      <c r="E51" s="323" t="s">
        <v>378</v>
      </c>
      <c r="F51" s="323" t="s">
        <v>173</v>
      </c>
      <c r="G51" s="323" t="s">
        <v>1510</v>
      </c>
      <c r="H51" s="323" t="s">
        <v>175</v>
      </c>
    </row>
    <row r="52" spans="5:8" x14ac:dyDescent="0.25">
      <c r="E52" s="323" t="s">
        <v>378</v>
      </c>
      <c r="F52" s="323" t="s">
        <v>173</v>
      </c>
      <c r="G52" s="323" t="s">
        <v>174</v>
      </c>
      <c r="H52" s="323" t="s">
        <v>172</v>
      </c>
    </row>
    <row r="53" spans="5:8" x14ac:dyDescent="0.25">
      <c r="E53" s="323" t="s">
        <v>378</v>
      </c>
      <c r="F53" s="323" t="s">
        <v>173</v>
      </c>
      <c r="G53" s="323" t="s">
        <v>1056</v>
      </c>
      <c r="H53" s="323" t="s">
        <v>1059</v>
      </c>
    </row>
    <row r="54" spans="5:8" x14ac:dyDescent="0.25">
      <c r="E54" s="323" t="s">
        <v>378</v>
      </c>
      <c r="F54" s="323" t="s">
        <v>173</v>
      </c>
      <c r="G54" s="323" t="s">
        <v>178</v>
      </c>
      <c r="H54" s="323" t="s">
        <v>177</v>
      </c>
    </row>
    <row r="55" spans="5:8" x14ac:dyDescent="0.25">
      <c r="E55" s="323" t="s">
        <v>378</v>
      </c>
      <c r="F55" s="323" t="s">
        <v>173</v>
      </c>
      <c r="G55" s="323" t="s">
        <v>1064</v>
      </c>
      <c r="H55" s="323" t="s">
        <v>1058</v>
      </c>
    </row>
    <row r="56" spans="5:8" x14ac:dyDescent="0.25">
      <c r="E56" s="323" t="s">
        <v>378</v>
      </c>
      <c r="F56" s="323" t="s">
        <v>180</v>
      </c>
      <c r="G56" s="323" t="s">
        <v>986</v>
      </c>
      <c r="H56" s="323" t="s">
        <v>988</v>
      </c>
    </row>
    <row r="57" spans="5:8" x14ac:dyDescent="0.25">
      <c r="E57" s="323" t="s">
        <v>378</v>
      </c>
      <c r="F57" s="323" t="s">
        <v>180</v>
      </c>
      <c r="G57" s="323" t="s">
        <v>987</v>
      </c>
      <c r="H57" s="323" t="s">
        <v>989</v>
      </c>
    </row>
    <row r="58" spans="5:8" x14ac:dyDescent="0.25">
      <c r="E58" s="323" t="s">
        <v>378</v>
      </c>
      <c r="F58" s="323" t="s">
        <v>180</v>
      </c>
      <c r="G58" s="323" t="s">
        <v>286</v>
      </c>
      <c r="H58" s="323" t="s">
        <v>285</v>
      </c>
    </row>
    <row r="59" spans="5:8" x14ac:dyDescent="0.25">
      <c r="E59" s="323" t="s">
        <v>378</v>
      </c>
      <c r="F59" s="323" t="s">
        <v>180</v>
      </c>
      <c r="G59" s="323" t="s">
        <v>181</v>
      </c>
      <c r="H59" s="323" t="s">
        <v>179</v>
      </c>
    </row>
    <row r="60" spans="5:8" x14ac:dyDescent="0.25">
      <c r="E60" s="323" t="s">
        <v>378</v>
      </c>
      <c r="F60" s="323" t="s">
        <v>185</v>
      </c>
      <c r="G60" s="323" t="s">
        <v>192</v>
      </c>
      <c r="H60" s="323" t="s">
        <v>191</v>
      </c>
    </row>
    <row r="61" spans="5:8" x14ac:dyDescent="0.25">
      <c r="E61" s="323" t="s">
        <v>378</v>
      </c>
      <c r="F61" s="323" t="s">
        <v>185</v>
      </c>
      <c r="G61" s="323" t="s">
        <v>12</v>
      </c>
      <c r="H61" s="323" t="s">
        <v>389</v>
      </c>
    </row>
    <row r="62" spans="5:8" x14ac:dyDescent="0.25">
      <c r="E62" s="323" t="s">
        <v>378</v>
      </c>
      <c r="F62" s="323" t="s">
        <v>185</v>
      </c>
      <c r="G62" s="323" t="s">
        <v>194</v>
      </c>
      <c r="H62" s="323" t="s">
        <v>193</v>
      </c>
    </row>
    <row r="63" spans="5:8" x14ac:dyDescent="0.25">
      <c r="E63" s="323" t="s">
        <v>378</v>
      </c>
      <c r="F63" s="323" t="s">
        <v>185</v>
      </c>
      <c r="G63" s="323" t="s">
        <v>1511</v>
      </c>
      <c r="H63" s="323" t="s">
        <v>222</v>
      </c>
    </row>
    <row r="64" spans="5:8" x14ac:dyDescent="0.25">
      <c r="E64" s="323" t="s">
        <v>378</v>
      </c>
      <c r="F64" s="323" t="s">
        <v>185</v>
      </c>
      <c r="G64" s="323" t="s">
        <v>209</v>
      </c>
      <c r="H64" s="323" t="s">
        <v>208</v>
      </c>
    </row>
    <row r="65" spans="5:8" x14ac:dyDescent="0.25">
      <c r="E65" s="323" t="s">
        <v>378</v>
      </c>
      <c r="F65" s="323" t="s">
        <v>185</v>
      </c>
      <c r="G65" s="323" t="s">
        <v>202</v>
      </c>
      <c r="H65" s="323" t="s">
        <v>201</v>
      </c>
    </row>
    <row r="66" spans="5:8" x14ac:dyDescent="0.25">
      <c r="E66" s="323" t="s">
        <v>378</v>
      </c>
      <c r="F66" s="323" t="s">
        <v>185</v>
      </c>
      <c r="G66" s="323" t="s">
        <v>190</v>
      </c>
      <c r="H66" s="323" t="s">
        <v>189</v>
      </c>
    </row>
    <row r="67" spans="5:8" x14ac:dyDescent="0.25">
      <c r="E67" s="323" t="s">
        <v>378</v>
      </c>
      <c r="F67" s="323" t="s">
        <v>185</v>
      </c>
      <c r="G67" s="323" t="s">
        <v>186</v>
      </c>
      <c r="H67" s="323" t="s">
        <v>184</v>
      </c>
    </row>
    <row r="68" spans="5:8" x14ac:dyDescent="0.25">
      <c r="E68" s="323" t="s">
        <v>378</v>
      </c>
      <c r="F68" s="323" t="s">
        <v>185</v>
      </c>
      <c r="G68" s="323" t="s">
        <v>196</v>
      </c>
      <c r="H68" s="323" t="s">
        <v>195</v>
      </c>
    </row>
    <row r="69" spans="5:8" x14ac:dyDescent="0.25">
      <c r="E69" s="323" t="s">
        <v>378</v>
      </c>
      <c r="F69" s="323" t="s">
        <v>185</v>
      </c>
      <c r="G69" s="323" t="s">
        <v>1353</v>
      </c>
      <c r="H69" s="323" t="s">
        <v>228</v>
      </c>
    </row>
    <row r="70" spans="5:8" x14ac:dyDescent="0.25">
      <c r="E70" s="323" t="s">
        <v>378</v>
      </c>
      <c r="F70" s="323" t="s">
        <v>185</v>
      </c>
      <c r="G70" s="323" t="s">
        <v>1512</v>
      </c>
      <c r="H70" s="323" t="s">
        <v>224</v>
      </c>
    </row>
    <row r="71" spans="5:8" x14ac:dyDescent="0.25">
      <c r="E71" s="323" t="s">
        <v>378</v>
      </c>
      <c r="F71" s="323" t="s">
        <v>185</v>
      </c>
      <c r="G71" s="323" t="s">
        <v>474</v>
      </c>
      <c r="H71" s="323" t="s">
        <v>475</v>
      </c>
    </row>
    <row r="72" spans="5:8" x14ac:dyDescent="0.25">
      <c r="E72" s="323" t="s">
        <v>378</v>
      </c>
      <c r="F72" s="323" t="s">
        <v>185</v>
      </c>
      <c r="G72" s="323" t="s">
        <v>1513</v>
      </c>
      <c r="H72" s="323" t="s">
        <v>214</v>
      </c>
    </row>
    <row r="73" spans="5:8" x14ac:dyDescent="0.25">
      <c r="E73" s="323" t="s">
        <v>378</v>
      </c>
      <c r="F73" s="323" t="s">
        <v>185</v>
      </c>
      <c r="G73" s="323" t="s">
        <v>219</v>
      </c>
      <c r="H73" s="323" t="s">
        <v>218</v>
      </c>
    </row>
    <row r="74" spans="5:8" x14ac:dyDescent="0.25">
      <c r="E74" s="323" t="s">
        <v>378</v>
      </c>
      <c r="F74" s="323" t="s">
        <v>185</v>
      </c>
      <c r="G74" s="323" t="s">
        <v>213</v>
      </c>
      <c r="H74" s="323" t="s">
        <v>212</v>
      </c>
    </row>
    <row r="75" spans="5:8" x14ac:dyDescent="0.25">
      <c r="E75" s="323" t="s">
        <v>378</v>
      </c>
      <c r="F75" s="323" t="s">
        <v>237</v>
      </c>
      <c r="G75" s="323" t="s">
        <v>238</v>
      </c>
      <c r="H75" s="323" t="s">
        <v>236</v>
      </c>
    </row>
    <row r="76" spans="5:8" x14ac:dyDescent="0.25">
      <c r="E76" s="323" t="s">
        <v>378</v>
      </c>
      <c r="F76" s="323" t="s">
        <v>237</v>
      </c>
      <c r="G76" s="323" t="s">
        <v>268</v>
      </c>
      <c r="H76" s="323" t="s">
        <v>267</v>
      </c>
    </row>
    <row r="77" spans="5:8" x14ac:dyDescent="0.25">
      <c r="E77" s="323" t="s">
        <v>378</v>
      </c>
      <c r="F77" s="323" t="s">
        <v>237</v>
      </c>
      <c r="G77" s="323" t="s">
        <v>248</v>
      </c>
      <c r="H77" s="323" t="s">
        <v>247</v>
      </c>
    </row>
    <row r="78" spans="5:8" x14ac:dyDescent="0.25">
      <c r="E78" s="323" t="s">
        <v>378</v>
      </c>
      <c r="F78" s="323" t="s">
        <v>237</v>
      </c>
      <c r="G78" s="323" t="s">
        <v>278</v>
      </c>
      <c r="H78" s="323" t="s">
        <v>277</v>
      </c>
    </row>
    <row r="79" spans="5:8" x14ac:dyDescent="0.25">
      <c r="E79" s="323" t="s">
        <v>378</v>
      </c>
      <c r="F79" s="323" t="s">
        <v>237</v>
      </c>
      <c r="G79" s="323" t="s">
        <v>250</v>
      </c>
      <c r="H79" s="323" t="s">
        <v>249</v>
      </c>
    </row>
    <row r="80" spans="5:8" x14ac:dyDescent="0.25">
      <c r="E80" s="323" t="s">
        <v>378</v>
      </c>
      <c r="F80" s="323" t="s">
        <v>237</v>
      </c>
      <c r="G80" s="323" t="s">
        <v>1514</v>
      </c>
      <c r="H80" s="323" t="s">
        <v>273</v>
      </c>
    </row>
    <row r="81" spans="5:8" x14ac:dyDescent="0.25">
      <c r="E81" s="323" t="s">
        <v>378</v>
      </c>
      <c r="F81" s="323" t="s">
        <v>237</v>
      </c>
      <c r="G81" s="323" t="s">
        <v>262</v>
      </c>
      <c r="H81" s="323" t="s">
        <v>261</v>
      </c>
    </row>
    <row r="82" spans="5:8" x14ac:dyDescent="0.25">
      <c r="E82" s="323" t="s">
        <v>378</v>
      </c>
      <c r="F82" s="323" t="s">
        <v>237</v>
      </c>
      <c r="G82" s="323" t="s">
        <v>264</v>
      </c>
      <c r="H82" s="323" t="s">
        <v>263</v>
      </c>
    </row>
    <row r="83" spans="5:8" x14ac:dyDescent="0.25">
      <c r="E83" s="323" t="s">
        <v>378</v>
      </c>
      <c r="F83" s="323" t="s">
        <v>237</v>
      </c>
      <c r="G83" s="323" t="s">
        <v>1515</v>
      </c>
      <c r="H83" s="323" t="s">
        <v>275</v>
      </c>
    </row>
    <row r="84" spans="5:8" x14ac:dyDescent="0.25">
      <c r="E84" s="323" t="s">
        <v>378</v>
      </c>
      <c r="F84" s="323" t="s">
        <v>237</v>
      </c>
      <c r="G84" s="323" t="s">
        <v>1033</v>
      </c>
      <c r="H84" s="323" t="s">
        <v>241</v>
      </c>
    </row>
    <row r="85" spans="5:8" x14ac:dyDescent="0.25">
      <c r="E85" s="323" t="s">
        <v>378</v>
      </c>
      <c r="F85" s="323" t="s">
        <v>237</v>
      </c>
      <c r="G85" s="323" t="s">
        <v>260</v>
      </c>
      <c r="H85" s="323" t="s">
        <v>259</v>
      </c>
    </row>
    <row r="86" spans="5:8" x14ac:dyDescent="0.25">
      <c r="E86" s="323" t="s">
        <v>378</v>
      </c>
      <c r="F86" s="323" t="s">
        <v>237</v>
      </c>
      <c r="G86" s="323" t="s">
        <v>280</v>
      </c>
      <c r="H86" s="323" t="s">
        <v>279</v>
      </c>
    </row>
    <row r="87" spans="5:8" x14ac:dyDescent="0.25">
      <c r="E87" s="323" t="s">
        <v>378</v>
      </c>
      <c r="F87" s="323" t="s">
        <v>237</v>
      </c>
      <c r="G87" s="323" t="s">
        <v>1516</v>
      </c>
      <c r="H87" s="323" t="s">
        <v>245</v>
      </c>
    </row>
    <row r="88" spans="5:8" x14ac:dyDescent="0.25">
      <c r="E88" s="323" t="s">
        <v>378</v>
      </c>
      <c r="F88" s="323" t="s">
        <v>237</v>
      </c>
      <c r="G88" s="323" t="s">
        <v>256</v>
      </c>
      <c r="H88" s="323" t="s">
        <v>255</v>
      </c>
    </row>
    <row r="89" spans="5:8" x14ac:dyDescent="0.25">
      <c r="E89" s="323" t="s">
        <v>378</v>
      </c>
      <c r="F89" s="323" t="s">
        <v>237</v>
      </c>
      <c r="G89" s="323" t="s">
        <v>284</v>
      </c>
      <c r="H89" s="323" t="s">
        <v>283</v>
      </c>
    </row>
    <row r="90" spans="5:8" x14ac:dyDescent="0.25">
      <c r="E90" s="323" t="s">
        <v>378</v>
      </c>
      <c r="F90" s="323" t="s">
        <v>237</v>
      </c>
      <c r="G90" s="323" t="s">
        <v>1517</v>
      </c>
      <c r="H90" s="323" t="s">
        <v>239</v>
      </c>
    </row>
    <row r="91" spans="5:8" x14ac:dyDescent="0.25">
      <c r="E91" s="323" t="s">
        <v>378</v>
      </c>
      <c r="F91" s="323" t="s">
        <v>237</v>
      </c>
      <c r="G91" s="323" t="s">
        <v>258</v>
      </c>
      <c r="H91" s="323" t="s">
        <v>257</v>
      </c>
    </row>
    <row r="92" spans="5:8" x14ac:dyDescent="0.25">
      <c r="E92" s="323" t="s">
        <v>378</v>
      </c>
      <c r="F92" s="323" t="s">
        <v>237</v>
      </c>
      <c r="G92" s="323" t="s">
        <v>252</v>
      </c>
      <c r="H92" s="323" t="s">
        <v>251</v>
      </c>
    </row>
    <row r="93" spans="5:8" x14ac:dyDescent="0.25">
      <c r="E93" s="323" t="s">
        <v>378</v>
      </c>
      <c r="F93" s="323" t="s">
        <v>237</v>
      </c>
      <c r="G93" s="323" t="s">
        <v>254</v>
      </c>
      <c r="H93" s="323" t="s">
        <v>253</v>
      </c>
    </row>
    <row r="94" spans="5:8" x14ac:dyDescent="0.25">
      <c r="E94" s="323" t="s">
        <v>378</v>
      </c>
      <c r="F94" s="323" t="s">
        <v>237</v>
      </c>
      <c r="G94" s="323" t="s">
        <v>270</v>
      </c>
      <c r="H94" s="323" t="s">
        <v>269</v>
      </c>
    </row>
    <row r="95" spans="5:8" x14ac:dyDescent="0.25">
      <c r="E95" s="323" t="s">
        <v>378</v>
      </c>
      <c r="F95" s="323" t="s">
        <v>237</v>
      </c>
      <c r="G95" s="323" t="s">
        <v>272</v>
      </c>
      <c r="H95" s="323" t="s">
        <v>271</v>
      </c>
    </row>
    <row r="96" spans="5:8" x14ac:dyDescent="0.25">
      <c r="E96" s="323" t="s">
        <v>378</v>
      </c>
      <c r="F96" s="323" t="s">
        <v>299</v>
      </c>
      <c r="G96" s="323" t="s">
        <v>894</v>
      </c>
      <c r="H96" s="323" t="s">
        <v>895</v>
      </c>
    </row>
    <row r="97" spans="5:8" x14ac:dyDescent="0.25">
      <c r="E97" s="323" t="s">
        <v>378</v>
      </c>
      <c r="F97" s="323" t="s">
        <v>299</v>
      </c>
      <c r="G97" s="323" t="s">
        <v>1048</v>
      </c>
      <c r="H97" s="323" t="s">
        <v>1047</v>
      </c>
    </row>
    <row r="98" spans="5:8" x14ac:dyDescent="0.25">
      <c r="E98" s="323" t="s">
        <v>378</v>
      </c>
      <c r="F98" s="323" t="s">
        <v>299</v>
      </c>
      <c r="G98" s="323" t="s">
        <v>300</v>
      </c>
      <c r="H98" s="323" t="s">
        <v>298</v>
      </c>
    </row>
    <row r="99" spans="5:8" x14ac:dyDescent="0.25">
      <c r="E99" s="323" t="s">
        <v>378</v>
      </c>
      <c r="F99" s="323" t="s">
        <v>301</v>
      </c>
      <c r="G99" s="323" t="s">
        <v>305</v>
      </c>
      <c r="H99" s="323" t="s">
        <v>304</v>
      </c>
    </row>
    <row r="100" spans="5:8" x14ac:dyDescent="0.25">
      <c r="E100" s="323" t="s">
        <v>378</v>
      </c>
      <c r="F100" s="323" t="s">
        <v>301</v>
      </c>
      <c r="G100" s="323" t="s">
        <v>303</v>
      </c>
      <c r="H100" s="323" t="s">
        <v>302</v>
      </c>
    </row>
    <row r="101" spans="5:8" x14ac:dyDescent="0.25">
      <c r="E101" s="323" t="s">
        <v>378</v>
      </c>
      <c r="F101" s="323" t="s">
        <v>301</v>
      </c>
      <c r="G101" s="323" t="s">
        <v>307</v>
      </c>
      <c r="H101" s="323" t="s">
        <v>306</v>
      </c>
    </row>
    <row r="102" spans="5:8" x14ac:dyDescent="0.25">
      <c r="E102" s="323" t="s">
        <v>378</v>
      </c>
      <c r="F102" s="323" t="s">
        <v>747</v>
      </c>
      <c r="G102" s="323" t="s">
        <v>1068</v>
      </c>
      <c r="H102" s="323" t="s">
        <v>1069</v>
      </c>
    </row>
    <row r="103" spans="5:8" x14ac:dyDescent="0.25">
      <c r="E103" s="323" t="s">
        <v>378</v>
      </c>
      <c r="F103" s="323" t="s">
        <v>747</v>
      </c>
      <c r="G103" s="323" t="s">
        <v>1070</v>
      </c>
      <c r="H103" s="323" t="s">
        <v>1071</v>
      </c>
    </row>
    <row r="104" spans="5:8" x14ac:dyDescent="0.25">
      <c r="E104" s="323" t="s">
        <v>378</v>
      </c>
      <c r="F104" s="323" t="s">
        <v>747</v>
      </c>
      <c r="G104" s="323" t="s">
        <v>747</v>
      </c>
      <c r="H104" s="323" t="s">
        <v>751</v>
      </c>
    </row>
    <row r="105" spans="5:8" x14ac:dyDescent="0.25">
      <c r="E105" s="323" t="s">
        <v>378</v>
      </c>
      <c r="F105" s="323" t="s">
        <v>1140</v>
      </c>
      <c r="G105" s="323" t="s">
        <v>1421</v>
      </c>
      <c r="H105" s="323" t="s">
        <v>1424</v>
      </c>
    </row>
    <row r="106" spans="5:8" x14ac:dyDescent="0.25">
      <c r="E106" s="323" t="s">
        <v>378</v>
      </c>
      <c r="F106" s="323" t="s">
        <v>1140</v>
      </c>
      <c r="G106" s="323" t="s">
        <v>1412</v>
      </c>
      <c r="H106" s="323" t="s">
        <v>1425</v>
      </c>
    </row>
    <row r="107" spans="5:8" x14ac:dyDescent="0.25">
      <c r="E107" s="323" t="s">
        <v>378</v>
      </c>
      <c r="F107" s="323" t="s">
        <v>1140</v>
      </c>
      <c r="G107" s="323" t="s">
        <v>1413</v>
      </c>
      <c r="H107" s="323" t="s">
        <v>1426</v>
      </c>
    </row>
    <row r="108" spans="5:8" x14ac:dyDescent="0.25">
      <c r="E108" s="323" t="s">
        <v>378</v>
      </c>
      <c r="F108" s="323" t="s">
        <v>1140</v>
      </c>
      <c r="G108" s="323" t="s">
        <v>1414</v>
      </c>
      <c r="H108" s="323" t="s">
        <v>1427</v>
      </c>
    </row>
    <row r="109" spans="5:8" x14ac:dyDescent="0.25">
      <c r="E109" s="323" t="s">
        <v>378</v>
      </c>
      <c r="F109" s="323" t="s">
        <v>309</v>
      </c>
      <c r="G109" s="323" t="s">
        <v>333</v>
      </c>
      <c r="H109" s="323" t="s">
        <v>332</v>
      </c>
    </row>
    <row r="110" spans="5:8" x14ac:dyDescent="0.25">
      <c r="E110" s="323" t="s">
        <v>378</v>
      </c>
      <c r="F110" s="323" t="s">
        <v>309</v>
      </c>
      <c r="G110" s="323" t="s">
        <v>349</v>
      </c>
      <c r="H110" s="323" t="s">
        <v>348</v>
      </c>
    </row>
    <row r="111" spans="5:8" x14ac:dyDescent="0.25">
      <c r="E111" s="323" t="s">
        <v>378</v>
      </c>
      <c r="F111" s="323" t="s">
        <v>309</v>
      </c>
      <c r="G111" s="323" t="s">
        <v>312</v>
      </c>
      <c r="H111" s="323" t="s">
        <v>311</v>
      </c>
    </row>
    <row r="112" spans="5:8" x14ac:dyDescent="0.25">
      <c r="E112" s="323" t="s">
        <v>378</v>
      </c>
      <c r="F112" s="323" t="s">
        <v>309</v>
      </c>
      <c r="G112" s="323" t="s">
        <v>337</v>
      </c>
      <c r="H112" s="323" t="s">
        <v>336</v>
      </c>
    </row>
    <row r="113" spans="5:8" x14ac:dyDescent="0.25">
      <c r="E113" s="323" t="s">
        <v>378</v>
      </c>
      <c r="F113" s="323" t="s">
        <v>309</v>
      </c>
      <c r="G113" s="323" t="s">
        <v>327</v>
      </c>
      <c r="H113" s="323" t="s">
        <v>326</v>
      </c>
    </row>
    <row r="114" spans="5:8" x14ac:dyDescent="0.25">
      <c r="E114" s="323" t="s">
        <v>378</v>
      </c>
      <c r="F114" s="323" t="s">
        <v>309</v>
      </c>
      <c r="G114" s="323" t="s">
        <v>340</v>
      </c>
      <c r="H114" s="323" t="s">
        <v>339</v>
      </c>
    </row>
    <row r="115" spans="5:8" x14ac:dyDescent="0.25">
      <c r="E115" s="323" t="s">
        <v>378</v>
      </c>
      <c r="F115" s="323" t="s">
        <v>309</v>
      </c>
      <c r="G115" s="323" t="s">
        <v>319</v>
      </c>
      <c r="H115" s="323" t="s">
        <v>318</v>
      </c>
    </row>
    <row r="116" spans="5:8" x14ac:dyDescent="0.25">
      <c r="E116" s="323" t="s">
        <v>378</v>
      </c>
      <c r="F116" s="323" t="s">
        <v>309</v>
      </c>
      <c r="G116" s="323" t="s">
        <v>325</v>
      </c>
      <c r="H116" s="323" t="s">
        <v>324</v>
      </c>
    </row>
    <row r="117" spans="5:8" x14ac:dyDescent="0.25">
      <c r="E117" s="323" t="s">
        <v>378</v>
      </c>
      <c r="F117" s="323" t="s">
        <v>309</v>
      </c>
      <c r="G117" s="323" t="s">
        <v>323</v>
      </c>
      <c r="H117" s="323" t="s">
        <v>322</v>
      </c>
    </row>
    <row r="118" spans="5:8" x14ac:dyDescent="0.25">
      <c r="E118" s="323" t="s">
        <v>378</v>
      </c>
      <c r="F118" s="323" t="s">
        <v>309</v>
      </c>
      <c r="G118" s="323" t="s">
        <v>345</v>
      </c>
      <c r="H118" s="323" t="s">
        <v>344</v>
      </c>
    </row>
    <row r="119" spans="5:8" x14ac:dyDescent="0.25">
      <c r="E119" s="323" t="s">
        <v>378</v>
      </c>
      <c r="F119" s="323" t="s">
        <v>309</v>
      </c>
      <c r="G119" s="323" t="s">
        <v>752</v>
      </c>
      <c r="H119" s="323" t="s">
        <v>753</v>
      </c>
    </row>
    <row r="120" spans="5:8" x14ac:dyDescent="0.25">
      <c r="E120" s="323" t="s">
        <v>378</v>
      </c>
      <c r="F120" s="323" t="s">
        <v>309</v>
      </c>
      <c r="G120" s="323" t="s">
        <v>317</v>
      </c>
      <c r="H120" s="323" t="s">
        <v>316</v>
      </c>
    </row>
    <row r="121" spans="5:8" x14ac:dyDescent="0.25">
      <c r="E121" s="323" t="s">
        <v>378</v>
      </c>
      <c r="F121" s="323" t="s">
        <v>309</v>
      </c>
      <c r="G121" s="323" t="s">
        <v>342</v>
      </c>
      <c r="H121" s="323" t="s">
        <v>341</v>
      </c>
    </row>
    <row r="122" spans="5:8" x14ac:dyDescent="0.25">
      <c r="E122" s="323" t="s">
        <v>378</v>
      </c>
      <c r="F122" s="323" t="s">
        <v>309</v>
      </c>
      <c r="G122" s="323" t="s">
        <v>347</v>
      </c>
      <c r="H122" s="323" t="s">
        <v>346</v>
      </c>
    </row>
    <row r="123" spans="5:8" x14ac:dyDescent="0.25">
      <c r="E123" s="323" t="s">
        <v>378</v>
      </c>
      <c r="F123" s="323" t="s">
        <v>309</v>
      </c>
      <c r="G123" s="323" t="s">
        <v>1518</v>
      </c>
      <c r="H123" s="323" t="s">
        <v>314</v>
      </c>
    </row>
    <row r="124" spans="5:8" x14ac:dyDescent="0.25">
      <c r="E124" s="323" t="s">
        <v>378</v>
      </c>
      <c r="F124" s="323" t="s">
        <v>309</v>
      </c>
      <c r="G124" s="323" t="s">
        <v>321</v>
      </c>
      <c r="H124" s="323" t="s">
        <v>320</v>
      </c>
    </row>
    <row r="125" spans="5:8" x14ac:dyDescent="0.25">
      <c r="E125" s="323" t="s">
        <v>378</v>
      </c>
      <c r="F125" s="323" t="s">
        <v>309</v>
      </c>
      <c r="G125" s="323" t="s">
        <v>329</v>
      </c>
      <c r="H125" s="323" t="s">
        <v>328</v>
      </c>
    </row>
    <row r="126" spans="5:8" x14ac:dyDescent="0.25">
      <c r="E126" s="323" t="s">
        <v>378</v>
      </c>
      <c r="F126" s="323" t="s">
        <v>309</v>
      </c>
      <c r="G126" s="323" t="s">
        <v>1519</v>
      </c>
      <c r="H126" s="323" t="s">
        <v>334</v>
      </c>
    </row>
    <row r="127" spans="5:8" x14ac:dyDescent="0.25">
      <c r="E127" s="323" t="s">
        <v>378</v>
      </c>
      <c r="F127" s="323" t="s">
        <v>309</v>
      </c>
      <c r="G127" s="323" t="s">
        <v>1032</v>
      </c>
      <c r="H127" s="323" t="s">
        <v>343</v>
      </c>
    </row>
    <row r="128" spans="5:8" x14ac:dyDescent="0.25">
      <c r="E128" s="323" t="s">
        <v>378</v>
      </c>
      <c r="F128" s="323" t="s">
        <v>309</v>
      </c>
      <c r="G128" s="323" t="s">
        <v>353</v>
      </c>
      <c r="H128" s="323" t="s">
        <v>352</v>
      </c>
    </row>
    <row r="129" spans="5:8" x14ac:dyDescent="0.25">
      <c r="E129" s="323" t="s">
        <v>378</v>
      </c>
      <c r="F129" s="323" t="s">
        <v>309</v>
      </c>
      <c r="G129" s="323" t="s">
        <v>1520</v>
      </c>
      <c r="H129" s="323" t="s">
        <v>338</v>
      </c>
    </row>
    <row r="130" spans="5:8" x14ac:dyDescent="0.25">
      <c r="E130" s="323" t="s">
        <v>378</v>
      </c>
      <c r="F130" s="323" t="s">
        <v>309</v>
      </c>
      <c r="G130" s="323" t="s">
        <v>351</v>
      </c>
      <c r="H130" s="323" t="s">
        <v>350</v>
      </c>
    </row>
    <row r="131" spans="5:8" x14ac:dyDescent="0.25">
      <c r="E131" s="323" t="s">
        <v>378</v>
      </c>
      <c r="F131" s="323" t="s">
        <v>309</v>
      </c>
      <c r="G131" s="323" t="s">
        <v>1521</v>
      </c>
      <c r="H131" s="323" t="s">
        <v>1271</v>
      </c>
    </row>
    <row r="132" spans="5:8" x14ac:dyDescent="0.25">
      <c r="E132" s="323" t="s">
        <v>378</v>
      </c>
      <c r="F132" s="323" t="s">
        <v>309</v>
      </c>
      <c r="G132" s="323" t="s">
        <v>1262</v>
      </c>
      <c r="H132" s="323" t="s">
        <v>1259</v>
      </c>
    </row>
    <row r="133" spans="5:8" x14ac:dyDescent="0.25">
      <c r="E133" s="323" t="s">
        <v>506</v>
      </c>
      <c r="F133" s="323" t="s">
        <v>719</v>
      </c>
      <c r="G133" s="323" t="s">
        <v>535</v>
      </c>
      <c r="H133" s="323" t="s">
        <v>773</v>
      </c>
    </row>
    <row r="134" spans="5:8" x14ac:dyDescent="0.25">
      <c r="E134" s="323" t="s">
        <v>506</v>
      </c>
      <c r="F134" s="323" t="s">
        <v>719</v>
      </c>
      <c r="G134" s="323" t="s">
        <v>1522</v>
      </c>
      <c r="H134" s="323" t="s">
        <v>1046</v>
      </c>
    </row>
    <row r="135" spans="5:8" x14ac:dyDescent="0.25">
      <c r="E135" s="323" t="s">
        <v>506</v>
      </c>
      <c r="F135" s="323" t="s">
        <v>146</v>
      </c>
      <c r="G135" s="323" t="s">
        <v>369</v>
      </c>
      <c r="H135" s="323" t="s">
        <v>147</v>
      </c>
    </row>
    <row r="136" spans="5:8" x14ac:dyDescent="0.25">
      <c r="E136" s="323" t="s">
        <v>506</v>
      </c>
      <c r="F136" s="323" t="s">
        <v>146</v>
      </c>
      <c r="G136" s="323" t="s">
        <v>149</v>
      </c>
      <c r="H136" s="323" t="s">
        <v>148</v>
      </c>
    </row>
    <row r="137" spans="5:8" x14ac:dyDescent="0.25">
      <c r="E137" s="323" t="s">
        <v>506</v>
      </c>
      <c r="F137" s="323" t="s">
        <v>146</v>
      </c>
      <c r="G137" s="323" t="s">
        <v>367</v>
      </c>
      <c r="H137" s="323" t="s">
        <v>381</v>
      </c>
    </row>
    <row r="138" spans="5:8" x14ac:dyDescent="0.25">
      <c r="E138" s="323" t="s">
        <v>506</v>
      </c>
      <c r="F138" s="323" t="s">
        <v>146</v>
      </c>
      <c r="G138" s="323" t="s">
        <v>368</v>
      </c>
      <c r="H138" s="323" t="s">
        <v>382</v>
      </c>
    </row>
    <row r="139" spans="5:8" x14ac:dyDescent="0.25">
      <c r="E139" s="323" t="s">
        <v>506</v>
      </c>
      <c r="F139" s="323" t="s">
        <v>146</v>
      </c>
      <c r="G139" s="323" t="s">
        <v>366</v>
      </c>
      <c r="H139" s="323" t="s">
        <v>383</v>
      </c>
    </row>
    <row r="140" spans="5:8" x14ac:dyDescent="0.25">
      <c r="E140" s="323" t="s">
        <v>506</v>
      </c>
      <c r="F140" s="323" t="s">
        <v>146</v>
      </c>
      <c r="G140" s="323" t="s">
        <v>1523</v>
      </c>
      <c r="H140" s="323" t="s">
        <v>385</v>
      </c>
    </row>
    <row r="141" spans="5:8" x14ac:dyDescent="0.25">
      <c r="E141" s="323" t="s">
        <v>506</v>
      </c>
      <c r="F141" s="323" t="s">
        <v>146</v>
      </c>
      <c r="G141" s="323" t="s">
        <v>1524</v>
      </c>
      <c r="H141" s="323" t="s">
        <v>944</v>
      </c>
    </row>
    <row r="142" spans="5:8" x14ac:dyDescent="0.25">
      <c r="E142" s="323" t="s">
        <v>506</v>
      </c>
      <c r="F142" s="323" t="s">
        <v>146</v>
      </c>
      <c r="G142" s="323" t="s">
        <v>1084</v>
      </c>
      <c r="H142" s="323" t="s">
        <v>1085</v>
      </c>
    </row>
    <row r="143" spans="5:8" x14ac:dyDescent="0.25">
      <c r="E143" s="323" t="s">
        <v>506</v>
      </c>
      <c r="F143" s="323" t="s">
        <v>146</v>
      </c>
      <c r="G143" s="323" t="s">
        <v>1525</v>
      </c>
      <c r="H143" s="323" t="s">
        <v>1124</v>
      </c>
    </row>
    <row r="144" spans="5:8" x14ac:dyDescent="0.25">
      <c r="E144" s="323" t="s">
        <v>506</v>
      </c>
      <c r="F144" s="323" t="s">
        <v>146</v>
      </c>
      <c r="G144" s="323" t="s">
        <v>1135</v>
      </c>
      <c r="H144" s="323" t="s">
        <v>1129</v>
      </c>
    </row>
    <row r="145" spans="5:8" x14ac:dyDescent="0.25">
      <c r="E145" s="323" t="s">
        <v>506</v>
      </c>
      <c r="F145" s="323" t="s">
        <v>146</v>
      </c>
      <c r="G145" s="323" t="s">
        <v>1150</v>
      </c>
      <c r="H145" s="323" t="s">
        <v>1131</v>
      </c>
    </row>
    <row r="146" spans="5:8" x14ac:dyDescent="0.25">
      <c r="E146" s="323" t="s">
        <v>506</v>
      </c>
      <c r="F146" s="323" t="s">
        <v>146</v>
      </c>
      <c r="G146" s="323" t="s">
        <v>1245</v>
      </c>
      <c r="H146" s="323" t="s">
        <v>1246</v>
      </c>
    </row>
    <row r="147" spans="5:8" x14ac:dyDescent="0.25">
      <c r="E147" s="323" t="s">
        <v>506</v>
      </c>
      <c r="F147" s="323" t="s">
        <v>146</v>
      </c>
      <c r="G147" s="323" t="s">
        <v>1526</v>
      </c>
      <c r="H147" s="323" t="s">
        <v>1235</v>
      </c>
    </row>
    <row r="148" spans="5:8" x14ac:dyDescent="0.25">
      <c r="E148" s="323" t="s">
        <v>506</v>
      </c>
      <c r="F148" s="323" t="s">
        <v>166</v>
      </c>
      <c r="G148" s="323" t="s">
        <v>167</v>
      </c>
      <c r="H148" s="323" t="s">
        <v>165</v>
      </c>
    </row>
    <row r="149" spans="5:8" x14ac:dyDescent="0.25">
      <c r="E149" s="323" t="s">
        <v>506</v>
      </c>
      <c r="F149" s="323" t="s">
        <v>166</v>
      </c>
      <c r="G149" s="323" t="s">
        <v>1527</v>
      </c>
      <c r="H149" s="323" t="s">
        <v>762</v>
      </c>
    </row>
    <row r="150" spans="5:8" x14ac:dyDescent="0.25">
      <c r="E150" s="323" t="s">
        <v>506</v>
      </c>
      <c r="F150" s="323" t="s">
        <v>166</v>
      </c>
      <c r="G150" s="323" t="s">
        <v>1144</v>
      </c>
      <c r="H150" s="323" t="s">
        <v>1126</v>
      </c>
    </row>
    <row r="151" spans="5:8" x14ac:dyDescent="0.25">
      <c r="E151" s="323" t="s">
        <v>506</v>
      </c>
      <c r="F151" s="323" t="s">
        <v>230</v>
      </c>
      <c r="G151" s="323" t="s">
        <v>905</v>
      </c>
      <c r="H151" s="323" t="s">
        <v>906</v>
      </c>
    </row>
    <row r="152" spans="5:8" x14ac:dyDescent="0.25">
      <c r="E152" s="323" t="s">
        <v>506</v>
      </c>
      <c r="F152" s="323" t="s">
        <v>230</v>
      </c>
      <c r="G152" s="323" t="s">
        <v>915</v>
      </c>
      <c r="H152" s="323" t="s">
        <v>916</v>
      </c>
    </row>
    <row r="153" spans="5:8" x14ac:dyDescent="0.25">
      <c r="E153" s="323" t="s">
        <v>506</v>
      </c>
      <c r="F153" s="323" t="s">
        <v>230</v>
      </c>
      <c r="G153" s="323" t="s">
        <v>716</v>
      </c>
      <c r="H153" s="323" t="s">
        <v>1250</v>
      </c>
    </row>
    <row r="154" spans="5:8" x14ac:dyDescent="0.25">
      <c r="E154" s="323" t="s">
        <v>506</v>
      </c>
      <c r="F154" s="323" t="s">
        <v>230</v>
      </c>
      <c r="G154" s="323" t="s">
        <v>359</v>
      </c>
      <c r="H154" s="323" t="s">
        <v>772</v>
      </c>
    </row>
    <row r="155" spans="5:8" x14ac:dyDescent="0.25">
      <c r="E155" s="323" t="s">
        <v>506</v>
      </c>
      <c r="F155" s="323" t="s">
        <v>288</v>
      </c>
      <c r="G155" s="323" t="s">
        <v>289</v>
      </c>
      <c r="H155" s="323" t="s">
        <v>287</v>
      </c>
    </row>
    <row r="156" spans="5:8" x14ac:dyDescent="0.25">
      <c r="E156" s="323" t="s">
        <v>506</v>
      </c>
      <c r="F156" s="323" t="s">
        <v>288</v>
      </c>
      <c r="G156" s="323" t="s">
        <v>1528</v>
      </c>
      <c r="H156" s="323" t="s">
        <v>294</v>
      </c>
    </row>
    <row r="157" spans="5:8" x14ac:dyDescent="0.25">
      <c r="E157" s="323" t="s">
        <v>506</v>
      </c>
      <c r="F157" s="323" t="s">
        <v>288</v>
      </c>
      <c r="G157" s="323" t="s">
        <v>291</v>
      </c>
      <c r="H157" s="323" t="s">
        <v>290</v>
      </c>
    </row>
    <row r="158" spans="5:8" x14ac:dyDescent="0.25">
      <c r="E158" s="323" t="s">
        <v>506</v>
      </c>
      <c r="F158" s="323" t="s">
        <v>288</v>
      </c>
      <c r="G158" s="323" t="s">
        <v>1529</v>
      </c>
      <c r="H158" s="323" t="s">
        <v>908</v>
      </c>
    </row>
    <row r="159" spans="5:8" x14ac:dyDescent="0.25">
      <c r="E159" s="323" t="s">
        <v>506</v>
      </c>
      <c r="F159" s="323" t="s">
        <v>288</v>
      </c>
      <c r="G159" s="323" t="s">
        <v>1530</v>
      </c>
      <c r="H159" s="323" t="s">
        <v>912</v>
      </c>
    </row>
    <row r="160" spans="5:8" x14ac:dyDescent="0.25">
      <c r="E160" s="323" t="s">
        <v>506</v>
      </c>
      <c r="F160" s="323" t="s">
        <v>288</v>
      </c>
      <c r="G160" s="323" t="s">
        <v>1134</v>
      </c>
      <c r="H160" s="323" t="s">
        <v>1128</v>
      </c>
    </row>
    <row r="161" spans="5:8" x14ac:dyDescent="0.25">
      <c r="E161" s="323" t="s">
        <v>506</v>
      </c>
      <c r="F161" s="323" t="s">
        <v>297</v>
      </c>
      <c r="G161" s="323" t="s">
        <v>760</v>
      </c>
      <c r="H161" s="323" t="s">
        <v>296</v>
      </c>
    </row>
    <row r="162" spans="5:8" x14ac:dyDescent="0.25">
      <c r="E162" s="323" t="s">
        <v>506</v>
      </c>
      <c r="F162" s="323" t="s">
        <v>297</v>
      </c>
      <c r="G162" s="323" t="s">
        <v>1141</v>
      </c>
      <c r="H162" s="323" t="s">
        <v>1125</v>
      </c>
    </row>
    <row r="163" spans="5:8" x14ac:dyDescent="0.25">
      <c r="E163" s="323" t="s">
        <v>506</v>
      </c>
      <c r="F163" s="323" t="s">
        <v>297</v>
      </c>
      <c r="G163" s="323" t="s">
        <v>1192</v>
      </c>
      <c r="H163" s="323" t="s">
        <v>1174</v>
      </c>
    </row>
    <row r="164" spans="5:8" x14ac:dyDescent="0.25">
      <c r="E164" s="323" t="s">
        <v>506</v>
      </c>
      <c r="F164" s="323" t="s">
        <v>297</v>
      </c>
      <c r="G164" s="323" t="s">
        <v>1531</v>
      </c>
      <c r="H164" s="323" t="s">
        <v>1284</v>
      </c>
    </row>
    <row r="165" spans="5:8" x14ac:dyDescent="0.25">
      <c r="E165" s="323" t="s">
        <v>506</v>
      </c>
      <c r="F165" s="323" t="s">
        <v>297</v>
      </c>
      <c r="G165" s="323" t="s">
        <v>1195</v>
      </c>
      <c r="H165" s="323" t="s">
        <v>1177</v>
      </c>
    </row>
    <row r="166" spans="5:8" x14ac:dyDescent="0.25">
      <c r="E166" s="323" t="s">
        <v>506</v>
      </c>
      <c r="F166" s="323" t="s">
        <v>1204</v>
      </c>
      <c r="G166" s="323" t="s">
        <v>1201</v>
      </c>
      <c r="H166" s="323" t="s">
        <v>1189</v>
      </c>
    </row>
    <row r="167" spans="5:8" x14ac:dyDescent="0.25">
      <c r="E167" s="323" t="s">
        <v>506</v>
      </c>
      <c r="F167" s="323" t="s">
        <v>494</v>
      </c>
      <c r="G167" s="323" t="s">
        <v>1599</v>
      </c>
    </row>
    <row r="168" spans="5:8" x14ac:dyDescent="0.25">
      <c r="G168" s="323" t="s">
        <v>1600</v>
      </c>
    </row>
    <row r="169" spans="5:8" x14ac:dyDescent="0.25">
      <c r="G169" s="323" t="s">
        <v>1601</v>
      </c>
    </row>
    <row r="170" spans="5:8" x14ac:dyDescent="0.25">
      <c r="G170" s="323" t="s">
        <v>1602</v>
      </c>
    </row>
    <row r="171" spans="5:8" x14ac:dyDescent="0.25">
      <c r="G171" s="323" t="s">
        <v>1604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C26" sqref="C26"/>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s>
  <sheetData>
    <row r="1" spans="1:19"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1072</v>
      </c>
    </row>
    <row r="2" spans="1:19" x14ac:dyDescent="0.25">
      <c r="A2" t="s">
        <v>415</v>
      </c>
      <c r="B2" t="s">
        <v>439</v>
      </c>
      <c r="C2" t="s">
        <v>429</v>
      </c>
      <c r="D2" t="s">
        <v>432</v>
      </c>
      <c r="E2" s="38">
        <v>12</v>
      </c>
      <c r="F2">
        <v>2</v>
      </c>
      <c r="J2" s="13" t="s">
        <v>378</v>
      </c>
      <c r="K2" s="13"/>
      <c r="L2" s="13" t="s">
        <v>5</v>
      </c>
      <c r="M2" s="13"/>
      <c r="N2" s="13" t="s">
        <v>146</v>
      </c>
      <c r="O2" s="13"/>
      <c r="P2" s="13" t="s">
        <v>393</v>
      </c>
      <c r="Q2" s="13" t="s">
        <v>454</v>
      </c>
      <c r="S2" t="s">
        <v>1073</v>
      </c>
    </row>
    <row r="3" spans="1:19" x14ac:dyDescent="0.25">
      <c r="A3" t="s">
        <v>1018</v>
      </c>
      <c r="B3" t="s">
        <v>1020</v>
      </c>
      <c r="C3" t="s">
        <v>1021</v>
      </c>
      <c r="D3" t="s">
        <v>1022</v>
      </c>
      <c r="E3" s="38">
        <v>12</v>
      </c>
      <c r="F3">
        <v>1</v>
      </c>
      <c r="J3" s="13" t="s">
        <v>379</v>
      </c>
      <c r="K3" s="13"/>
      <c r="L3" s="13" t="s">
        <v>27</v>
      </c>
      <c r="M3" s="13"/>
      <c r="N3" s="13" t="s">
        <v>166</v>
      </c>
      <c r="O3" s="13"/>
      <c r="P3" s="13" t="s">
        <v>394</v>
      </c>
      <c r="Q3" s="13" t="s">
        <v>455</v>
      </c>
      <c r="S3" t="s">
        <v>1074</v>
      </c>
    </row>
    <row r="4" spans="1:19" x14ac:dyDescent="0.25">
      <c r="A4" t="s">
        <v>421</v>
      </c>
      <c r="B4" t="s">
        <v>440</v>
      </c>
      <c r="C4" t="s">
        <v>425</v>
      </c>
      <c r="D4" t="s">
        <v>435</v>
      </c>
      <c r="E4" s="38">
        <v>12</v>
      </c>
      <c r="F4">
        <v>1</v>
      </c>
      <c r="J4" s="13" t="s">
        <v>506</v>
      </c>
      <c r="K4" s="13"/>
      <c r="L4" s="13" t="s">
        <v>480</v>
      </c>
      <c r="M4" s="13"/>
      <c r="N4" s="13" t="s">
        <v>230</v>
      </c>
      <c r="O4" s="13"/>
      <c r="P4" s="13" t="s">
        <v>395</v>
      </c>
      <c r="Q4" s="13" t="s">
        <v>453</v>
      </c>
    </row>
    <row r="5" spans="1:19" x14ac:dyDescent="0.25">
      <c r="A5" t="s">
        <v>416</v>
      </c>
      <c r="B5" t="s">
        <v>441</v>
      </c>
      <c r="C5" t="s">
        <v>430</v>
      </c>
      <c r="D5" t="s">
        <v>433</v>
      </c>
      <c r="E5" s="38">
        <v>12</v>
      </c>
      <c r="F5">
        <v>1</v>
      </c>
      <c r="J5" s="2"/>
      <c r="K5" s="2"/>
      <c r="L5" s="13" t="s">
        <v>361</v>
      </c>
      <c r="M5" s="13"/>
      <c r="N5" s="13" t="s">
        <v>288</v>
      </c>
      <c r="O5" s="13"/>
      <c r="P5" s="13" t="s">
        <v>396</v>
      </c>
      <c r="Q5" s="13"/>
    </row>
    <row r="6" spans="1:19" x14ac:dyDescent="0.25">
      <c r="A6" t="s">
        <v>536</v>
      </c>
      <c r="B6" t="s">
        <v>442</v>
      </c>
      <c r="C6" t="s">
        <v>434</v>
      </c>
      <c r="D6" t="s">
        <v>438</v>
      </c>
      <c r="E6" s="38">
        <v>12</v>
      </c>
      <c r="F6">
        <v>2</v>
      </c>
      <c r="J6" s="13"/>
      <c r="K6" s="13"/>
      <c r="L6" s="13" t="s">
        <v>144</v>
      </c>
      <c r="M6" s="13"/>
      <c r="N6" s="13" t="s">
        <v>297</v>
      </c>
      <c r="O6" s="13"/>
      <c r="P6" s="13" t="s">
        <v>397</v>
      </c>
      <c r="Q6" s="13"/>
    </row>
    <row r="7" spans="1:19" x14ac:dyDescent="0.25">
      <c r="A7" t="s">
        <v>400</v>
      </c>
      <c r="B7" t="s">
        <v>443</v>
      </c>
      <c r="C7" t="s">
        <v>426</v>
      </c>
      <c r="D7" t="s">
        <v>436</v>
      </c>
      <c r="E7" s="38">
        <v>12</v>
      </c>
      <c r="F7">
        <v>1</v>
      </c>
      <c r="J7" s="13"/>
      <c r="K7" s="13"/>
      <c r="L7" s="38" t="s">
        <v>818</v>
      </c>
      <c r="N7" s="13" t="s">
        <v>719</v>
      </c>
      <c r="O7" s="13"/>
      <c r="P7" s="13"/>
      <c r="Q7" s="13"/>
    </row>
    <row r="8" spans="1:19" x14ac:dyDescent="0.25">
      <c r="A8" t="s">
        <v>422</v>
      </c>
      <c r="B8" t="s">
        <v>444</v>
      </c>
      <c r="C8" t="s">
        <v>427</v>
      </c>
      <c r="D8" t="s">
        <v>437</v>
      </c>
      <c r="E8" s="38">
        <v>12</v>
      </c>
      <c r="F8">
        <v>1</v>
      </c>
      <c r="J8" s="13"/>
      <c r="K8" s="13"/>
      <c r="L8" s="13" t="s">
        <v>151</v>
      </c>
      <c r="M8" s="13"/>
      <c r="O8" s="13"/>
      <c r="P8" s="13"/>
      <c r="Q8" s="13"/>
    </row>
    <row r="9" spans="1:19" x14ac:dyDescent="0.25">
      <c r="A9" t="s">
        <v>423</v>
      </c>
      <c r="B9" t="s">
        <v>445</v>
      </c>
      <c r="C9" t="s">
        <v>428</v>
      </c>
      <c r="D9" t="s">
        <v>431</v>
      </c>
      <c r="E9" s="38">
        <v>12</v>
      </c>
      <c r="F9">
        <v>1</v>
      </c>
      <c r="J9" s="13"/>
      <c r="K9" s="13"/>
      <c r="L9" s="13" t="s">
        <v>173</v>
      </c>
      <c r="M9" s="13"/>
      <c r="N9" s="13"/>
      <c r="O9" s="13"/>
      <c r="P9" s="13"/>
      <c r="Q9" s="13"/>
    </row>
    <row r="10" spans="1:19" x14ac:dyDescent="0.25">
      <c r="A10" t="s">
        <v>525</v>
      </c>
      <c r="B10" s="30" t="s">
        <v>527</v>
      </c>
      <c r="C10" s="30" t="s">
        <v>529</v>
      </c>
      <c r="D10" s="30" t="s">
        <v>531</v>
      </c>
      <c r="E10" s="38">
        <v>12</v>
      </c>
      <c r="F10" s="30">
        <v>1</v>
      </c>
      <c r="J10" s="13"/>
      <c r="K10" s="13"/>
      <c r="L10" s="13" t="s">
        <v>180</v>
      </c>
      <c r="M10" s="13"/>
      <c r="N10" s="13"/>
      <c r="O10" s="13"/>
      <c r="P10" s="13"/>
      <c r="Q10" s="13"/>
    </row>
    <row r="11" spans="1:19" x14ac:dyDescent="0.25">
      <c r="A11" t="s">
        <v>526</v>
      </c>
      <c r="B11" s="30" t="s">
        <v>528</v>
      </c>
      <c r="C11" s="30" t="s">
        <v>530</v>
      </c>
      <c r="D11" s="30" t="s">
        <v>532</v>
      </c>
      <c r="E11" s="38">
        <v>12</v>
      </c>
      <c r="F11" s="30">
        <v>5</v>
      </c>
      <c r="J11" s="13"/>
      <c r="K11" s="13"/>
      <c r="L11" s="13" t="s">
        <v>185</v>
      </c>
      <c r="M11" s="13"/>
      <c r="N11" s="13"/>
      <c r="O11" s="13"/>
      <c r="P11" s="13"/>
      <c r="Q11" s="13"/>
    </row>
    <row r="12" spans="1:19" x14ac:dyDescent="0.25">
      <c r="A12" t="s">
        <v>852</v>
      </c>
      <c r="B12" s="38" t="s">
        <v>853</v>
      </c>
      <c r="C12" s="38" t="s">
        <v>854</v>
      </c>
      <c r="D12" s="38" t="s">
        <v>855</v>
      </c>
      <c r="E12" s="38">
        <v>12</v>
      </c>
      <c r="F12">
        <v>2</v>
      </c>
      <c r="J12" s="13"/>
      <c r="K12" s="13"/>
      <c r="L12" s="13" t="s">
        <v>377</v>
      </c>
      <c r="M12" s="13"/>
      <c r="N12" s="13"/>
      <c r="O12" s="13"/>
      <c r="P12" s="13"/>
      <c r="Q12" s="13"/>
    </row>
    <row r="13" spans="1:19" x14ac:dyDescent="0.25">
      <c r="A13" s="38" t="s">
        <v>856</v>
      </c>
      <c r="B13" s="38" t="s">
        <v>857</v>
      </c>
      <c r="C13" s="38" t="s">
        <v>858</v>
      </c>
      <c r="D13" s="38" t="s">
        <v>859</v>
      </c>
      <c r="E13" s="38">
        <v>12</v>
      </c>
      <c r="F13">
        <v>3</v>
      </c>
      <c r="J13" s="13"/>
      <c r="K13" s="13"/>
      <c r="L13" s="13" t="s">
        <v>237</v>
      </c>
      <c r="M13" s="13"/>
      <c r="N13" s="13"/>
      <c r="O13" s="13"/>
      <c r="P13" s="13"/>
      <c r="Q13" s="13"/>
    </row>
    <row r="14" spans="1:19" x14ac:dyDescent="0.25">
      <c r="A14" t="s">
        <v>860</v>
      </c>
      <c r="B14" s="38" t="s">
        <v>861</v>
      </c>
      <c r="C14" s="38" t="s">
        <v>862</v>
      </c>
      <c r="D14" s="38" t="s">
        <v>863</v>
      </c>
      <c r="E14" s="38">
        <v>12</v>
      </c>
      <c r="F14">
        <v>10</v>
      </c>
      <c r="J14" s="13"/>
      <c r="K14" s="13"/>
      <c r="L14" s="13" t="s">
        <v>299</v>
      </c>
      <c r="M14" s="13"/>
      <c r="N14" s="13"/>
      <c r="O14" s="13"/>
      <c r="P14" s="13"/>
      <c r="Q14" s="13"/>
    </row>
    <row r="15" spans="1:19" x14ac:dyDescent="0.25">
      <c r="A15" t="s">
        <v>949</v>
      </c>
      <c r="B15" t="s">
        <v>950</v>
      </c>
      <c r="C15" s="38" t="s">
        <v>951</v>
      </c>
      <c r="D15" s="38" t="s">
        <v>952</v>
      </c>
      <c r="E15" s="38">
        <v>24</v>
      </c>
      <c r="F15">
        <v>2</v>
      </c>
      <c r="J15" s="13"/>
      <c r="K15" s="13"/>
      <c r="L15" s="13" t="s">
        <v>301</v>
      </c>
      <c r="M15" s="13"/>
      <c r="N15" s="13"/>
      <c r="O15" s="13"/>
      <c r="P15" s="13"/>
      <c r="Q15" s="13"/>
    </row>
    <row r="16" spans="1:19" x14ac:dyDescent="0.25">
      <c r="A16" t="s">
        <v>1075</v>
      </c>
      <c r="B16" t="s">
        <v>1077</v>
      </c>
      <c r="C16" t="s">
        <v>1078</v>
      </c>
      <c r="D16" t="s">
        <v>1079</v>
      </c>
      <c r="E16">
        <v>12</v>
      </c>
      <c r="F16">
        <v>1</v>
      </c>
      <c r="J16" s="13"/>
      <c r="K16" s="13"/>
      <c r="L16" s="13" t="s">
        <v>747</v>
      </c>
      <c r="M16" s="13"/>
      <c r="N16" s="13"/>
      <c r="O16" s="13"/>
      <c r="P16" s="13"/>
      <c r="Q16" s="13"/>
    </row>
    <row r="17" spans="1:17" x14ac:dyDescent="0.25">
      <c r="J17" s="13"/>
      <c r="K17" s="13"/>
      <c r="L17" s="13" t="s">
        <v>309</v>
      </c>
      <c r="M17" s="13"/>
      <c r="N17" s="13"/>
      <c r="O17" s="13"/>
      <c r="P17" s="13"/>
      <c r="Q17" s="13"/>
    </row>
    <row r="18" spans="1:17" x14ac:dyDescent="0.25">
      <c r="J18" s="13"/>
      <c r="K18" s="13"/>
      <c r="L18" s="13" t="s">
        <v>1140</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979</v>
      </c>
      <c r="B23" s="17">
        <v>43160</v>
      </c>
      <c r="L23" s="13"/>
    </row>
    <row r="24" spans="1:17" x14ac:dyDescent="0.25">
      <c r="A24" t="s">
        <v>980</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834</v>
      </c>
      <c r="B1" s="80" t="s">
        <v>998</v>
      </c>
      <c r="C1" s="81" t="s">
        <v>999</v>
      </c>
    </row>
    <row r="2" spans="1:5" x14ac:dyDescent="0.25">
      <c r="A2" s="39" t="s">
        <v>236</v>
      </c>
      <c r="B2" s="70" t="s">
        <v>611</v>
      </c>
      <c r="C2" s="74">
        <v>3.1341427522963001</v>
      </c>
      <c r="E2" s="205" t="s">
        <v>13</v>
      </c>
    </row>
    <row r="3" spans="1:5" x14ac:dyDescent="0.25">
      <c r="A3" s="39" t="s">
        <v>267</v>
      </c>
      <c r="B3" s="70" t="s">
        <v>611</v>
      </c>
      <c r="C3" s="74">
        <v>3.8820329084732199</v>
      </c>
      <c r="E3" s="206" t="s">
        <v>376</v>
      </c>
    </row>
    <row r="4" spans="1:5" x14ac:dyDescent="0.25">
      <c r="A4" s="39" t="s">
        <v>249</v>
      </c>
      <c r="B4" s="70" t="s">
        <v>611</v>
      </c>
      <c r="C4" s="74">
        <v>2.3045478259125423</v>
      </c>
      <c r="E4" s="205" t="s">
        <v>959</v>
      </c>
    </row>
    <row r="5" spans="1:5" x14ac:dyDescent="0.25">
      <c r="A5" s="39" t="s">
        <v>247</v>
      </c>
      <c r="B5" s="70" t="s">
        <v>611</v>
      </c>
      <c r="C5" s="74">
        <v>3.3637010801853577</v>
      </c>
      <c r="E5" s="206" t="s">
        <v>1047</v>
      </c>
    </row>
    <row r="6" spans="1:5" x14ac:dyDescent="0.25">
      <c r="A6" s="39" t="s">
        <v>273</v>
      </c>
      <c r="B6" s="70" t="s">
        <v>611</v>
      </c>
      <c r="C6" s="74">
        <v>2.0123527499589278</v>
      </c>
      <c r="E6" s="205" t="s">
        <v>1058</v>
      </c>
    </row>
    <row r="7" spans="1:5" x14ac:dyDescent="0.25">
      <c r="A7" s="39" t="s">
        <v>275</v>
      </c>
      <c r="B7" s="70" t="s">
        <v>611</v>
      </c>
      <c r="C7" s="74">
        <v>2.9133254097712102</v>
      </c>
      <c r="E7" s="208" t="s">
        <v>1059</v>
      </c>
    </row>
    <row r="8" spans="1:5" x14ac:dyDescent="0.25">
      <c r="A8" s="39" t="s">
        <v>277</v>
      </c>
      <c r="B8" s="70" t="s">
        <v>611</v>
      </c>
      <c r="C8" s="74">
        <v>4.9021696969220816</v>
      </c>
      <c r="E8" s="207" t="s">
        <v>1069</v>
      </c>
    </row>
    <row r="9" spans="1:5" x14ac:dyDescent="0.25">
      <c r="A9" s="71" t="s">
        <v>259</v>
      </c>
      <c r="B9" s="70" t="s">
        <v>611</v>
      </c>
      <c r="C9" s="74">
        <v>5.4145379230647226</v>
      </c>
      <c r="E9" s="208" t="s">
        <v>1071</v>
      </c>
    </row>
    <row r="10" spans="1:5" x14ac:dyDescent="0.25">
      <c r="A10" s="71" t="s">
        <v>279</v>
      </c>
      <c r="B10" s="70" t="s">
        <v>611</v>
      </c>
      <c r="C10" s="74">
        <v>6.6198004689728469</v>
      </c>
      <c r="E10" s="205" t="s">
        <v>1138</v>
      </c>
    </row>
    <row r="11" spans="1:5" x14ac:dyDescent="0.25">
      <c r="A11" s="39" t="s">
        <v>244</v>
      </c>
      <c r="B11" s="70" t="s">
        <v>611</v>
      </c>
      <c r="C11" s="74">
        <v>1.1985969617964649</v>
      </c>
      <c r="E11" s="208" t="s">
        <v>944</v>
      </c>
    </row>
    <row r="12" spans="1:5" x14ac:dyDescent="0.25">
      <c r="A12" s="39" t="s">
        <v>245</v>
      </c>
      <c r="B12" s="70" t="s">
        <v>611</v>
      </c>
      <c r="C12" s="74">
        <v>1.3510454549069482</v>
      </c>
      <c r="E12" s="205" t="s">
        <v>1046</v>
      </c>
    </row>
    <row r="13" spans="1:5" x14ac:dyDescent="0.25">
      <c r="A13" s="39" t="s">
        <v>242</v>
      </c>
      <c r="B13" s="70" t="s">
        <v>611</v>
      </c>
      <c r="C13" s="74">
        <v>1.5295244799681529</v>
      </c>
      <c r="E13" s="206" t="s">
        <v>1085</v>
      </c>
    </row>
    <row r="14" spans="1:5" x14ac:dyDescent="0.25">
      <c r="A14" s="39" t="s">
        <v>255</v>
      </c>
      <c r="B14" s="70" t="s">
        <v>611</v>
      </c>
      <c r="C14" s="74">
        <v>2.8164250706222882</v>
      </c>
      <c r="E14" s="207" t="s">
        <v>1124</v>
      </c>
    </row>
    <row r="15" spans="1:5" x14ac:dyDescent="0.25">
      <c r="A15" s="39" t="s">
        <v>283</v>
      </c>
      <c r="B15" s="70" t="s">
        <v>611</v>
      </c>
      <c r="C15" s="74">
        <v>4.262018365878137</v>
      </c>
      <c r="E15" s="208" t="s">
        <v>1125</v>
      </c>
    </row>
    <row r="16" spans="1:5" x14ac:dyDescent="0.25">
      <c r="A16" s="39" t="s">
        <v>239</v>
      </c>
      <c r="B16" s="70" t="s">
        <v>611</v>
      </c>
      <c r="C16" s="74">
        <v>3.3602711423118103</v>
      </c>
      <c r="E16" s="207" t="s">
        <v>1126</v>
      </c>
    </row>
    <row r="17" spans="1:5" x14ac:dyDescent="0.25">
      <c r="A17" s="39" t="s">
        <v>257</v>
      </c>
      <c r="B17" s="70" t="s">
        <v>635</v>
      </c>
      <c r="C17" s="74">
        <v>3.3362307375127798</v>
      </c>
      <c r="E17" s="208" t="s">
        <v>1127</v>
      </c>
    </row>
    <row r="18" spans="1:5" x14ac:dyDescent="0.25">
      <c r="A18" s="39" t="s">
        <v>265</v>
      </c>
      <c r="B18" s="70" t="s">
        <v>611</v>
      </c>
      <c r="C18" s="74">
        <v>1.3751794210741128</v>
      </c>
      <c r="E18" s="207" t="s">
        <v>1128</v>
      </c>
    </row>
    <row r="19" spans="1:5" x14ac:dyDescent="0.25">
      <c r="A19" s="39" t="s">
        <v>251</v>
      </c>
      <c r="B19" s="70" t="s">
        <v>611</v>
      </c>
      <c r="C19" s="74">
        <v>2.4647367211404561</v>
      </c>
      <c r="E19" s="208" t="s">
        <v>1129</v>
      </c>
    </row>
    <row r="20" spans="1:5" x14ac:dyDescent="0.25">
      <c r="A20" s="39" t="s">
        <v>253</v>
      </c>
      <c r="B20" s="70" t="s">
        <v>611</v>
      </c>
      <c r="C20" s="74">
        <v>1.8563710010113432</v>
      </c>
      <c r="E20" s="207" t="s">
        <v>1130</v>
      </c>
    </row>
    <row r="21" spans="1:5" x14ac:dyDescent="0.25">
      <c r="A21" s="39" t="s">
        <v>261</v>
      </c>
      <c r="B21" s="70" t="s">
        <v>611</v>
      </c>
      <c r="C21" s="74">
        <v>10.744749696609457</v>
      </c>
      <c r="E21" s="208" t="s">
        <v>1131</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1014</v>
      </c>
      <c r="C40" s="74">
        <v>9.3609732231189877</v>
      </c>
    </row>
    <row r="41" spans="1:3" x14ac:dyDescent="0.25">
      <c r="A41" s="39" t="s">
        <v>30</v>
      </c>
      <c r="B41" s="70" t="s">
        <v>731</v>
      </c>
      <c r="C41" s="74">
        <v>0.15809623370782155</v>
      </c>
    </row>
    <row r="42" spans="1:3" x14ac:dyDescent="0.25">
      <c r="A42" s="39" t="s">
        <v>29</v>
      </c>
      <c r="B42" s="70" t="s">
        <v>1001</v>
      </c>
      <c r="C42" s="74">
        <v>19.834999342466848</v>
      </c>
    </row>
    <row r="43" spans="1:3" x14ac:dyDescent="0.25">
      <c r="A43" s="39" t="s">
        <v>33</v>
      </c>
      <c r="B43" s="70" t="s">
        <v>1001</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1011</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1011</v>
      </c>
      <c r="C59" s="74">
        <v>19.860265975801305</v>
      </c>
    </row>
    <row r="60" spans="1:3" x14ac:dyDescent="0.25">
      <c r="A60" s="75" t="s">
        <v>220</v>
      </c>
      <c r="B60" s="70" t="s">
        <v>1011</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1005</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962</v>
      </c>
      <c r="C74" s="74">
        <v>1.7021273757523427</v>
      </c>
    </row>
    <row r="75" spans="1:3" x14ac:dyDescent="0.25">
      <c r="A75" s="39" t="s">
        <v>99</v>
      </c>
      <c r="B75" s="70" t="s">
        <v>1002</v>
      </c>
      <c r="C75" s="74">
        <v>0.79577754007276646</v>
      </c>
    </row>
    <row r="76" spans="1:3" x14ac:dyDescent="0.25">
      <c r="A76" s="39" t="s">
        <v>107</v>
      </c>
      <c r="B76" s="70" t="s">
        <v>1002</v>
      </c>
      <c r="C76" s="74">
        <v>2.9334852607184256</v>
      </c>
    </row>
    <row r="77" spans="1:3" x14ac:dyDescent="0.25">
      <c r="A77" s="39" t="s">
        <v>139</v>
      </c>
      <c r="B77" s="70" t="s">
        <v>1002</v>
      </c>
      <c r="C77" s="74">
        <v>1.5942018764815451</v>
      </c>
    </row>
    <row r="78" spans="1:3" x14ac:dyDescent="0.25">
      <c r="A78" s="39" t="s">
        <v>71</v>
      </c>
      <c r="B78" s="70" t="s">
        <v>1002</v>
      </c>
      <c r="C78" s="74">
        <v>4.4704963044882238</v>
      </c>
    </row>
    <row r="79" spans="1:3" x14ac:dyDescent="0.25">
      <c r="A79" s="39" t="s">
        <v>354</v>
      </c>
      <c r="B79" s="70" t="s">
        <v>1015</v>
      </c>
      <c r="C79" s="74">
        <v>32.827754639406997</v>
      </c>
    </row>
    <row r="80" spans="1:3" x14ac:dyDescent="0.25">
      <c r="A80" s="39" t="s">
        <v>332</v>
      </c>
      <c r="B80" s="70" t="s">
        <v>1015</v>
      </c>
      <c r="C80" s="74">
        <v>18.198335991626355</v>
      </c>
    </row>
    <row r="81" spans="1:3" x14ac:dyDescent="0.25">
      <c r="A81" s="39" t="s">
        <v>334</v>
      </c>
      <c r="B81" s="70" t="s">
        <v>1015</v>
      </c>
      <c r="C81" s="74">
        <v>21.287604662770121</v>
      </c>
    </row>
    <row r="82" spans="1:3" x14ac:dyDescent="0.25">
      <c r="A82" s="71" t="s">
        <v>350</v>
      </c>
      <c r="B82" s="70" t="s">
        <v>1010</v>
      </c>
      <c r="C82" s="74">
        <v>1.7420415164460403</v>
      </c>
    </row>
    <row r="83" spans="1:3" x14ac:dyDescent="0.25">
      <c r="A83" s="71" t="s">
        <v>313</v>
      </c>
      <c r="B83" s="70" t="s">
        <v>1010</v>
      </c>
      <c r="C83" s="74">
        <v>1.857513522619473</v>
      </c>
    </row>
    <row r="84" spans="1:3" x14ac:dyDescent="0.25">
      <c r="A84" s="39" t="s">
        <v>320</v>
      </c>
      <c r="B84" s="70" t="s">
        <v>1010</v>
      </c>
      <c r="C84" s="74">
        <v>28.888856599204185</v>
      </c>
    </row>
    <row r="85" spans="1:3" x14ac:dyDescent="0.25">
      <c r="A85" s="39" t="s">
        <v>343</v>
      </c>
      <c r="B85" s="70" t="s">
        <v>1010</v>
      </c>
      <c r="C85" s="74">
        <v>20.599512012485512</v>
      </c>
    </row>
    <row r="86" spans="1:3" x14ac:dyDescent="0.25">
      <c r="A86" s="39" t="s">
        <v>195</v>
      </c>
      <c r="B86" s="70" t="s">
        <v>1010</v>
      </c>
      <c r="C86" s="74">
        <v>7.985347533011188</v>
      </c>
    </row>
    <row r="87" spans="1:3" x14ac:dyDescent="0.25">
      <c r="A87" s="39" t="s">
        <v>193</v>
      </c>
      <c r="B87" s="70" t="s">
        <v>1010</v>
      </c>
      <c r="C87" s="74">
        <v>10.953347686331073</v>
      </c>
    </row>
    <row r="88" spans="1:3" x14ac:dyDescent="0.25">
      <c r="A88" s="39" t="s">
        <v>191</v>
      </c>
      <c r="B88" s="70" t="s">
        <v>1011</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1006</v>
      </c>
      <c r="C91" s="74">
        <v>19.796407430638478</v>
      </c>
    </row>
    <row r="92" spans="1:3" x14ac:dyDescent="0.25">
      <c r="A92" s="39" t="s">
        <v>214</v>
      </c>
      <c r="B92" s="70" t="s">
        <v>693</v>
      </c>
      <c r="C92" s="74">
        <v>20.558236360788097</v>
      </c>
    </row>
    <row r="93" spans="1:3" x14ac:dyDescent="0.25">
      <c r="A93" s="39" t="s">
        <v>153</v>
      </c>
      <c r="B93" s="70" t="s">
        <v>1006</v>
      </c>
      <c r="C93" s="74">
        <v>10.509375400480517</v>
      </c>
    </row>
    <row r="94" spans="1:3" x14ac:dyDescent="0.25">
      <c r="A94" s="39" t="s">
        <v>159</v>
      </c>
      <c r="B94" s="70" t="s">
        <v>1006</v>
      </c>
      <c r="C94" s="74">
        <v>9.3704379947870464</v>
      </c>
    </row>
    <row r="95" spans="1:3" x14ac:dyDescent="0.25">
      <c r="A95" s="39" t="s">
        <v>155</v>
      </c>
      <c r="B95" s="70" t="s">
        <v>1006</v>
      </c>
      <c r="C95" s="74">
        <v>9.5650381623500511</v>
      </c>
    </row>
    <row r="96" spans="1:3" x14ac:dyDescent="0.25">
      <c r="A96" s="39" t="s">
        <v>157</v>
      </c>
      <c r="B96" s="70" t="s">
        <v>1006</v>
      </c>
      <c r="C96" s="74">
        <v>12.392289083396149</v>
      </c>
    </row>
    <row r="97" spans="1:3" x14ac:dyDescent="0.25">
      <c r="A97" s="39" t="s">
        <v>87</v>
      </c>
      <c r="B97" s="70" t="s">
        <v>1003</v>
      </c>
      <c r="C97" s="74">
        <v>1.1537462444167914</v>
      </c>
    </row>
    <row r="98" spans="1:3" x14ac:dyDescent="0.25">
      <c r="A98" s="71" t="s">
        <v>338</v>
      </c>
      <c r="B98" s="70" t="s">
        <v>1015</v>
      </c>
      <c r="C98" s="74">
        <v>34.344689881690819</v>
      </c>
    </row>
    <row r="99" spans="1:3" x14ac:dyDescent="0.25">
      <c r="A99" s="39" t="s">
        <v>285</v>
      </c>
      <c r="B99" s="70" t="s">
        <v>1009</v>
      </c>
      <c r="C99" s="74">
        <v>16.668825701583572</v>
      </c>
    </row>
    <row r="100" spans="1:3" x14ac:dyDescent="0.25">
      <c r="A100" s="39" t="s">
        <v>352</v>
      </c>
      <c r="B100" s="70" t="s">
        <v>1015</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1002</v>
      </c>
      <c r="C103" s="74">
        <v>0.75842119772531946</v>
      </c>
    </row>
    <row r="104" spans="1:3" x14ac:dyDescent="0.25">
      <c r="A104" s="39" t="s">
        <v>119</v>
      </c>
      <c r="B104" s="70" t="s">
        <v>1002</v>
      </c>
      <c r="C104" s="74">
        <v>6.3039408411778268</v>
      </c>
    </row>
    <row r="105" spans="1:3" x14ac:dyDescent="0.25">
      <c r="A105" s="39" t="s">
        <v>51</v>
      </c>
      <c r="B105" s="70" t="s">
        <v>1002</v>
      </c>
      <c r="C105" s="74">
        <v>5.184483270539272</v>
      </c>
    </row>
    <row r="106" spans="1:3" x14ac:dyDescent="0.25">
      <c r="A106" s="39" t="s">
        <v>75</v>
      </c>
      <c r="B106" s="70" t="s">
        <v>1002</v>
      </c>
      <c r="C106" s="74">
        <v>4.8862832644478198</v>
      </c>
    </row>
    <row r="107" spans="1:3" x14ac:dyDescent="0.25">
      <c r="A107" s="39" t="s">
        <v>40</v>
      </c>
      <c r="B107" s="70" t="s">
        <v>1002</v>
      </c>
      <c r="C107" s="74">
        <v>4.1842484710239098</v>
      </c>
    </row>
    <row r="108" spans="1:3" x14ac:dyDescent="0.25">
      <c r="A108" s="39" t="s">
        <v>61</v>
      </c>
      <c r="B108" s="70" t="s">
        <v>1002</v>
      </c>
      <c r="C108" s="74">
        <v>6.4753396248436657</v>
      </c>
    </row>
    <row r="109" spans="1:3" x14ac:dyDescent="0.25">
      <c r="A109" s="39" t="s">
        <v>89</v>
      </c>
      <c r="B109" s="70" t="s">
        <v>1002</v>
      </c>
      <c r="C109" s="74">
        <v>6.7094919928483892</v>
      </c>
    </row>
    <row r="110" spans="1:3" x14ac:dyDescent="0.25">
      <c r="A110" s="39" t="s">
        <v>117</v>
      </c>
      <c r="B110" s="70" t="s">
        <v>1002</v>
      </c>
      <c r="C110" s="74">
        <v>6.2085564346706201</v>
      </c>
    </row>
    <row r="111" spans="1:3" x14ac:dyDescent="0.25">
      <c r="A111" s="39" t="s">
        <v>123</v>
      </c>
      <c r="B111" s="70" t="s">
        <v>1002</v>
      </c>
      <c r="C111" s="74">
        <v>7.419312682373878</v>
      </c>
    </row>
    <row r="112" spans="1:3" x14ac:dyDescent="0.25">
      <c r="A112" s="39" t="s">
        <v>125</v>
      </c>
      <c r="B112" s="70" t="s">
        <v>1002</v>
      </c>
      <c r="C112" s="74">
        <v>4.6754712546149264</v>
      </c>
    </row>
    <row r="113" spans="1:3" x14ac:dyDescent="0.25">
      <c r="A113" s="39" t="s">
        <v>57</v>
      </c>
      <c r="B113" s="70" t="s">
        <v>1003</v>
      </c>
      <c r="C113" s="74">
        <v>23.222739740353646</v>
      </c>
    </row>
    <row r="114" spans="1:3" x14ac:dyDescent="0.25">
      <c r="A114" s="39" t="s">
        <v>42</v>
      </c>
      <c r="B114" s="70" t="s">
        <v>1002</v>
      </c>
      <c r="C114" s="74">
        <v>0.66733171900141897</v>
      </c>
    </row>
    <row r="115" spans="1:3" x14ac:dyDescent="0.25">
      <c r="A115" s="39" t="s">
        <v>45</v>
      </c>
      <c r="B115" s="70" t="s">
        <v>1002</v>
      </c>
      <c r="C115" s="74">
        <v>0.56771790814545575</v>
      </c>
    </row>
    <row r="116" spans="1:3" x14ac:dyDescent="0.25">
      <c r="A116" s="39" t="s">
        <v>46</v>
      </c>
      <c r="B116" s="70" t="s">
        <v>1002</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1011</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751</v>
      </c>
      <c r="B125" s="70" t="s">
        <v>749</v>
      </c>
      <c r="C125" s="74">
        <v>0.23004407510846425</v>
      </c>
    </row>
    <row r="126" spans="1:3" x14ac:dyDescent="0.25">
      <c r="A126" s="71" t="s">
        <v>753</v>
      </c>
      <c r="B126" s="70" t="s">
        <v>1010</v>
      </c>
      <c r="C126" s="74">
        <v>2.3307568207764655</v>
      </c>
    </row>
    <row r="127" spans="1:3" x14ac:dyDescent="0.25">
      <c r="A127" s="75" t="s">
        <v>790</v>
      </c>
      <c r="B127" s="70" t="s">
        <v>1001</v>
      </c>
      <c r="C127" s="74">
        <v>0.18710270881855062</v>
      </c>
    </row>
    <row r="128" spans="1:3" x14ac:dyDescent="0.25">
      <c r="A128" s="39" t="s">
        <v>813</v>
      </c>
      <c r="B128" s="70" t="s">
        <v>590</v>
      </c>
      <c r="C128" s="74">
        <v>17.731070777343263</v>
      </c>
    </row>
    <row r="129" spans="1:3" x14ac:dyDescent="0.25">
      <c r="A129" s="75" t="s">
        <v>817</v>
      </c>
      <c r="B129" s="70" t="s">
        <v>1016</v>
      </c>
      <c r="C129" s="74">
        <v>1.7005689699647599</v>
      </c>
    </row>
    <row r="130" spans="1:3" x14ac:dyDescent="0.25">
      <c r="A130" s="75" t="s">
        <v>821</v>
      </c>
      <c r="B130" s="70" t="s">
        <v>1016</v>
      </c>
      <c r="C130" s="74">
        <v>1.136583238544624</v>
      </c>
    </row>
    <row r="131" spans="1:3" x14ac:dyDescent="0.25">
      <c r="A131" s="39" t="s">
        <v>848</v>
      </c>
      <c r="B131" s="70" t="s">
        <v>1003</v>
      </c>
      <c r="C131" s="74">
        <v>12.257552920582597</v>
      </c>
    </row>
    <row r="132" spans="1:3" x14ac:dyDescent="0.25">
      <c r="A132" s="39" t="s">
        <v>878</v>
      </c>
      <c r="B132" s="70" t="s">
        <v>1000</v>
      </c>
      <c r="C132" s="74">
        <v>0</v>
      </c>
    </row>
    <row r="133" spans="1:3" x14ac:dyDescent="0.25">
      <c r="A133" s="35" t="s">
        <v>891</v>
      </c>
      <c r="B133" s="70" t="s">
        <v>1006</v>
      </c>
      <c r="C133" s="74">
        <v>19.631786732140053</v>
      </c>
    </row>
    <row r="134" spans="1:3" x14ac:dyDescent="0.25">
      <c r="A134" s="76" t="s">
        <v>895</v>
      </c>
      <c r="B134" s="70" t="s">
        <v>1016</v>
      </c>
      <c r="C134" s="74">
        <v>4.789460146835963</v>
      </c>
    </row>
    <row r="135" spans="1:3" x14ac:dyDescent="0.25">
      <c r="A135" s="39" t="s">
        <v>914</v>
      </c>
      <c r="B135" s="70" t="s">
        <v>1006</v>
      </c>
      <c r="C135" s="74">
        <v>10.527586947557506</v>
      </c>
    </row>
    <row r="136" spans="1:3" x14ac:dyDescent="0.25">
      <c r="A136" s="39" t="s">
        <v>918</v>
      </c>
      <c r="B136" s="70" t="s">
        <v>1002</v>
      </c>
      <c r="C136" s="74">
        <v>0.19374952337076978</v>
      </c>
    </row>
    <row r="137" spans="1:3" x14ac:dyDescent="0.25">
      <c r="A137" s="39" t="s">
        <v>941</v>
      </c>
      <c r="B137" s="70" t="s">
        <v>1006</v>
      </c>
      <c r="C137" s="74">
        <v>9.2957189123335944</v>
      </c>
    </row>
    <row r="138" spans="1:3" x14ac:dyDescent="0.25">
      <c r="A138" s="39" t="s">
        <v>287</v>
      </c>
      <c r="B138" s="70" t="s">
        <v>1006</v>
      </c>
      <c r="C138" s="74">
        <v>1.5619149693996526</v>
      </c>
    </row>
    <row r="139" spans="1:3" x14ac:dyDescent="0.25">
      <c r="A139" s="39" t="s">
        <v>294</v>
      </c>
      <c r="B139" s="70" t="s">
        <v>1006</v>
      </c>
      <c r="C139" s="74">
        <v>1.5239325151406049</v>
      </c>
    </row>
    <row r="140" spans="1:3" x14ac:dyDescent="0.25">
      <c r="A140" s="39" t="s">
        <v>290</v>
      </c>
      <c r="B140" s="70" t="s">
        <v>1006</v>
      </c>
      <c r="C140" s="74">
        <v>1.7369508287203668</v>
      </c>
    </row>
    <row r="141" spans="1:3" x14ac:dyDescent="0.25">
      <c r="A141" s="39" t="s">
        <v>234</v>
      </c>
      <c r="B141" s="70" t="s">
        <v>1013</v>
      </c>
      <c r="C141" s="74">
        <v>7.490291417449443</v>
      </c>
    </row>
    <row r="142" spans="1:3" x14ac:dyDescent="0.25">
      <c r="A142" s="39" t="s">
        <v>147</v>
      </c>
      <c r="B142" s="70" t="s">
        <v>1007</v>
      </c>
      <c r="C142" s="74">
        <v>23.172399462804503</v>
      </c>
    </row>
    <row r="143" spans="1:3" x14ac:dyDescent="0.25">
      <c r="A143" s="39" t="s">
        <v>148</v>
      </c>
      <c r="B143" s="70" t="s">
        <v>1006</v>
      </c>
      <c r="C143" s="74">
        <v>21.148671772283631</v>
      </c>
    </row>
    <row r="144" spans="1:3" x14ac:dyDescent="0.25">
      <c r="A144" s="39" t="s">
        <v>165</v>
      </c>
      <c r="B144" s="70" t="s">
        <v>1008</v>
      </c>
      <c r="C144" s="74">
        <v>0.43878855438285824</v>
      </c>
    </row>
    <row r="145" spans="1:3" x14ac:dyDescent="0.25">
      <c r="A145" s="39" t="s">
        <v>168</v>
      </c>
      <c r="B145" s="70" t="s">
        <v>1013</v>
      </c>
      <c r="C145" s="74">
        <v>18.405283544772924</v>
      </c>
    </row>
    <row r="146" spans="1:3" x14ac:dyDescent="0.25">
      <c r="A146" s="39" t="s">
        <v>170</v>
      </c>
      <c r="B146" s="70" t="s">
        <v>1013</v>
      </c>
      <c r="C146" s="74">
        <v>12.794700705104317</v>
      </c>
    </row>
    <row r="147" spans="1:3" x14ac:dyDescent="0.25">
      <c r="A147" s="39" t="s">
        <v>232</v>
      </c>
      <c r="B147" s="70" t="s">
        <v>1012</v>
      </c>
      <c r="C147" s="74">
        <v>1.789574394782699</v>
      </c>
    </row>
    <row r="148" spans="1:3" x14ac:dyDescent="0.25">
      <c r="A148" s="39" t="s">
        <v>296</v>
      </c>
      <c r="B148" s="70" t="s">
        <v>756</v>
      </c>
      <c r="C148" s="74">
        <v>0.37588352961435612</v>
      </c>
    </row>
    <row r="149" spans="1:3" x14ac:dyDescent="0.25">
      <c r="A149" s="39" t="s">
        <v>380</v>
      </c>
      <c r="B149" s="70" t="s">
        <v>669</v>
      </c>
      <c r="C149" s="74">
        <v>11.65743881259678</v>
      </c>
    </row>
    <row r="150" spans="1:3" x14ac:dyDescent="0.25">
      <c r="A150" s="39" t="s">
        <v>381</v>
      </c>
      <c r="B150" s="70" t="s">
        <v>669</v>
      </c>
      <c r="C150" s="74">
        <v>1.9281430163271129</v>
      </c>
    </row>
    <row r="151" spans="1:3" x14ac:dyDescent="0.25">
      <c r="A151" s="39" t="s">
        <v>382</v>
      </c>
      <c r="B151" s="70" t="s">
        <v>669</v>
      </c>
      <c r="C151" s="74">
        <v>0.42212558305526549</v>
      </c>
    </row>
    <row r="152" spans="1:3" x14ac:dyDescent="0.25">
      <c r="A152" s="39" t="s">
        <v>383</v>
      </c>
      <c r="B152" s="70" t="s">
        <v>669</v>
      </c>
      <c r="C152" s="74">
        <v>21.050742639251741</v>
      </c>
    </row>
    <row r="153" spans="1:3" x14ac:dyDescent="0.25">
      <c r="A153" s="39" t="s">
        <v>385</v>
      </c>
      <c r="B153" s="70" t="s">
        <v>669</v>
      </c>
      <c r="C153" s="74">
        <v>13.632081902964599</v>
      </c>
    </row>
    <row r="154" spans="1:3" x14ac:dyDescent="0.25">
      <c r="A154" s="39" t="s">
        <v>386</v>
      </c>
      <c r="B154" s="70" t="s">
        <v>1013</v>
      </c>
      <c r="C154" s="74">
        <v>5.5919136174199959</v>
      </c>
    </row>
    <row r="155" spans="1:3" x14ac:dyDescent="0.25">
      <c r="A155" s="39" t="s">
        <v>773</v>
      </c>
      <c r="B155" s="70" t="s">
        <v>1004</v>
      </c>
      <c r="C155" s="74">
        <v>30.037709702375544</v>
      </c>
    </row>
    <row r="156" spans="1:3" x14ac:dyDescent="0.25">
      <c r="A156" s="39" t="s">
        <v>762</v>
      </c>
      <c r="B156" s="70" t="s">
        <v>1008</v>
      </c>
      <c r="C156" s="74">
        <v>0.71762888500316424</v>
      </c>
    </row>
    <row r="157" spans="1:3" x14ac:dyDescent="0.25">
      <c r="A157" s="39" t="s">
        <v>763</v>
      </c>
      <c r="B157" s="70" t="s">
        <v>756</v>
      </c>
      <c r="C157" s="74">
        <v>0.63626694856259092</v>
      </c>
    </row>
    <row r="158" spans="1:3" x14ac:dyDescent="0.25">
      <c r="A158" s="35" t="s">
        <v>906</v>
      </c>
      <c r="B158" s="70" t="s">
        <v>901</v>
      </c>
      <c r="C158" s="74">
        <v>1.989668595899414</v>
      </c>
    </row>
    <row r="159" spans="1:3" x14ac:dyDescent="0.25">
      <c r="A159" s="35" t="s">
        <v>908</v>
      </c>
      <c r="B159" s="70" t="s">
        <v>1006</v>
      </c>
      <c r="C159" s="74">
        <v>2.0141034419413328</v>
      </c>
    </row>
    <row r="160" spans="1:3" x14ac:dyDescent="0.25">
      <c r="A160" s="35" t="s">
        <v>912</v>
      </c>
      <c r="B160" s="70" t="s">
        <v>1006</v>
      </c>
      <c r="C160" s="74">
        <v>2.8590638493982405</v>
      </c>
    </row>
    <row r="161" spans="1:3" x14ac:dyDescent="0.25">
      <c r="A161" s="35" t="s">
        <v>916</v>
      </c>
      <c r="B161" s="70" t="s">
        <v>901</v>
      </c>
      <c r="C161" s="74">
        <v>2.1362355825722199</v>
      </c>
    </row>
    <row r="162" spans="1:3" x14ac:dyDescent="0.25">
      <c r="A162" s="210"/>
      <c r="B162" s="70"/>
      <c r="C162" s="74"/>
    </row>
    <row r="163" spans="1:3" x14ac:dyDescent="0.25">
      <c r="A163" s="210"/>
      <c r="B163" s="70"/>
      <c r="C163" s="74"/>
    </row>
    <row r="164" spans="1:3" x14ac:dyDescent="0.25">
      <c r="A164" s="210"/>
      <c r="B164" s="70"/>
      <c r="C164" s="74"/>
    </row>
    <row r="165" spans="1:3" x14ac:dyDescent="0.25">
      <c r="A165" s="210"/>
      <c r="B165" s="70"/>
      <c r="C165" s="74"/>
    </row>
    <row r="166" spans="1:3" x14ac:dyDescent="0.25">
      <c r="A166" s="210"/>
      <c r="B166" s="70"/>
      <c r="C166" s="74"/>
    </row>
    <row r="167" spans="1:3" x14ac:dyDescent="0.25">
      <c r="A167" s="210"/>
      <c r="B167" s="70"/>
      <c r="C167" s="74"/>
    </row>
    <row r="168" spans="1:3" x14ac:dyDescent="0.25">
      <c r="A168" s="212" t="s">
        <v>959</v>
      </c>
      <c r="B168" s="70" t="s">
        <v>1002</v>
      </c>
      <c r="C168" s="74">
        <v>10</v>
      </c>
    </row>
    <row r="169" spans="1:3" x14ac:dyDescent="0.25">
      <c r="A169" s="212" t="s">
        <v>988</v>
      </c>
      <c r="B169" s="70" t="s">
        <v>1009</v>
      </c>
      <c r="C169" s="74">
        <v>0</v>
      </c>
    </row>
    <row r="170" spans="1:3" x14ac:dyDescent="0.25">
      <c r="A170" s="212" t="s">
        <v>989</v>
      </c>
      <c r="B170" s="70" t="s">
        <v>962</v>
      </c>
      <c r="C170" s="74">
        <v>0</v>
      </c>
    </row>
    <row r="171" spans="1:3" x14ac:dyDescent="0.25">
      <c r="A171" s="212" t="s">
        <v>1047</v>
      </c>
      <c r="B171" s="70" t="s">
        <v>740</v>
      </c>
      <c r="C171" s="74">
        <v>0</v>
      </c>
    </row>
    <row r="172" spans="1:3" x14ac:dyDescent="0.25">
      <c r="A172" s="212" t="s">
        <v>1057</v>
      </c>
      <c r="B172" s="70" t="s">
        <v>570</v>
      </c>
      <c r="C172" s="74">
        <v>5</v>
      </c>
    </row>
    <row r="173" spans="1:3" x14ac:dyDescent="0.25">
      <c r="A173" s="212" t="s">
        <v>1058</v>
      </c>
      <c r="B173" s="70" t="s">
        <v>570</v>
      </c>
      <c r="C173" s="74">
        <v>5</v>
      </c>
    </row>
    <row r="174" spans="1:3" x14ac:dyDescent="0.25">
      <c r="A174" s="213" t="s">
        <v>1059</v>
      </c>
      <c r="B174" s="70" t="s">
        <v>570</v>
      </c>
      <c r="C174" s="74">
        <v>0.75</v>
      </c>
    </row>
    <row r="175" spans="1:3" x14ac:dyDescent="0.25">
      <c r="A175" s="213" t="s">
        <v>1069</v>
      </c>
      <c r="B175" s="70" t="s">
        <v>749</v>
      </c>
      <c r="C175" s="74"/>
    </row>
    <row r="176" spans="1:3" x14ac:dyDescent="0.25">
      <c r="A176" s="213" t="s">
        <v>1071</v>
      </c>
      <c r="B176" s="70" t="s">
        <v>749</v>
      </c>
      <c r="C176" s="74"/>
    </row>
    <row r="177" spans="1:3" x14ac:dyDescent="0.25">
      <c r="A177" s="214" t="s">
        <v>1083</v>
      </c>
      <c r="B177" s="35" t="s">
        <v>1011</v>
      </c>
      <c r="C177" s="211">
        <v>0</v>
      </c>
    </row>
    <row r="178" spans="1:3" x14ac:dyDescent="0.25">
      <c r="A178" s="214" t="s">
        <v>1138</v>
      </c>
      <c r="B178" s="35" t="s">
        <v>1002</v>
      </c>
      <c r="C178" s="211"/>
    </row>
    <row r="179" spans="1:3" x14ac:dyDescent="0.25">
      <c r="A179" s="197" t="s">
        <v>1164</v>
      </c>
      <c r="B179" s="70" t="s">
        <v>1002</v>
      </c>
      <c r="C179" s="74"/>
    </row>
    <row r="180" spans="1:3" x14ac:dyDescent="0.25">
      <c r="A180" s="197" t="s">
        <v>1165</v>
      </c>
      <c r="B180" s="70" t="s">
        <v>1002</v>
      </c>
      <c r="C180" s="74"/>
    </row>
    <row r="181" spans="1:3" x14ac:dyDescent="0.25">
      <c r="A181" s="197" t="s">
        <v>1166</v>
      </c>
      <c r="B181" s="70" t="s">
        <v>1002</v>
      </c>
      <c r="C181" s="74"/>
    </row>
    <row r="182" spans="1:3" x14ac:dyDescent="0.25">
      <c r="A182" s="197" t="s">
        <v>1167</v>
      </c>
      <c r="B182" s="70" t="s">
        <v>1002</v>
      </c>
      <c r="C182" s="74"/>
    </row>
    <row r="183" spans="1:3" x14ac:dyDescent="0.25">
      <c r="A183" s="197" t="s">
        <v>1168</v>
      </c>
      <c r="B183" s="70" t="s">
        <v>1002</v>
      </c>
      <c r="C183" s="211"/>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68"/>
  <sheetViews>
    <sheetView showGridLines="0" showZeros="0" zoomScale="70" zoomScaleNormal="70" workbookViewId="0">
      <pane ySplit="2" topLeftCell="A58" activePane="bottomLeft" state="frozen"/>
      <selection activeCell="AS915" sqref="AS915"/>
      <selection pane="bottomLeft" activeCell="B3" sqref="B3:D3"/>
    </sheetView>
  </sheetViews>
  <sheetFormatPr defaultColWidth="9.140625" defaultRowHeight="15" x14ac:dyDescent="0.25"/>
  <cols>
    <col min="1" max="1" width="1.85546875" style="655" customWidth="1"/>
    <col min="2" max="2" width="27.85546875" style="655" customWidth="1"/>
    <col min="3" max="3" width="14.28515625" style="655" customWidth="1"/>
    <col min="4" max="4" width="13.85546875" style="655" customWidth="1"/>
    <col min="5" max="5" width="7.7109375" style="655" customWidth="1"/>
    <col min="6" max="6" width="31" style="655" customWidth="1"/>
    <col min="7" max="7" width="25" style="655" customWidth="1"/>
    <col min="8" max="8" width="16.42578125" style="655" customWidth="1"/>
    <col min="9" max="9" width="11.28515625" style="655" customWidth="1"/>
    <col min="10" max="10" width="7.28515625" style="655" customWidth="1"/>
    <col min="11" max="11" width="11.28515625" style="655" customWidth="1"/>
    <col min="12" max="12" width="8.7109375" style="655" customWidth="1"/>
    <col min="13" max="13" width="11.28515625" style="655" customWidth="1"/>
    <col min="14" max="14" width="12.28515625" style="655" customWidth="1"/>
    <col min="15" max="15" width="9.140625" style="655"/>
    <col min="16" max="16" width="0" style="655" hidden="1" customWidth="1"/>
    <col min="17" max="17" width="19.42578125" style="655" hidden="1" customWidth="1"/>
    <col min="18" max="18" width="20.5703125" style="655" hidden="1" customWidth="1"/>
    <col min="19" max="19" width="0" style="655" hidden="1" customWidth="1"/>
    <col min="20" max="20" width="9.140625" style="655"/>
    <col min="21" max="21" width="15.7109375" style="655" customWidth="1"/>
    <col min="22" max="22" width="16.140625" style="655" customWidth="1"/>
    <col min="23" max="23" width="9.140625" style="655"/>
    <col min="24" max="24" width="15.5703125" style="655" customWidth="1"/>
    <col min="25" max="25" width="10.7109375" style="655" customWidth="1"/>
    <col min="26" max="26" width="17.28515625" style="655" customWidth="1"/>
    <col min="27" max="27" width="10.140625" style="655" customWidth="1"/>
    <col min="28" max="28" width="9.140625" style="655"/>
    <col min="29" max="29" width="7.42578125" style="655" customWidth="1"/>
    <col min="30" max="30" width="7" style="655" customWidth="1"/>
    <col min="31" max="31" width="6.5703125" style="655" customWidth="1"/>
    <col min="32" max="32" width="9.85546875" style="655" bestFit="1" customWidth="1"/>
    <col min="33" max="33" width="7.140625" style="655" customWidth="1"/>
    <col min="34" max="34" width="8.140625" style="655" customWidth="1"/>
    <col min="35" max="35" width="6" style="655" customWidth="1"/>
    <col min="36" max="36" width="8" style="655" customWidth="1"/>
    <col min="37" max="37" width="9.42578125" style="655" bestFit="1" customWidth="1"/>
    <col min="38" max="38" width="9" style="655" customWidth="1"/>
    <col min="39" max="39" width="10.85546875" style="655" bestFit="1" customWidth="1"/>
    <col min="40" max="40" width="9.85546875" style="655" bestFit="1" customWidth="1"/>
    <col min="41" max="41" width="13.85546875" style="655" bestFit="1" customWidth="1"/>
    <col min="42" max="43" width="7.28515625" style="655" customWidth="1"/>
    <col min="44" max="44" width="11.5703125" style="655" bestFit="1" customWidth="1"/>
    <col min="45" max="16384" width="9.140625" style="655"/>
  </cols>
  <sheetData>
    <row r="1" spans="2:60" ht="11.45" customHeight="1" x14ac:dyDescent="0.25"/>
    <row r="2" spans="2:60" s="656" customFormat="1" ht="63.75" customHeight="1" x14ac:dyDescent="0.25">
      <c r="B2" s="98" t="s">
        <v>1395</v>
      </c>
      <c r="C2" s="99"/>
      <c r="D2" s="99"/>
      <c r="E2" s="99"/>
      <c r="F2" s="99"/>
      <c r="G2" s="99"/>
      <c r="H2" s="99"/>
      <c r="I2" s="99"/>
      <c r="J2" s="99"/>
      <c r="K2" s="99"/>
      <c r="L2" s="99"/>
      <c r="M2" s="99"/>
      <c r="N2" s="99"/>
      <c r="O2" s="657"/>
      <c r="P2" s="658"/>
      <c r="Q2" s="658"/>
      <c r="R2" s="658"/>
      <c r="S2" s="658"/>
      <c r="T2" s="99"/>
      <c r="U2" s="99"/>
      <c r="V2" s="99"/>
      <c r="W2" s="99"/>
      <c r="X2" s="99"/>
      <c r="Y2" s="99"/>
      <c r="Z2" s="394"/>
      <c r="BG2" s="15"/>
      <c r="BH2" s="15"/>
    </row>
    <row r="3" spans="2:60" s="20" customFormat="1" ht="18" customHeight="1" x14ac:dyDescent="0.25">
      <c r="B3" s="748">
        <f>Definition!B23</f>
        <v>43160</v>
      </c>
      <c r="C3" s="749"/>
      <c r="D3" s="749"/>
      <c r="E3" s="100"/>
      <c r="F3" s="100"/>
      <c r="G3" s="100"/>
      <c r="H3" s="100"/>
      <c r="I3" s="100"/>
      <c r="J3" s="100"/>
      <c r="K3" s="100"/>
      <c r="L3" s="100"/>
      <c r="M3" s="100"/>
      <c r="N3" s="100"/>
      <c r="O3" s="107"/>
      <c r="P3" s="395"/>
      <c r="Q3" s="395"/>
      <c r="R3" s="395"/>
      <c r="S3" s="395"/>
      <c r="T3" s="396"/>
      <c r="U3" s="396"/>
      <c r="V3" s="396"/>
      <c r="W3" s="396"/>
      <c r="X3" s="396"/>
      <c r="Y3" s="396"/>
      <c r="Z3" s="397"/>
      <c r="BG3" s="16"/>
      <c r="BH3" s="16"/>
    </row>
    <row r="4" spans="2:60" s="20" customFormat="1" ht="36" customHeight="1" x14ac:dyDescent="0.35">
      <c r="B4" s="452" t="s">
        <v>1441</v>
      </c>
      <c r="C4" s="659"/>
      <c r="D4" s="82"/>
      <c r="E4" s="82"/>
      <c r="F4" s="82"/>
      <c r="G4" s="82"/>
      <c r="H4" s="83"/>
      <c r="I4" s="83"/>
      <c r="J4" s="83"/>
      <c r="K4" s="83"/>
      <c r="L4" s="660"/>
      <c r="M4" s="753" t="s">
        <v>1440</v>
      </c>
      <c r="N4" s="753"/>
      <c r="O4" s="754" t="s">
        <v>1468</v>
      </c>
      <c r="P4" s="754"/>
      <c r="Q4" s="754"/>
      <c r="R4" s="754"/>
      <c r="S4" s="754"/>
      <c r="T4" s="754"/>
      <c r="U4" s="483" t="s">
        <v>1467</v>
      </c>
      <c r="V4" s="103"/>
      <c r="W4" s="661"/>
      <c r="X4" s="761" t="str">
        <f>IF(O4="All","Kachin &amp; Northern Shan",IF(O4="Kachin","Kachin",IF(O4="Shan_North","Northern Shan","")))</f>
        <v>Kachin &amp; Northern Shan</v>
      </c>
      <c r="Y4" s="761"/>
      <c r="Z4" s="761"/>
      <c r="BG4" s="16"/>
      <c r="BH4" s="16"/>
    </row>
    <row r="5" spans="2:60" s="20" customFormat="1" ht="16.5" customHeight="1" x14ac:dyDescent="0.25">
      <c r="B5" s="139" t="s">
        <v>392</v>
      </c>
      <c r="C5" s="323" t="s">
        <v>537</v>
      </c>
      <c r="D5" s="662" t="s">
        <v>413</v>
      </c>
      <c r="E5" s="84"/>
      <c r="F5" s="84"/>
      <c r="G5" s="84"/>
      <c r="H5" s="84"/>
      <c r="I5" s="84"/>
      <c r="J5" s="84"/>
      <c r="K5" s="84"/>
      <c r="L5" s="84"/>
      <c r="M5" s="759" t="s">
        <v>1422</v>
      </c>
      <c r="N5" s="759"/>
      <c r="O5" s="759"/>
      <c r="P5" s="759"/>
      <c r="Q5" s="759"/>
      <c r="R5" s="759"/>
      <c r="S5" s="759"/>
      <c r="T5" s="759"/>
      <c r="U5" s="759"/>
      <c r="V5" s="663"/>
      <c r="W5" s="663"/>
      <c r="X5" s="663"/>
      <c r="Y5" s="663"/>
      <c r="Z5" s="757">
        <f ca="1">IF(O4="All",SUMIF(CampList[[#All],[Status]:[Total]],"Open",CampList[[#All],[Total]]),SUMIFS(CampList[[#All],[Total]],CampList[[#All],[Status]],"Open",CampList[[#All],[State]],O4))</f>
        <v>100264</v>
      </c>
      <c r="AA5" s="664"/>
      <c r="BG5" s="16"/>
      <c r="BH5" s="16"/>
    </row>
    <row r="6" spans="2:60" ht="18" customHeight="1" x14ac:dyDescent="0.25">
      <c r="B6" s="139" t="s">
        <v>1038</v>
      </c>
      <c r="C6" s="323" t="s">
        <v>997</v>
      </c>
      <c r="M6" s="760"/>
      <c r="N6" s="760"/>
      <c r="O6" s="760"/>
      <c r="P6" s="760"/>
      <c r="Q6" s="760"/>
      <c r="R6" s="760"/>
      <c r="S6" s="760"/>
      <c r="T6" s="760"/>
      <c r="U6" s="760"/>
      <c r="V6" s="665"/>
      <c r="W6" s="665"/>
      <c r="X6" s="665"/>
      <c r="Y6" s="665"/>
      <c r="Z6" s="758"/>
      <c r="AA6" s="666"/>
    </row>
    <row r="7" spans="2:60" ht="14.45" customHeight="1" x14ac:dyDescent="0.25">
      <c r="B7" s="139" t="s">
        <v>458</v>
      </c>
      <c r="C7" s="323" t="s">
        <v>460</v>
      </c>
      <c r="M7" s="759" t="s">
        <v>1423</v>
      </c>
      <c r="N7" s="759"/>
      <c r="O7" s="759"/>
      <c r="P7" s="759"/>
      <c r="Q7" s="759"/>
      <c r="R7" s="759"/>
      <c r="S7" s="759"/>
      <c r="T7" s="759"/>
      <c r="U7" s="759"/>
      <c r="V7" s="667"/>
      <c r="W7" s="667"/>
      <c r="X7" s="667"/>
      <c r="Y7" s="667"/>
      <c r="Z7" s="756">
        <f>IF(O4="All",COUNTIF(CampList[[#All],[Status]],"Open"),COUNTIFS(CampList[[#All],[Status]],"Open",CampList[[#All],[State]],O4))</f>
        <v>164</v>
      </c>
    </row>
    <row r="8" spans="2:60" x14ac:dyDescent="0.25">
      <c r="M8" s="759"/>
      <c r="N8" s="759"/>
      <c r="O8" s="759"/>
      <c r="P8" s="759"/>
      <c r="Q8" s="137" t="s">
        <v>392</v>
      </c>
      <c r="R8" s="134" t="s">
        <v>537</v>
      </c>
      <c r="S8" s="759"/>
      <c r="T8" s="759"/>
      <c r="U8" s="759"/>
      <c r="V8" s="667"/>
      <c r="W8" s="667"/>
      <c r="X8" s="667"/>
      <c r="Y8" s="667"/>
      <c r="Z8" s="756"/>
    </row>
    <row r="9" spans="2:60" ht="31.5" x14ac:dyDescent="0.25">
      <c r="B9" s="139" t="s">
        <v>0</v>
      </c>
      <c r="C9" s="453" t="s">
        <v>1442</v>
      </c>
      <c r="D9" s="453" t="s">
        <v>1463</v>
      </c>
      <c r="M9" s="755"/>
      <c r="N9" s="755"/>
      <c r="O9" s="755"/>
      <c r="P9" s="755"/>
      <c r="Q9" s="134" t="s">
        <v>458</v>
      </c>
      <c r="R9" s="134" t="s">
        <v>460</v>
      </c>
      <c r="S9" s="755" t="s">
        <v>413</v>
      </c>
      <c r="T9" s="755"/>
      <c r="U9" s="755"/>
      <c r="V9" s="668"/>
      <c r="W9" s="668"/>
    </row>
    <row r="10" spans="2:60" x14ac:dyDescent="0.25">
      <c r="B10" s="6" t="s">
        <v>5</v>
      </c>
      <c r="C10" s="133">
        <v>1486</v>
      </c>
      <c r="D10" s="133">
        <v>8351</v>
      </c>
      <c r="T10" s="668"/>
      <c r="U10" s="668"/>
      <c r="V10" s="668"/>
      <c r="W10" s="668"/>
      <c r="X10" s="659"/>
      <c r="Y10" s="659"/>
    </row>
    <row r="11" spans="2:60" x14ac:dyDescent="0.25">
      <c r="B11" s="6" t="s">
        <v>27</v>
      </c>
      <c r="C11" s="133">
        <v>497</v>
      </c>
      <c r="D11" s="133">
        <v>2471</v>
      </c>
      <c r="Q11" s="134" t="s">
        <v>410</v>
      </c>
      <c r="R11" s="134" t="s">
        <v>412</v>
      </c>
      <c r="S11" s="659"/>
      <c r="T11" s="668"/>
      <c r="U11" s="668"/>
      <c r="V11" s="668"/>
      <c r="W11" s="668"/>
      <c r="X11" s="659"/>
      <c r="Y11" s="659"/>
    </row>
    <row r="12" spans="2:60" x14ac:dyDescent="0.25">
      <c r="B12" s="6" t="s">
        <v>480</v>
      </c>
      <c r="C12" s="133">
        <v>701</v>
      </c>
      <c r="D12" s="133">
        <v>3554</v>
      </c>
      <c r="Q12" s="135" t="s">
        <v>5</v>
      </c>
      <c r="R12" s="136">
        <v>8351</v>
      </c>
      <c r="S12" s="659"/>
      <c r="T12" s="668"/>
      <c r="U12" s="668"/>
      <c r="V12" s="668"/>
      <c r="W12" s="668"/>
      <c r="X12" s="659"/>
      <c r="Y12" s="659"/>
    </row>
    <row r="13" spans="2:60" x14ac:dyDescent="0.25">
      <c r="B13" s="6" t="s">
        <v>719</v>
      </c>
      <c r="C13" s="133">
        <v>99</v>
      </c>
      <c r="D13" s="133">
        <v>559</v>
      </c>
      <c r="Q13" s="135" t="s">
        <v>27</v>
      </c>
      <c r="R13" s="136">
        <v>2471</v>
      </c>
      <c r="S13" s="659"/>
      <c r="T13" s="668"/>
      <c r="U13" s="668"/>
      <c r="V13" s="668"/>
      <c r="W13" s="668"/>
      <c r="X13" s="659"/>
      <c r="Y13" s="659"/>
    </row>
    <row r="14" spans="2:60" x14ac:dyDescent="0.25">
      <c r="B14" s="6" t="s">
        <v>1204</v>
      </c>
      <c r="C14" s="133">
        <v>37</v>
      </c>
      <c r="D14" s="133">
        <v>120</v>
      </c>
      <c r="Q14" s="135" t="s">
        <v>480</v>
      </c>
      <c r="R14" s="136">
        <v>3554</v>
      </c>
      <c r="S14" s="659"/>
      <c r="X14" s="659"/>
      <c r="Y14" s="659"/>
    </row>
    <row r="15" spans="2:60" x14ac:dyDescent="0.25">
      <c r="B15" s="6" t="s">
        <v>146</v>
      </c>
      <c r="C15" s="133">
        <v>863</v>
      </c>
      <c r="D15" s="133">
        <v>4215</v>
      </c>
      <c r="Q15" s="135" t="s">
        <v>719</v>
      </c>
      <c r="R15" s="136">
        <v>559</v>
      </c>
      <c r="S15" s="659"/>
      <c r="X15" s="659"/>
      <c r="Y15" s="659"/>
    </row>
    <row r="16" spans="2:60" x14ac:dyDescent="0.25">
      <c r="B16" s="6" t="s">
        <v>151</v>
      </c>
      <c r="C16" s="133">
        <v>2840</v>
      </c>
      <c r="D16" s="133">
        <v>13346</v>
      </c>
      <c r="Q16" s="135" t="s">
        <v>1204</v>
      </c>
      <c r="R16" s="136">
        <v>120</v>
      </c>
      <c r="S16" s="659"/>
      <c r="X16" s="659"/>
      <c r="Y16" s="659"/>
    </row>
    <row r="17" spans="2:25" x14ac:dyDescent="0.25">
      <c r="B17" s="6" t="s">
        <v>166</v>
      </c>
      <c r="C17" s="133">
        <v>98</v>
      </c>
      <c r="D17" s="133">
        <v>541</v>
      </c>
      <c r="Q17" s="135" t="s">
        <v>146</v>
      </c>
      <c r="R17" s="136">
        <v>4215</v>
      </c>
      <c r="S17" s="659"/>
      <c r="X17" s="659"/>
      <c r="Y17" s="659"/>
    </row>
    <row r="18" spans="2:25" x14ac:dyDescent="0.25">
      <c r="B18" s="6" t="s">
        <v>173</v>
      </c>
      <c r="C18" s="133">
        <v>66</v>
      </c>
      <c r="D18" s="133">
        <v>325</v>
      </c>
      <c r="Q18" s="135" t="s">
        <v>151</v>
      </c>
      <c r="R18" s="136">
        <v>13346</v>
      </c>
      <c r="S18" s="659"/>
      <c r="X18" s="659"/>
      <c r="Y18" s="659"/>
    </row>
    <row r="19" spans="2:25" x14ac:dyDescent="0.25">
      <c r="B19" s="6" t="s">
        <v>180</v>
      </c>
      <c r="C19" s="133">
        <v>76</v>
      </c>
      <c r="D19" s="133">
        <v>349</v>
      </c>
      <c r="Q19" s="135" t="s">
        <v>166</v>
      </c>
      <c r="R19" s="136">
        <v>541</v>
      </c>
      <c r="S19" s="659"/>
      <c r="X19" s="659"/>
      <c r="Y19" s="659"/>
    </row>
    <row r="20" spans="2:25" x14ac:dyDescent="0.25">
      <c r="B20" s="6" t="s">
        <v>185</v>
      </c>
      <c r="C20" s="133">
        <v>4741</v>
      </c>
      <c r="D20" s="133">
        <v>24892</v>
      </c>
      <c r="Q20" s="135" t="s">
        <v>173</v>
      </c>
      <c r="R20" s="136">
        <v>325</v>
      </c>
      <c r="S20" s="659"/>
      <c r="X20" s="659"/>
      <c r="Y20" s="659"/>
    </row>
    <row r="21" spans="2:25" x14ac:dyDescent="0.25">
      <c r="B21" s="6" t="s">
        <v>230</v>
      </c>
      <c r="C21" s="133">
        <v>248</v>
      </c>
      <c r="D21" s="133">
        <v>1265</v>
      </c>
      <c r="Q21" s="135" t="s">
        <v>180</v>
      </c>
      <c r="R21" s="136">
        <v>349</v>
      </c>
      <c r="S21" s="659"/>
      <c r="X21" s="659"/>
      <c r="Y21" s="659"/>
    </row>
    <row r="22" spans="2:25" x14ac:dyDescent="0.25">
      <c r="B22" s="6" t="s">
        <v>237</v>
      </c>
      <c r="C22" s="133">
        <v>1494</v>
      </c>
      <c r="D22" s="133">
        <v>7696</v>
      </c>
      <c r="Q22" s="135" t="s">
        <v>185</v>
      </c>
      <c r="R22" s="136">
        <v>24892</v>
      </c>
      <c r="S22" s="659"/>
      <c r="X22" s="659"/>
      <c r="Y22" s="659"/>
    </row>
    <row r="23" spans="2:25" x14ac:dyDescent="0.25">
      <c r="B23" s="6" t="s">
        <v>288</v>
      </c>
      <c r="C23" s="133">
        <v>409</v>
      </c>
      <c r="D23" s="133">
        <v>1976</v>
      </c>
      <c r="Q23" s="135" t="s">
        <v>230</v>
      </c>
      <c r="R23" s="136">
        <v>1265</v>
      </c>
      <c r="S23" s="659"/>
      <c r="X23" s="659"/>
      <c r="Y23" s="659"/>
    </row>
    <row r="24" spans="2:25" x14ac:dyDescent="0.25">
      <c r="B24" s="6" t="s">
        <v>297</v>
      </c>
      <c r="C24" s="133">
        <v>162</v>
      </c>
      <c r="D24" s="133">
        <v>759</v>
      </c>
      <c r="Q24" s="135" t="s">
        <v>237</v>
      </c>
      <c r="R24" s="136">
        <v>7696</v>
      </c>
      <c r="S24" s="659"/>
      <c r="X24" s="659"/>
      <c r="Y24" s="659"/>
    </row>
    <row r="25" spans="2:25" x14ac:dyDescent="0.25">
      <c r="B25" s="6" t="s">
        <v>299</v>
      </c>
      <c r="C25" s="133">
        <v>85</v>
      </c>
      <c r="D25" s="133">
        <v>412</v>
      </c>
      <c r="Q25" s="135" t="s">
        <v>288</v>
      </c>
      <c r="R25" s="136">
        <v>1976</v>
      </c>
      <c r="S25" s="659"/>
      <c r="X25" s="659"/>
      <c r="Y25" s="659"/>
    </row>
    <row r="26" spans="2:25" x14ac:dyDescent="0.25">
      <c r="B26" s="6" t="s">
        <v>301</v>
      </c>
      <c r="C26" s="133">
        <v>509</v>
      </c>
      <c r="D26" s="133">
        <v>2220</v>
      </c>
      <c r="Q26" s="135" t="s">
        <v>297</v>
      </c>
      <c r="R26" s="136">
        <v>759</v>
      </c>
      <c r="S26" s="659"/>
      <c r="X26" s="659"/>
      <c r="Y26" s="659"/>
    </row>
    <row r="27" spans="2:25" x14ac:dyDescent="0.25">
      <c r="B27" s="6" t="s">
        <v>747</v>
      </c>
      <c r="C27" s="133">
        <v>198</v>
      </c>
      <c r="D27" s="133">
        <v>1143</v>
      </c>
      <c r="Q27" s="135" t="s">
        <v>299</v>
      </c>
      <c r="R27" s="136">
        <v>412</v>
      </c>
      <c r="X27" s="659"/>
      <c r="Y27" s="659"/>
    </row>
    <row r="28" spans="2:25" x14ac:dyDescent="0.25">
      <c r="B28" s="6" t="s">
        <v>309</v>
      </c>
      <c r="C28" s="133">
        <v>4858</v>
      </c>
      <c r="D28" s="133">
        <v>25155</v>
      </c>
      <c r="Q28" s="135" t="s">
        <v>301</v>
      </c>
      <c r="R28" s="136">
        <v>2220</v>
      </c>
      <c r="X28" s="659"/>
      <c r="Y28" s="659"/>
    </row>
    <row r="29" spans="2:25" x14ac:dyDescent="0.25">
      <c r="B29" s="6" t="s">
        <v>1140</v>
      </c>
      <c r="C29" s="133">
        <v>235</v>
      </c>
      <c r="D29" s="133">
        <v>915</v>
      </c>
      <c r="Q29" s="135" t="s">
        <v>747</v>
      </c>
      <c r="R29" s="136">
        <v>1143</v>
      </c>
      <c r="X29" s="659"/>
      <c r="Y29" s="659"/>
    </row>
    <row r="30" spans="2:25" x14ac:dyDescent="0.25">
      <c r="B30" s="6" t="s">
        <v>411</v>
      </c>
      <c r="C30" s="133">
        <v>19702</v>
      </c>
      <c r="D30" s="133">
        <v>100264</v>
      </c>
      <c r="Q30" s="135" t="s">
        <v>1140</v>
      </c>
      <c r="R30" s="136">
        <v>915</v>
      </c>
      <c r="X30" s="659"/>
      <c r="Y30" s="659"/>
    </row>
    <row r="31" spans="2:25" x14ac:dyDescent="0.25">
      <c r="B31" s="659"/>
      <c r="C31" s="659"/>
      <c r="D31" s="659"/>
      <c r="Q31" s="135" t="s">
        <v>309</v>
      </c>
      <c r="R31" s="136">
        <v>25155</v>
      </c>
      <c r="X31" s="659"/>
      <c r="Y31" s="659"/>
    </row>
    <row r="32" spans="2:25" x14ac:dyDescent="0.25">
      <c r="B32" s="659"/>
      <c r="C32" s="659"/>
      <c r="D32" s="659"/>
      <c r="Q32" s="180" t="s">
        <v>411</v>
      </c>
      <c r="R32" s="179">
        <v>100264</v>
      </c>
      <c r="X32" s="659"/>
      <c r="Y32" s="659"/>
    </row>
    <row r="33" spans="2:25" x14ac:dyDescent="0.25">
      <c r="B33" s="659"/>
      <c r="C33" s="659"/>
      <c r="D33" s="659"/>
      <c r="Q33" s="659"/>
      <c r="R33" s="659"/>
      <c r="X33" s="659"/>
      <c r="Y33" s="659"/>
    </row>
    <row r="34" spans="2:25" ht="21" x14ac:dyDescent="0.35">
      <c r="B34" s="408" t="s">
        <v>1443</v>
      </c>
      <c r="C34" s="659"/>
      <c r="D34" s="659"/>
      <c r="Q34" s="659"/>
      <c r="R34" s="659"/>
      <c r="X34" s="659"/>
      <c r="Y34" s="659"/>
    </row>
    <row r="35" spans="2:25" x14ac:dyDescent="0.25">
      <c r="C35" s="659"/>
      <c r="D35" s="659"/>
      <c r="Q35" s="659"/>
      <c r="R35" s="659"/>
      <c r="X35" s="659"/>
      <c r="Y35" s="659"/>
    </row>
    <row r="36" spans="2:25" hidden="1" x14ac:dyDescent="0.25">
      <c r="B36" s="659"/>
      <c r="C36" s="659"/>
      <c r="D36" s="659"/>
      <c r="Q36" s="659"/>
      <c r="R36" s="659"/>
      <c r="X36" s="659"/>
      <c r="Y36" s="659"/>
    </row>
    <row r="37" spans="2:25" hidden="1" x14ac:dyDescent="0.25">
      <c r="Q37" s="659"/>
      <c r="R37" s="659"/>
      <c r="X37" s="659"/>
      <c r="Y37" s="659"/>
    </row>
    <row r="38" spans="2:25" hidden="1" x14ac:dyDescent="0.25">
      <c r="Q38" s="659"/>
      <c r="R38" s="659"/>
      <c r="X38" s="659"/>
      <c r="Y38" s="659"/>
    </row>
    <row r="39" spans="2:25" hidden="1" x14ac:dyDescent="0.25">
      <c r="Q39" s="659"/>
      <c r="R39" s="659"/>
      <c r="X39" s="659"/>
      <c r="Y39" s="659"/>
    </row>
    <row r="40" spans="2:25" hidden="1" x14ac:dyDescent="0.25">
      <c r="Q40" s="659"/>
      <c r="R40" s="659"/>
      <c r="X40" s="659"/>
      <c r="Y40" s="659"/>
    </row>
    <row r="41" spans="2:25" hidden="1" x14ac:dyDescent="0.25">
      <c r="Q41" s="659"/>
      <c r="R41" s="659"/>
      <c r="X41" s="659"/>
      <c r="Y41" s="659"/>
    </row>
    <row r="42" spans="2:25" hidden="1" x14ac:dyDescent="0.25">
      <c r="Q42" s="659"/>
      <c r="R42" s="659"/>
      <c r="X42" s="659"/>
      <c r="Y42" s="659"/>
    </row>
    <row r="43" spans="2:25" x14ac:dyDescent="0.25">
      <c r="B43" s="163" t="s">
        <v>392</v>
      </c>
      <c r="C43" s="158" t="s">
        <v>537</v>
      </c>
      <c r="D43" s="669" t="s">
        <v>413</v>
      </c>
      <c r="Q43" s="659"/>
      <c r="R43" s="659"/>
      <c r="X43" s="659"/>
      <c r="Y43" s="659"/>
    </row>
    <row r="44" spans="2:25" x14ac:dyDescent="0.25">
      <c r="B44" s="163" t="s">
        <v>1038</v>
      </c>
      <c r="C44" s="158" t="s">
        <v>997</v>
      </c>
      <c r="Q44" s="659"/>
      <c r="R44" s="659"/>
      <c r="X44" s="659"/>
      <c r="Y44" s="659"/>
    </row>
    <row r="45" spans="2:25" x14ac:dyDescent="0.25">
      <c r="Q45" s="659"/>
      <c r="R45" s="659"/>
      <c r="X45" s="659"/>
      <c r="Y45" s="659"/>
    </row>
    <row r="46" spans="2:25" x14ac:dyDescent="0.25">
      <c r="B46" s="153" t="s">
        <v>765</v>
      </c>
      <c r="C46" s="141" t="s">
        <v>457</v>
      </c>
      <c r="D46" s="141"/>
      <c r="E46" s="142"/>
      <c r="F46" s="659"/>
      <c r="Q46" s="659"/>
      <c r="R46" s="659"/>
      <c r="X46" s="659"/>
      <c r="Y46" s="659"/>
    </row>
    <row r="47" spans="2:25" x14ac:dyDescent="0.25">
      <c r="B47" s="154" t="s">
        <v>410</v>
      </c>
      <c r="C47" s="140" t="s">
        <v>464</v>
      </c>
      <c r="D47" s="140" t="s">
        <v>466</v>
      </c>
      <c r="E47" s="143" t="s">
        <v>1463</v>
      </c>
      <c r="F47" s="659"/>
      <c r="Q47" s="659"/>
      <c r="R47" s="659"/>
      <c r="X47" s="659"/>
      <c r="Y47" s="659"/>
    </row>
    <row r="48" spans="2:25" x14ac:dyDescent="0.25">
      <c r="B48" s="160" t="s">
        <v>460</v>
      </c>
      <c r="C48" s="161">
        <v>61621</v>
      </c>
      <c r="D48" s="161">
        <v>38643</v>
      </c>
      <c r="E48" s="162">
        <v>100264</v>
      </c>
      <c r="F48" s="659"/>
      <c r="Q48" s="659"/>
      <c r="R48" s="659"/>
      <c r="X48" s="659"/>
      <c r="Y48" s="659"/>
    </row>
    <row r="49" spans="2:25" x14ac:dyDescent="0.25">
      <c r="B49" s="182" t="s">
        <v>1463</v>
      </c>
      <c r="C49" s="183">
        <v>61621</v>
      </c>
      <c r="D49" s="183">
        <v>38643</v>
      </c>
      <c r="E49" s="181">
        <v>100264</v>
      </c>
      <c r="F49" s="659"/>
      <c r="Q49" s="659"/>
      <c r="R49" s="659"/>
      <c r="X49" s="659"/>
      <c r="Y49" s="659"/>
    </row>
    <row r="50" spans="2:25" x14ac:dyDescent="0.25">
      <c r="B50" s="659"/>
      <c r="C50" s="659"/>
      <c r="D50" s="659"/>
      <c r="E50" s="659"/>
      <c r="F50" s="659"/>
      <c r="X50" s="659"/>
      <c r="Y50" s="659"/>
    </row>
    <row r="51" spans="2:25" x14ac:dyDescent="0.25">
      <c r="B51" s="659"/>
      <c r="C51" s="659"/>
      <c r="D51" s="659"/>
      <c r="E51" s="659"/>
      <c r="F51" s="659"/>
      <c r="X51" s="659"/>
      <c r="Y51" s="659"/>
    </row>
    <row r="52" spans="2:25" x14ac:dyDescent="0.25">
      <c r="B52" s="752" t="s">
        <v>1444</v>
      </c>
      <c r="C52" s="752"/>
      <c r="D52" s="752"/>
      <c r="E52" s="752"/>
      <c r="F52" s="659"/>
      <c r="X52" s="659"/>
      <c r="Y52" s="659"/>
    </row>
    <row r="53" spans="2:25" ht="27.75" customHeight="1" x14ac:dyDescent="0.25">
      <c r="B53" s="752"/>
      <c r="C53" s="752"/>
      <c r="D53" s="752"/>
      <c r="E53" s="752"/>
      <c r="F53" s="659"/>
      <c r="X53" s="659"/>
      <c r="Y53" s="659"/>
    </row>
    <row r="54" spans="2:25" x14ac:dyDescent="0.25">
      <c r="B54" s="174" t="s">
        <v>458</v>
      </c>
      <c r="C54" s="174" t="s">
        <v>460</v>
      </c>
      <c r="X54" s="659"/>
      <c r="Y54" s="659"/>
    </row>
    <row r="55" spans="2:25" x14ac:dyDescent="0.25">
      <c r="B55" s="163" t="s">
        <v>1038</v>
      </c>
      <c r="C55" s="158" t="s">
        <v>997</v>
      </c>
    </row>
    <row r="57" spans="2:25" x14ac:dyDescent="0.25">
      <c r="B57" s="153"/>
      <c r="C57" s="141" t="s">
        <v>764</v>
      </c>
      <c r="D57" s="141"/>
      <c r="E57" s="142"/>
      <c r="F57" s="659"/>
    </row>
    <row r="58" spans="2:25" x14ac:dyDescent="0.25">
      <c r="B58" s="154"/>
      <c r="C58" s="140" t="s">
        <v>464</v>
      </c>
      <c r="D58" s="140" t="s">
        <v>466</v>
      </c>
      <c r="E58" s="143" t="s">
        <v>1463</v>
      </c>
      <c r="F58" s="659"/>
    </row>
    <row r="59" spans="2:25" x14ac:dyDescent="0.25">
      <c r="B59" s="497" t="s">
        <v>765</v>
      </c>
      <c r="C59" s="156">
        <v>61621</v>
      </c>
      <c r="D59" s="156">
        <v>38643</v>
      </c>
      <c r="E59" s="157">
        <v>100264</v>
      </c>
      <c r="F59" s="659"/>
    </row>
    <row r="60" spans="2:25" x14ac:dyDescent="0.25">
      <c r="B60" s="659"/>
      <c r="C60" s="659"/>
      <c r="D60" s="659"/>
      <c r="E60" s="659"/>
      <c r="F60" s="659"/>
    </row>
    <row r="61" spans="2:25" x14ac:dyDescent="0.25">
      <c r="B61" s="659"/>
      <c r="C61" s="659"/>
      <c r="D61" s="659"/>
      <c r="E61" s="659"/>
      <c r="F61" s="659"/>
    </row>
    <row r="62" spans="2:25" x14ac:dyDescent="0.25">
      <c r="B62" s="659"/>
      <c r="C62" s="659"/>
      <c r="D62" s="659"/>
      <c r="E62" s="659"/>
      <c r="F62" s="659"/>
    </row>
    <row r="63" spans="2:25" x14ac:dyDescent="0.25">
      <c r="B63" s="659"/>
      <c r="C63" s="659"/>
      <c r="D63" s="659"/>
      <c r="E63" s="659"/>
      <c r="F63" s="659"/>
      <c r="H63" s="311"/>
    </row>
    <row r="65" spans="2:7" x14ac:dyDescent="0.25">
      <c r="B65" s="752" t="s">
        <v>1445</v>
      </c>
      <c r="C65" s="752"/>
      <c r="D65" s="752"/>
      <c r="E65" s="752"/>
    </row>
    <row r="66" spans="2:7" ht="27" customHeight="1" x14ac:dyDescent="0.25">
      <c r="B66" s="752"/>
      <c r="C66" s="752"/>
      <c r="D66" s="752"/>
      <c r="E66" s="752"/>
    </row>
    <row r="67" spans="2:7" x14ac:dyDescent="0.25">
      <c r="B67" s="151" t="s">
        <v>458</v>
      </c>
      <c r="C67" s="152" t="s">
        <v>460</v>
      </c>
    </row>
    <row r="68" spans="2:7" x14ac:dyDescent="0.25">
      <c r="B68" s="151" t="s">
        <v>1038</v>
      </c>
      <c r="C68" s="152" t="s">
        <v>997</v>
      </c>
    </row>
    <row r="70" spans="2:7" x14ac:dyDescent="0.25">
      <c r="B70" s="494"/>
      <c r="C70" s="168" t="s">
        <v>764</v>
      </c>
      <c r="D70" s="145"/>
      <c r="E70" s="146"/>
      <c r="F70" s="659"/>
      <c r="G70" s="659"/>
    </row>
    <row r="71" spans="2:7" x14ac:dyDescent="0.25">
      <c r="B71" s="495"/>
      <c r="C71" s="132" t="s">
        <v>464</v>
      </c>
      <c r="D71" s="132" t="s">
        <v>466</v>
      </c>
      <c r="E71" s="144" t="s">
        <v>1464</v>
      </c>
      <c r="F71" s="659"/>
      <c r="G71" s="659"/>
    </row>
    <row r="72" spans="2:7" x14ac:dyDescent="0.25">
      <c r="B72" s="496" t="s">
        <v>1571</v>
      </c>
      <c r="C72" s="170">
        <v>145</v>
      </c>
      <c r="D72" s="170">
        <v>19</v>
      </c>
      <c r="E72" s="171">
        <v>164</v>
      </c>
      <c r="F72" s="659"/>
      <c r="G72" s="659"/>
    </row>
    <row r="73" spans="2:7" x14ac:dyDescent="0.25">
      <c r="B73" s="659"/>
      <c r="C73" s="659"/>
      <c r="D73" s="659"/>
      <c r="E73" s="659"/>
      <c r="F73" s="659"/>
      <c r="G73" s="659"/>
    </row>
    <row r="74" spans="2:7" x14ac:dyDescent="0.25">
      <c r="B74" s="659"/>
      <c r="C74" s="659"/>
      <c r="D74" s="659"/>
      <c r="E74" s="659"/>
      <c r="F74" s="659"/>
    </row>
    <row r="75" spans="2:7" x14ac:dyDescent="0.25">
      <c r="B75" s="659"/>
      <c r="C75" s="659"/>
      <c r="D75" s="659"/>
      <c r="E75" s="659"/>
      <c r="F75" s="659"/>
    </row>
    <row r="76" spans="2:7" x14ac:dyDescent="0.25">
      <c r="B76" s="659"/>
      <c r="C76" s="659"/>
      <c r="D76" s="659"/>
      <c r="E76" s="659"/>
      <c r="F76" s="659"/>
    </row>
    <row r="79" spans="2:7" x14ac:dyDescent="0.25">
      <c r="B79" s="752" t="s">
        <v>1447</v>
      </c>
      <c r="C79" s="752"/>
      <c r="D79" s="752"/>
      <c r="E79" s="752"/>
    </row>
    <row r="80" spans="2:7" ht="24.75" customHeight="1" x14ac:dyDescent="0.25">
      <c r="B80" s="752"/>
      <c r="C80" s="752"/>
      <c r="D80" s="752"/>
      <c r="E80" s="752"/>
    </row>
    <row r="81" spans="2:5" x14ac:dyDescent="0.25">
      <c r="B81" s="174" t="s">
        <v>458</v>
      </c>
      <c r="C81" s="175" t="s">
        <v>460</v>
      </c>
    </row>
    <row r="82" spans="2:5" x14ac:dyDescent="0.25">
      <c r="B82" s="188" t="s">
        <v>1038</v>
      </c>
      <c r="C82" s="187" t="s">
        <v>997</v>
      </c>
    </row>
    <row r="84" spans="2:5" x14ac:dyDescent="0.25">
      <c r="B84" s="153" t="s">
        <v>1466</v>
      </c>
      <c r="C84" s="141" t="s">
        <v>1464</v>
      </c>
      <c r="D84" s="481" t="s">
        <v>1463</v>
      </c>
      <c r="E84" s="480" t="s">
        <v>1465</v>
      </c>
    </row>
    <row r="85" spans="2:5" x14ac:dyDescent="0.25">
      <c r="B85" s="155" t="s">
        <v>378</v>
      </c>
      <c r="C85" s="159">
        <v>130</v>
      </c>
      <c r="D85" s="159">
        <v>90829</v>
      </c>
      <c r="E85" s="482">
        <v>0.9058984281496848</v>
      </c>
    </row>
    <row r="86" spans="2:5" x14ac:dyDescent="0.25">
      <c r="B86" s="148" t="s">
        <v>464</v>
      </c>
      <c r="C86" s="147">
        <v>112</v>
      </c>
      <c r="D86" s="147">
        <v>52578</v>
      </c>
      <c r="E86" s="164">
        <v>0.52439559562754323</v>
      </c>
    </row>
    <row r="87" spans="2:5" x14ac:dyDescent="0.25">
      <c r="B87" s="148" t="s">
        <v>466</v>
      </c>
      <c r="C87" s="147">
        <v>18</v>
      </c>
      <c r="D87" s="147">
        <v>38251</v>
      </c>
      <c r="E87" s="164">
        <v>0.38150283252214157</v>
      </c>
    </row>
    <row r="88" spans="2:5" x14ac:dyDescent="0.25">
      <c r="B88" s="165" t="s">
        <v>506</v>
      </c>
      <c r="C88" s="147">
        <v>34</v>
      </c>
      <c r="D88" s="147">
        <v>9435</v>
      </c>
      <c r="E88" s="164">
        <v>9.4101571850315174E-2</v>
      </c>
    </row>
    <row r="89" spans="2:5" x14ac:dyDescent="0.25">
      <c r="B89" s="148" t="s">
        <v>464</v>
      </c>
      <c r="C89" s="147">
        <v>33</v>
      </c>
      <c r="D89" s="147">
        <v>9043</v>
      </c>
      <c r="E89" s="164">
        <v>9.0191893401420253E-2</v>
      </c>
    </row>
    <row r="90" spans="2:5" x14ac:dyDescent="0.25">
      <c r="B90" s="148" t="s">
        <v>466</v>
      </c>
      <c r="C90" s="147">
        <v>1</v>
      </c>
      <c r="D90" s="147">
        <v>392</v>
      </c>
      <c r="E90" s="164">
        <v>3.9096784488949175E-3</v>
      </c>
    </row>
    <row r="91" spans="2:5" x14ac:dyDescent="0.25">
      <c r="B91" s="149" t="s">
        <v>411</v>
      </c>
      <c r="C91" s="150">
        <v>164</v>
      </c>
      <c r="D91" s="150">
        <v>100264</v>
      </c>
      <c r="E91" s="166">
        <v>1</v>
      </c>
    </row>
    <row r="92" spans="2:5" x14ac:dyDescent="0.25">
      <c r="B92" s="659"/>
      <c r="C92" s="659"/>
      <c r="D92" s="659"/>
      <c r="E92" s="659"/>
    </row>
    <row r="93" spans="2:5" x14ac:dyDescent="0.25">
      <c r="B93" s="659"/>
      <c r="C93" s="659"/>
      <c r="D93" s="659"/>
      <c r="E93" s="659"/>
    </row>
    <row r="94" spans="2:5" x14ac:dyDescent="0.25">
      <c r="B94" s="659"/>
      <c r="C94" s="659"/>
      <c r="D94" s="659"/>
      <c r="E94" s="659"/>
    </row>
    <row r="95" spans="2:5" x14ac:dyDescent="0.25">
      <c r="B95" s="659"/>
      <c r="C95" s="659"/>
      <c r="D95" s="659"/>
      <c r="E95" s="659"/>
    </row>
    <row r="96" spans="2:5" x14ac:dyDescent="0.25">
      <c r="B96" s="659"/>
      <c r="C96" s="659"/>
      <c r="D96" s="659"/>
      <c r="E96" s="659"/>
    </row>
    <row r="97" spans="2:5" x14ac:dyDescent="0.25">
      <c r="B97" s="659"/>
      <c r="C97" s="659"/>
      <c r="D97" s="659"/>
      <c r="E97" s="659"/>
    </row>
    <row r="98" spans="2:5" x14ac:dyDescent="0.25">
      <c r="B98" s="659"/>
      <c r="C98" s="659"/>
      <c r="D98" s="659"/>
      <c r="E98" s="659"/>
    </row>
    <row r="99" spans="2:5" x14ac:dyDescent="0.25">
      <c r="B99" s="659"/>
      <c r="C99" s="659"/>
      <c r="D99" s="659"/>
      <c r="E99" s="659"/>
    </row>
    <row r="100" spans="2:5" x14ac:dyDescent="0.25">
      <c r="B100" s="659"/>
      <c r="C100" s="659"/>
      <c r="D100" s="659"/>
      <c r="E100" s="659"/>
    </row>
    <row r="101" spans="2:5" x14ac:dyDescent="0.25">
      <c r="B101" s="659"/>
      <c r="C101" s="659"/>
      <c r="D101" s="659"/>
      <c r="E101" s="659"/>
    </row>
    <row r="102" spans="2:5" x14ac:dyDescent="0.25">
      <c r="B102" s="659"/>
      <c r="C102" s="659"/>
      <c r="D102" s="659"/>
      <c r="E102" s="659"/>
    </row>
    <row r="103" spans="2:5" x14ac:dyDescent="0.25">
      <c r="B103" s="659"/>
      <c r="C103" s="659"/>
      <c r="D103" s="659"/>
      <c r="E103" s="659"/>
    </row>
    <row r="104" spans="2:5" x14ac:dyDescent="0.25">
      <c r="B104" s="659"/>
      <c r="C104" s="659"/>
      <c r="D104" s="659"/>
      <c r="E104" s="659"/>
    </row>
    <row r="105" spans="2:5" x14ac:dyDescent="0.25">
      <c r="B105" s="659"/>
      <c r="C105" s="659"/>
      <c r="D105" s="659"/>
      <c r="E105" s="659"/>
    </row>
    <row r="106" spans="2:5" x14ac:dyDescent="0.25">
      <c r="B106" s="659"/>
      <c r="C106" s="659"/>
      <c r="D106" s="659"/>
      <c r="E106" s="659"/>
    </row>
    <row r="107" spans="2:5" x14ac:dyDescent="0.25">
      <c r="B107" s="659"/>
      <c r="C107" s="659"/>
      <c r="D107" s="659"/>
      <c r="E107" s="659"/>
    </row>
    <row r="108" spans="2:5" x14ac:dyDescent="0.25">
      <c r="B108" s="659"/>
      <c r="C108" s="659"/>
      <c r="D108" s="659"/>
      <c r="E108" s="659"/>
    </row>
    <row r="109" spans="2:5" x14ac:dyDescent="0.25">
      <c r="B109" s="659"/>
      <c r="C109" s="659"/>
      <c r="D109" s="659"/>
      <c r="E109" s="659"/>
    </row>
    <row r="110" spans="2:5" x14ac:dyDescent="0.25">
      <c r="B110" s="659"/>
      <c r="C110" s="659"/>
      <c r="D110" s="659"/>
      <c r="E110" s="659"/>
    </row>
    <row r="111" spans="2:5" x14ac:dyDescent="0.25">
      <c r="B111" s="659"/>
      <c r="C111" s="659"/>
      <c r="D111" s="659"/>
      <c r="E111" s="659"/>
    </row>
    <row r="112" spans="2:5" x14ac:dyDescent="0.25">
      <c r="B112" s="659"/>
      <c r="C112" s="659"/>
      <c r="D112" s="659"/>
      <c r="E112" s="659"/>
    </row>
    <row r="113" spans="2:5" x14ac:dyDescent="0.25">
      <c r="B113" s="659"/>
      <c r="C113" s="659"/>
      <c r="D113" s="659"/>
      <c r="E113" s="659"/>
    </row>
    <row r="114" spans="2:5" x14ac:dyDescent="0.25">
      <c r="B114" s="659"/>
      <c r="C114" s="659"/>
      <c r="D114" s="659"/>
      <c r="E114" s="659"/>
    </row>
    <row r="115" spans="2:5" x14ac:dyDescent="0.25">
      <c r="B115" s="659"/>
      <c r="C115" s="659"/>
      <c r="D115" s="659"/>
      <c r="E115" s="659"/>
    </row>
    <row r="116" spans="2:5" x14ac:dyDescent="0.25">
      <c r="B116" s="659"/>
      <c r="C116" s="659"/>
      <c r="D116" s="659"/>
      <c r="E116" s="659"/>
    </row>
    <row r="117" spans="2:5" x14ac:dyDescent="0.25">
      <c r="B117" s="659"/>
      <c r="C117" s="659"/>
      <c r="D117" s="659"/>
      <c r="E117" s="659"/>
    </row>
    <row r="118" spans="2:5" x14ac:dyDescent="0.25">
      <c r="B118" s="659"/>
      <c r="C118" s="659"/>
      <c r="D118" s="659"/>
      <c r="E118" s="659"/>
    </row>
    <row r="119" spans="2:5" x14ac:dyDescent="0.25">
      <c r="B119" s="659"/>
      <c r="C119" s="659"/>
      <c r="D119" s="659"/>
      <c r="E119" s="659"/>
    </row>
    <row r="120" spans="2:5" x14ac:dyDescent="0.25">
      <c r="B120" s="659"/>
      <c r="C120" s="659"/>
      <c r="D120" s="659"/>
      <c r="E120" s="659"/>
    </row>
    <row r="121" spans="2:5" x14ac:dyDescent="0.25">
      <c r="B121" s="659"/>
      <c r="C121" s="659"/>
      <c r="D121" s="659"/>
      <c r="E121" s="659"/>
    </row>
    <row r="122" spans="2:5" x14ac:dyDescent="0.25">
      <c r="B122" s="659"/>
      <c r="C122" s="659"/>
      <c r="D122" s="659"/>
      <c r="E122" s="659"/>
    </row>
    <row r="123" spans="2:5" x14ac:dyDescent="0.25">
      <c r="B123" s="659"/>
      <c r="C123" s="659"/>
      <c r="D123" s="659"/>
      <c r="E123" s="659"/>
    </row>
    <row r="124" spans="2:5" x14ac:dyDescent="0.25">
      <c r="B124" s="659"/>
      <c r="C124" s="659"/>
      <c r="D124" s="659"/>
      <c r="E124" s="659"/>
    </row>
    <row r="125" spans="2:5" x14ac:dyDescent="0.25">
      <c r="B125" s="659"/>
      <c r="C125" s="659"/>
      <c r="D125" s="659"/>
      <c r="E125" s="659"/>
    </row>
    <row r="126" spans="2:5" x14ac:dyDescent="0.25">
      <c r="B126" s="659"/>
      <c r="C126" s="659"/>
      <c r="D126" s="659"/>
      <c r="E126" s="659"/>
    </row>
    <row r="127" spans="2:5" x14ac:dyDescent="0.25">
      <c r="B127" s="659"/>
      <c r="C127" s="659"/>
      <c r="D127" s="659"/>
      <c r="E127" s="659"/>
    </row>
    <row r="128" spans="2:5" x14ac:dyDescent="0.25">
      <c r="B128" s="659"/>
      <c r="C128" s="659"/>
      <c r="D128" s="659"/>
      <c r="E128" s="659"/>
    </row>
    <row r="129" spans="2:5" x14ac:dyDescent="0.25">
      <c r="B129" s="659"/>
      <c r="C129" s="659"/>
      <c r="D129" s="659"/>
      <c r="E129" s="659"/>
    </row>
    <row r="130" spans="2:5" x14ac:dyDescent="0.25">
      <c r="B130" s="659"/>
      <c r="C130" s="659"/>
      <c r="D130" s="659"/>
      <c r="E130" s="659"/>
    </row>
    <row r="131" spans="2:5" x14ac:dyDescent="0.25">
      <c r="B131" s="659"/>
      <c r="C131" s="659"/>
      <c r="D131" s="659"/>
      <c r="E131" s="659"/>
    </row>
    <row r="132" spans="2:5" x14ac:dyDescent="0.25">
      <c r="B132" s="659"/>
      <c r="C132" s="659"/>
      <c r="D132" s="659"/>
      <c r="E132" s="659"/>
    </row>
    <row r="133" spans="2:5" x14ac:dyDescent="0.25">
      <c r="B133" s="659"/>
      <c r="C133" s="659"/>
      <c r="D133" s="659"/>
      <c r="E133" s="659"/>
    </row>
    <row r="134" spans="2:5" x14ac:dyDescent="0.25">
      <c r="B134" s="659"/>
      <c r="C134" s="659"/>
      <c r="D134" s="659"/>
      <c r="E134" s="659"/>
    </row>
    <row r="135" spans="2:5" x14ac:dyDescent="0.25">
      <c r="B135" s="659"/>
      <c r="C135" s="659"/>
      <c r="D135" s="659"/>
      <c r="E135" s="659"/>
    </row>
    <row r="136" spans="2:5" x14ac:dyDescent="0.25">
      <c r="B136" s="659"/>
      <c r="C136" s="659"/>
      <c r="D136" s="659"/>
      <c r="E136" s="659"/>
    </row>
    <row r="137" spans="2:5" x14ac:dyDescent="0.25">
      <c r="B137" s="659"/>
      <c r="C137" s="659"/>
      <c r="D137" s="659"/>
      <c r="E137" s="659"/>
    </row>
    <row r="138" spans="2:5" x14ac:dyDescent="0.25">
      <c r="B138" s="659"/>
      <c r="C138" s="659"/>
      <c r="D138" s="659"/>
      <c r="E138" s="659"/>
    </row>
    <row r="139" spans="2:5" x14ac:dyDescent="0.25">
      <c r="B139" s="659"/>
      <c r="C139" s="659"/>
      <c r="D139" s="659"/>
      <c r="E139" s="659"/>
    </row>
    <row r="140" spans="2:5" x14ac:dyDescent="0.25">
      <c r="B140" s="659"/>
      <c r="C140" s="659"/>
      <c r="D140" s="659"/>
      <c r="E140" s="659"/>
    </row>
    <row r="141" spans="2:5" x14ac:dyDescent="0.25">
      <c r="B141" s="659"/>
      <c r="C141" s="659"/>
      <c r="D141" s="659"/>
      <c r="E141" s="659"/>
    </row>
    <row r="142" spans="2:5" x14ac:dyDescent="0.25">
      <c r="B142" s="659"/>
      <c r="C142" s="659"/>
      <c r="D142" s="659"/>
      <c r="E142" s="659"/>
    </row>
    <row r="143" spans="2:5" x14ac:dyDescent="0.25">
      <c r="B143" s="659"/>
      <c r="C143" s="659"/>
      <c r="D143" s="659"/>
      <c r="E143" s="659"/>
    </row>
    <row r="144" spans="2:5" x14ac:dyDescent="0.25">
      <c r="B144" s="659"/>
      <c r="C144" s="659"/>
      <c r="D144" s="659"/>
      <c r="E144" s="659"/>
    </row>
    <row r="145" spans="2:5" x14ac:dyDescent="0.25">
      <c r="B145" s="659"/>
      <c r="C145" s="659"/>
      <c r="D145" s="659"/>
      <c r="E145" s="659"/>
    </row>
    <row r="146" spans="2:5" x14ac:dyDescent="0.25">
      <c r="B146" s="659"/>
      <c r="C146" s="659"/>
      <c r="D146" s="659"/>
      <c r="E146" s="659"/>
    </row>
    <row r="147" spans="2:5" x14ac:dyDescent="0.25">
      <c r="B147" s="659"/>
      <c r="C147" s="659"/>
      <c r="D147" s="659"/>
      <c r="E147" s="659"/>
    </row>
    <row r="148" spans="2:5" x14ac:dyDescent="0.25">
      <c r="B148" s="659"/>
      <c r="C148" s="659"/>
      <c r="D148" s="659"/>
      <c r="E148" s="659"/>
    </row>
    <row r="149" spans="2:5" x14ac:dyDescent="0.25">
      <c r="B149" s="659"/>
      <c r="C149" s="659"/>
      <c r="D149" s="659"/>
      <c r="E149" s="659"/>
    </row>
    <row r="150" spans="2:5" x14ac:dyDescent="0.25">
      <c r="B150" s="659"/>
      <c r="C150" s="659"/>
      <c r="D150" s="659"/>
      <c r="E150" s="659"/>
    </row>
    <row r="151" spans="2:5" x14ac:dyDescent="0.25">
      <c r="B151" s="659"/>
      <c r="C151" s="659"/>
      <c r="D151" s="659"/>
      <c r="E151" s="659"/>
    </row>
    <row r="152" spans="2:5" x14ac:dyDescent="0.25">
      <c r="B152" s="659"/>
      <c r="C152" s="659"/>
      <c r="D152" s="659"/>
      <c r="E152" s="659"/>
    </row>
    <row r="153" spans="2:5" x14ac:dyDescent="0.25">
      <c r="B153" s="659"/>
      <c r="C153" s="659"/>
      <c r="D153" s="659"/>
      <c r="E153" s="659"/>
    </row>
    <row r="154" spans="2:5" x14ac:dyDescent="0.25">
      <c r="B154" s="659"/>
      <c r="C154" s="659"/>
      <c r="D154" s="659"/>
      <c r="E154" s="659"/>
    </row>
    <row r="155" spans="2:5" x14ac:dyDescent="0.25">
      <c r="B155" s="659"/>
      <c r="C155" s="659"/>
      <c r="D155" s="659"/>
      <c r="E155" s="659"/>
    </row>
    <row r="156" spans="2:5" x14ac:dyDescent="0.25">
      <c r="B156" s="659"/>
      <c r="C156" s="659"/>
      <c r="D156" s="659"/>
      <c r="E156" s="659"/>
    </row>
    <row r="157" spans="2:5" x14ac:dyDescent="0.25">
      <c r="B157" s="659"/>
      <c r="C157" s="659"/>
      <c r="D157" s="659"/>
      <c r="E157" s="659"/>
    </row>
    <row r="158" spans="2:5" x14ac:dyDescent="0.25">
      <c r="B158" s="659"/>
      <c r="C158" s="659"/>
      <c r="D158" s="659"/>
      <c r="E158" s="659"/>
    </row>
    <row r="159" spans="2:5" x14ac:dyDescent="0.25">
      <c r="B159" s="659"/>
      <c r="C159" s="659"/>
      <c r="D159" s="659"/>
      <c r="E159" s="659"/>
    </row>
    <row r="160" spans="2:5" x14ac:dyDescent="0.25">
      <c r="B160" s="659"/>
      <c r="C160" s="659"/>
      <c r="D160" s="659"/>
      <c r="E160" s="659"/>
    </row>
    <row r="161" spans="2:5" x14ac:dyDescent="0.25">
      <c r="B161" s="659"/>
      <c r="C161" s="659"/>
      <c r="D161" s="659"/>
      <c r="E161" s="659"/>
    </row>
    <row r="162" spans="2:5" x14ac:dyDescent="0.25">
      <c r="B162" s="659"/>
      <c r="C162" s="659"/>
      <c r="D162" s="659"/>
      <c r="E162" s="659"/>
    </row>
    <row r="163" spans="2:5" x14ac:dyDescent="0.25">
      <c r="B163" s="659"/>
      <c r="C163" s="659"/>
      <c r="D163" s="659"/>
      <c r="E163" s="659"/>
    </row>
    <row r="164" spans="2:5" x14ac:dyDescent="0.25">
      <c r="B164" s="659"/>
      <c r="C164" s="659"/>
      <c r="D164" s="659"/>
      <c r="E164" s="659"/>
    </row>
    <row r="165" spans="2:5" x14ac:dyDescent="0.25">
      <c r="B165" s="659"/>
      <c r="C165" s="659"/>
      <c r="D165" s="659"/>
      <c r="E165" s="659"/>
    </row>
    <row r="166" spans="2:5" x14ac:dyDescent="0.25">
      <c r="B166" s="659"/>
      <c r="C166" s="659"/>
      <c r="D166" s="659"/>
      <c r="E166" s="659"/>
    </row>
    <row r="167" spans="2:5" x14ac:dyDescent="0.25">
      <c r="B167" s="659"/>
      <c r="C167" s="659"/>
      <c r="D167" s="659"/>
      <c r="E167" s="659"/>
    </row>
    <row r="168" spans="2:5" x14ac:dyDescent="0.25">
      <c r="B168" s="659"/>
      <c r="C168" s="659"/>
      <c r="D168" s="659"/>
      <c r="E168" s="659"/>
    </row>
    <row r="169" spans="2:5" x14ac:dyDescent="0.25">
      <c r="B169" s="659"/>
      <c r="C169" s="659"/>
      <c r="D169" s="659"/>
      <c r="E169" s="659"/>
    </row>
    <row r="170" spans="2:5" x14ac:dyDescent="0.25">
      <c r="B170" s="659"/>
      <c r="C170" s="659"/>
      <c r="D170" s="659"/>
      <c r="E170" s="659"/>
    </row>
    <row r="171" spans="2:5" x14ac:dyDescent="0.25">
      <c r="B171" s="659"/>
      <c r="C171" s="659"/>
      <c r="D171" s="659"/>
      <c r="E171" s="659"/>
    </row>
    <row r="172" spans="2:5" x14ac:dyDescent="0.25">
      <c r="B172" s="659"/>
      <c r="C172" s="659"/>
      <c r="D172" s="659"/>
      <c r="E172" s="659"/>
    </row>
    <row r="173" spans="2:5" x14ac:dyDescent="0.25">
      <c r="B173" s="659"/>
      <c r="C173" s="659"/>
      <c r="D173" s="659"/>
      <c r="E173" s="659"/>
    </row>
    <row r="174" spans="2:5" x14ac:dyDescent="0.25">
      <c r="B174" s="659"/>
      <c r="C174" s="659"/>
      <c r="D174" s="659"/>
      <c r="E174" s="659"/>
    </row>
    <row r="175" spans="2:5" x14ac:dyDescent="0.25">
      <c r="B175" s="659"/>
      <c r="C175" s="659"/>
      <c r="D175" s="659"/>
      <c r="E175" s="659"/>
    </row>
    <row r="176" spans="2:5" x14ac:dyDescent="0.25">
      <c r="B176" s="659"/>
      <c r="C176" s="659"/>
      <c r="D176" s="659"/>
      <c r="E176" s="659"/>
    </row>
    <row r="177" spans="2:5" x14ac:dyDescent="0.25">
      <c r="B177" s="659"/>
      <c r="C177" s="659"/>
      <c r="D177" s="659"/>
      <c r="E177" s="659"/>
    </row>
    <row r="178" spans="2:5" x14ac:dyDescent="0.25">
      <c r="B178" s="659"/>
      <c r="C178" s="659"/>
      <c r="D178" s="659"/>
      <c r="E178" s="659"/>
    </row>
    <row r="179" spans="2:5" x14ac:dyDescent="0.25">
      <c r="B179" s="659"/>
      <c r="C179" s="659"/>
      <c r="D179" s="659"/>
      <c r="E179" s="659"/>
    </row>
    <row r="180" spans="2:5" x14ac:dyDescent="0.25">
      <c r="B180" s="659"/>
      <c r="C180" s="659"/>
      <c r="D180" s="659"/>
      <c r="E180" s="659"/>
    </row>
    <row r="181" spans="2:5" x14ac:dyDescent="0.25">
      <c r="B181" s="659"/>
      <c r="C181" s="659"/>
      <c r="D181" s="659"/>
      <c r="E181" s="659"/>
    </row>
    <row r="182" spans="2:5" x14ac:dyDescent="0.25">
      <c r="B182" s="659"/>
      <c r="C182" s="659"/>
      <c r="D182" s="659"/>
      <c r="E182" s="659"/>
    </row>
    <row r="183" spans="2:5" x14ac:dyDescent="0.25">
      <c r="B183" s="659"/>
      <c r="C183" s="659"/>
      <c r="D183" s="659"/>
      <c r="E183" s="659"/>
    </row>
    <row r="184" spans="2:5" x14ac:dyDescent="0.25">
      <c r="B184" s="659"/>
      <c r="C184" s="659"/>
      <c r="D184" s="659"/>
      <c r="E184" s="659"/>
    </row>
    <row r="185" spans="2:5" x14ac:dyDescent="0.25">
      <c r="B185" s="659"/>
      <c r="C185" s="659"/>
      <c r="D185" s="659"/>
      <c r="E185" s="659"/>
    </row>
    <row r="186" spans="2:5" x14ac:dyDescent="0.25">
      <c r="B186" s="659"/>
      <c r="C186" s="659"/>
      <c r="D186" s="659"/>
      <c r="E186" s="659"/>
    </row>
    <row r="187" spans="2:5" x14ac:dyDescent="0.25">
      <c r="B187" s="659"/>
      <c r="C187" s="659"/>
      <c r="D187" s="659"/>
      <c r="E187" s="659"/>
    </row>
    <row r="188" spans="2:5" x14ac:dyDescent="0.25">
      <c r="B188" s="659"/>
      <c r="C188" s="659"/>
      <c r="D188" s="659"/>
      <c r="E188" s="659"/>
    </row>
    <row r="189" spans="2:5" x14ac:dyDescent="0.25">
      <c r="B189" s="659"/>
      <c r="C189" s="659"/>
      <c r="D189" s="659"/>
      <c r="E189" s="659"/>
    </row>
    <row r="190" spans="2:5" x14ac:dyDescent="0.25">
      <c r="B190" s="659"/>
      <c r="C190" s="659"/>
      <c r="D190" s="659"/>
      <c r="E190" s="659"/>
    </row>
    <row r="191" spans="2:5" x14ac:dyDescent="0.25">
      <c r="B191" s="659"/>
      <c r="C191" s="659"/>
      <c r="D191" s="659"/>
      <c r="E191" s="659"/>
    </row>
    <row r="192" spans="2:5" x14ac:dyDescent="0.25">
      <c r="B192" s="659"/>
      <c r="C192" s="659"/>
      <c r="D192" s="659"/>
      <c r="E192" s="659"/>
    </row>
    <row r="193" spans="2:5" x14ac:dyDescent="0.25">
      <c r="B193" s="659"/>
      <c r="C193" s="659"/>
      <c r="D193" s="659"/>
      <c r="E193" s="659"/>
    </row>
    <row r="194" spans="2:5" x14ac:dyDescent="0.25">
      <c r="B194" s="659"/>
      <c r="C194" s="659"/>
      <c r="D194" s="659"/>
      <c r="E194" s="659"/>
    </row>
    <row r="195" spans="2:5" x14ac:dyDescent="0.25">
      <c r="B195" s="659"/>
      <c r="C195" s="659"/>
      <c r="D195" s="659"/>
      <c r="E195" s="659"/>
    </row>
    <row r="196" spans="2:5" x14ac:dyDescent="0.25">
      <c r="B196" s="659"/>
      <c r="C196" s="659"/>
      <c r="D196" s="659"/>
      <c r="E196" s="659"/>
    </row>
    <row r="197" spans="2:5" x14ac:dyDescent="0.25">
      <c r="B197" s="659"/>
      <c r="C197" s="659"/>
      <c r="D197" s="659"/>
      <c r="E197" s="659"/>
    </row>
    <row r="198" spans="2:5" x14ac:dyDescent="0.25">
      <c r="B198" s="659"/>
      <c r="C198" s="659"/>
      <c r="D198" s="659"/>
      <c r="E198" s="659"/>
    </row>
    <row r="199" spans="2:5" x14ac:dyDescent="0.25">
      <c r="B199" s="659"/>
      <c r="C199" s="659"/>
      <c r="D199" s="659"/>
      <c r="E199" s="659"/>
    </row>
    <row r="200" spans="2:5" x14ac:dyDescent="0.25">
      <c r="B200" s="659"/>
      <c r="C200" s="659"/>
      <c r="D200" s="659"/>
      <c r="E200" s="659"/>
    </row>
    <row r="201" spans="2:5" x14ac:dyDescent="0.25">
      <c r="B201" s="659"/>
      <c r="C201" s="659"/>
      <c r="D201" s="659"/>
      <c r="E201" s="659"/>
    </row>
    <row r="202" spans="2:5" x14ac:dyDescent="0.25">
      <c r="B202" s="659"/>
      <c r="C202" s="659"/>
      <c r="D202" s="659"/>
      <c r="E202" s="659"/>
    </row>
    <row r="203" spans="2:5" x14ac:dyDescent="0.25">
      <c r="B203" s="659"/>
      <c r="C203" s="659"/>
      <c r="D203" s="659"/>
      <c r="E203" s="659"/>
    </row>
    <row r="204" spans="2:5" x14ac:dyDescent="0.25">
      <c r="B204" s="659"/>
      <c r="C204" s="659"/>
      <c r="D204" s="659"/>
      <c r="E204" s="659"/>
    </row>
    <row r="205" spans="2:5" x14ac:dyDescent="0.25">
      <c r="B205" s="659"/>
      <c r="C205" s="659"/>
      <c r="D205" s="659"/>
      <c r="E205" s="659"/>
    </row>
    <row r="206" spans="2:5" x14ac:dyDescent="0.25">
      <c r="B206" s="659"/>
      <c r="C206" s="659"/>
      <c r="D206" s="659"/>
      <c r="E206" s="659"/>
    </row>
    <row r="207" spans="2:5" x14ac:dyDescent="0.25">
      <c r="B207" s="659"/>
      <c r="C207" s="659"/>
      <c r="D207" s="659"/>
      <c r="E207" s="659"/>
    </row>
    <row r="208" spans="2:5" x14ac:dyDescent="0.25">
      <c r="B208" s="659"/>
      <c r="C208" s="659"/>
      <c r="D208" s="659"/>
      <c r="E208" s="659"/>
    </row>
    <row r="209" spans="2:5" x14ac:dyDescent="0.25">
      <c r="B209" s="659"/>
      <c r="C209" s="659"/>
      <c r="D209" s="659"/>
      <c r="E209" s="659"/>
    </row>
    <row r="210" spans="2:5" x14ac:dyDescent="0.25">
      <c r="B210" s="659"/>
      <c r="C210" s="659"/>
      <c r="D210" s="659"/>
      <c r="E210" s="659"/>
    </row>
    <row r="211" spans="2:5" x14ac:dyDescent="0.25">
      <c r="B211" s="659"/>
      <c r="C211" s="659"/>
      <c r="D211" s="659"/>
      <c r="E211" s="659"/>
    </row>
    <row r="212" spans="2:5" x14ac:dyDescent="0.25">
      <c r="B212" s="659"/>
      <c r="C212" s="659"/>
      <c r="D212" s="659"/>
      <c r="E212" s="659"/>
    </row>
    <row r="213" spans="2:5" x14ac:dyDescent="0.25">
      <c r="B213" s="659"/>
      <c r="C213" s="659"/>
      <c r="D213" s="659"/>
      <c r="E213" s="659"/>
    </row>
    <row r="214" spans="2:5" x14ac:dyDescent="0.25">
      <c r="B214" s="659"/>
      <c r="C214" s="659"/>
      <c r="D214" s="659"/>
      <c r="E214" s="659"/>
    </row>
    <row r="215" spans="2:5" x14ac:dyDescent="0.25">
      <c r="B215" s="659"/>
      <c r="C215" s="659"/>
      <c r="D215" s="659"/>
      <c r="E215" s="659"/>
    </row>
    <row r="216" spans="2:5" x14ac:dyDescent="0.25">
      <c r="B216" s="659"/>
      <c r="C216" s="659"/>
      <c r="D216" s="659"/>
      <c r="E216" s="659"/>
    </row>
    <row r="217" spans="2:5" x14ac:dyDescent="0.25">
      <c r="B217" s="659"/>
      <c r="C217" s="659"/>
      <c r="D217" s="659"/>
      <c r="E217" s="659"/>
    </row>
    <row r="218" spans="2:5" x14ac:dyDescent="0.25">
      <c r="B218" s="659"/>
      <c r="C218" s="659"/>
      <c r="D218" s="659"/>
      <c r="E218" s="659"/>
    </row>
    <row r="219" spans="2:5" x14ac:dyDescent="0.25">
      <c r="B219" s="659"/>
      <c r="C219" s="659"/>
      <c r="D219" s="659"/>
      <c r="E219" s="659"/>
    </row>
    <row r="220" spans="2:5" x14ac:dyDescent="0.25">
      <c r="B220" s="659"/>
      <c r="C220" s="659"/>
      <c r="D220" s="659"/>
      <c r="E220" s="659"/>
    </row>
    <row r="221" spans="2:5" x14ac:dyDescent="0.25">
      <c r="B221" s="659"/>
      <c r="C221" s="659"/>
      <c r="D221" s="659"/>
      <c r="E221" s="659"/>
    </row>
    <row r="222" spans="2:5" x14ac:dyDescent="0.25">
      <c r="B222" s="659"/>
      <c r="C222" s="659"/>
      <c r="D222" s="659"/>
      <c r="E222" s="659"/>
    </row>
    <row r="223" spans="2:5" x14ac:dyDescent="0.25">
      <c r="B223" s="659"/>
      <c r="C223" s="659"/>
      <c r="D223" s="659"/>
      <c r="E223" s="659"/>
    </row>
    <row r="224" spans="2:5" x14ac:dyDescent="0.25">
      <c r="B224" s="659"/>
      <c r="C224" s="659"/>
      <c r="D224" s="659"/>
      <c r="E224" s="659"/>
    </row>
    <row r="225" spans="2:5" x14ac:dyDescent="0.25">
      <c r="B225" s="659"/>
      <c r="C225" s="659"/>
      <c r="D225" s="659"/>
      <c r="E225" s="659"/>
    </row>
    <row r="226" spans="2:5" x14ac:dyDescent="0.25">
      <c r="B226" s="659"/>
      <c r="C226" s="659"/>
      <c r="D226" s="659"/>
      <c r="E226" s="659"/>
    </row>
    <row r="227" spans="2:5" x14ac:dyDescent="0.25">
      <c r="B227" s="659"/>
      <c r="C227" s="659"/>
      <c r="D227" s="659"/>
      <c r="E227" s="659"/>
    </row>
    <row r="228" spans="2:5" x14ac:dyDescent="0.25">
      <c r="B228" s="659"/>
      <c r="C228" s="659"/>
      <c r="D228" s="659"/>
      <c r="E228" s="659"/>
    </row>
    <row r="229" spans="2:5" x14ac:dyDescent="0.25">
      <c r="B229" s="659"/>
      <c r="C229" s="659"/>
      <c r="D229" s="659"/>
      <c r="E229" s="659"/>
    </row>
    <row r="230" spans="2:5" x14ac:dyDescent="0.25">
      <c r="B230" s="659"/>
      <c r="C230" s="659"/>
      <c r="D230" s="659"/>
      <c r="E230" s="659"/>
    </row>
    <row r="231" spans="2:5" x14ac:dyDescent="0.25">
      <c r="B231" s="659"/>
      <c r="C231" s="659"/>
      <c r="D231" s="659"/>
      <c r="E231" s="659"/>
    </row>
    <row r="232" spans="2:5" x14ac:dyDescent="0.25">
      <c r="B232" s="659"/>
      <c r="C232" s="659"/>
      <c r="D232" s="659"/>
      <c r="E232" s="659"/>
    </row>
    <row r="233" spans="2:5" x14ac:dyDescent="0.25">
      <c r="B233" s="659"/>
      <c r="C233" s="659"/>
      <c r="D233" s="659"/>
      <c r="E233" s="659"/>
    </row>
    <row r="234" spans="2:5" x14ac:dyDescent="0.25">
      <c r="B234" s="659"/>
      <c r="C234" s="659"/>
      <c r="D234" s="659"/>
      <c r="E234" s="659"/>
    </row>
    <row r="235" spans="2:5" x14ac:dyDescent="0.25">
      <c r="B235" s="659"/>
      <c r="C235" s="659"/>
      <c r="D235" s="659"/>
      <c r="E235" s="659"/>
    </row>
    <row r="236" spans="2:5" x14ac:dyDescent="0.25">
      <c r="B236" s="659"/>
      <c r="C236" s="659"/>
      <c r="D236" s="659"/>
      <c r="E236" s="659"/>
    </row>
    <row r="237" spans="2:5" x14ac:dyDescent="0.25">
      <c r="B237" s="659"/>
      <c r="C237" s="659"/>
      <c r="D237" s="659"/>
      <c r="E237" s="659"/>
    </row>
    <row r="238" spans="2:5" x14ac:dyDescent="0.25">
      <c r="B238" s="659"/>
      <c r="C238" s="659"/>
      <c r="D238" s="659"/>
      <c r="E238" s="659"/>
    </row>
    <row r="239" spans="2:5" x14ac:dyDescent="0.25">
      <c r="B239" s="659"/>
      <c r="C239" s="659"/>
      <c r="D239" s="659"/>
      <c r="E239" s="659"/>
    </row>
    <row r="240" spans="2:5" x14ac:dyDescent="0.25">
      <c r="B240" s="659"/>
      <c r="C240" s="659"/>
      <c r="D240" s="659"/>
      <c r="E240" s="659"/>
    </row>
    <row r="241" spans="2:5" x14ac:dyDescent="0.25">
      <c r="B241" s="659"/>
      <c r="C241" s="659"/>
      <c r="D241" s="659"/>
      <c r="E241" s="659"/>
    </row>
    <row r="242" spans="2:5" x14ac:dyDescent="0.25">
      <c r="B242" s="659"/>
      <c r="C242" s="659"/>
      <c r="D242" s="659"/>
      <c r="E242" s="659"/>
    </row>
    <row r="243" spans="2:5" x14ac:dyDescent="0.25">
      <c r="B243" s="659"/>
      <c r="C243" s="659"/>
      <c r="D243" s="659"/>
      <c r="E243" s="659"/>
    </row>
    <row r="244" spans="2:5" x14ac:dyDescent="0.25">
      <c r="B244" s="659"/>
      <c r="C244" s="659"/>
      <c r="D244" s="659"/>
      <c r="E244" s="659"/>
    </row>
    <row r="245" spans="2:5" x14ac:dyDescent="0.25">
      <c r="B245" s="659"/>
      <c r="C245" s="659"/>
      <c r="D245" s="659"/>
      <c r="E245" s="659"/>
    </row>
    <row r="246" spans="2:5" x14ac:dyDescent="0.25">
      <c r="B246" s="659"/>
      <c r="C246" s="659"/>
      <c r="D246" s="659"/>
      <c r="E246" s="659"/>
    </row>
    <row r="247" spans="2:5" x14ac:dyDescent="0.25">
      <c r="B247" s="659"/>
      <c r="C247" s="659"/>
      <c r="D247" s="659"/>
      <c r="E247" s="659"/>
    </row>
    <row r="248" spans="2:5" x14ac:dyDescent="0.25">
      <c r="B248" s="659"/>
      <c r="C248" s="659"/>
      <c r="D248" s="659"/>
      <c r="E248" s="659"/>
    </row>
    <row r="249" spans="2:5" x14ac:dyDescent="0.25">
      <c r="B249" s="659"/>
      <c r="C249" s="659"/>
      <c r="D249" s="659"/>
      <c r="E249" s="659"/>
    </row>
    <row r="250" spans="2:5" x14ac:dyDescent="0.25">
      <c r="B250" s="659"/>
      <c r="C250" s="659"/>
      <c r="D250" s="659"/>
      <c r="E250" s="659"/>
    </row>
    <row r="251" spans="2:5" x14ac:dyDescent="0.25">
      <c r="B251" s="659"/>
      <c r="C251" s="659"/>
      <c r="D251" s="659"/>
      <c r="E251" s="659"/>
    </row>
    <row r="252" spans="2:5" x14ac:dyDescent="0.25">
      <c r="B252" s="659"/>
      <c r="C252" s="659"/>
      <c r="D252" s="659"/>
      <c r="E252" s="659"/>
    </row>
    <row r="253" spans="2:5" x14ac:dyDescent="0.25">
      <c r="B253" s="659"/>
      <c r="C253" s="659"/>
      <c r="D253" s="659"/>
      <c r="E253" s="659"/>
    </row>
    <row r="254" spans="2:5" x14ac:dyDescent="0.25">
      <c r="B254" s="659"/>
      <c r="C254" s="659"/>
      <c r="D254" s="659"/>
      <c r="E254" s="659"/>
    </row>
    <row r="255" spans="2:5" x14ac:dyDescent="0.25">
      <c r="B255" s="659"/>
      <c r="C255" s="659"/>
      <c r="D255" s="659"/>
      <c r="E255" s="659"/>
    </row>
    <row r="256" spans="2:5" x14ac:dyDescent="0.25">
      <c r="B256" s="659"/>
      <c r="C256" s="659"/>
      <c r="D256" s="659"/>
      <c r="E256" s="659"/>
    </row>
    <row r="257" spans="2:5" x14ac:dyDescent="0.25">
      <c r="B257" s="659"/>
      <c r="C257" s="659"/>
      <c r="D257" s="659"/>
      <c r="E257" s="659"/>
    </row>
    <row r="258" spans="2:5" x14ac:dyDescent="0.25">
      <c r="B258" s="659"/>
      <c r="C258" s="659"/>
      <c r="D258" s="659"/>
      <c r="E258" s="659"/>
    </row>
    <row r="259" spans="2:5" x14ac:dyDescent="0.25">
      <c r="B259" s="659"/>
      <c r="C259" s="659"/>
      <c r="D259" s="659"/>
      <c r="E259" s="659"/>
    </row>
    <row r="260" spans="2:5" x14ac:dyDescent="0.25">
      <c r="B260" s="659"/>
      <c r="C260" s="659"/>
      <c r="D260" s="659"/>
      <c r="E260" s="659"/>
    </row>
    <row r="261" spans="2:5" x14ac:dyDescent="0.25">
      <c r="B261" s="659"/>
      <c r="C261" s="659"/>
      <c r="D261" s="659"/>
      <c r="E261" s="659"/>
    </row>
    <row r="262" spans="2:5" x14ac:dyDescent="0.25">
      <c r="B262" s="659"/>
      <c r="C262" s="659"/>
      <c r="D262" s="659"/>
      <c r="E262" s="659"/>
    </row>
    <row r="263" spans="2:5" x14ac:dyDescent="0.25">
      <c r="B263" s="659"/>
      <c r="C263" s="659"/>
      <c r="D263" s="659"/>
      <c r="E263" s="659"/>
    </row>
    <row r="264" spans="2:5" x14ac:dyDescent="0.25">
      <c r="B264" s="659"/>
      <c r="C264" s="659"/>
      <c r="D264" s="659"/>
      <c r="E264" s="659"/>
    </row>
    <row r="265" spans="2:5" x14ac:dyDescent="0.25">
      <c r="B265" s="659"/>
      <c r="C265" s="659"/>
      <c r="D265" s="659"/>
      <c r="E265" s="659"/>
    </row>
    <row r="266" spans="2:5" x14ac:dyDescent="0.25">
      <c r="B266" s="659"/>
      <c r="C266" s="659"/>
      <c r="D266" s="659"/>
      <c r="E266" s="659"/>
    </row>
    <row r="267" spans="2:5" x14ac:dyDescent="0.25">
      <c r="B267" s="659"/>
      <c r="C267" s="659"/>
      <c r="D267" s="659"/>
      <c r="E267" s="659"/>
    </row>
    <row r="268" spans="2:5" x14ac:dyDescent="0.25">
      <c r="B268" s="659"/>
      <c r="C268" s="659"/>
      <c r="D268" s="659"/>
      <c r="E268" s="659"/>
    </row>
  </sheetData>
  <mergeCells count="12">
    <mergeCell ref="O4:T4"/>
    <mergeCell ref="M9:U9"/>
    <mergeCell ref="Z7:Z8"/>
    <mergeCell ref="Z5:Z6"/>
    <mergeCell ref="M5:U6"/>
    <mergeCell ref="M7:U8"/>
    <mergeCell ref="X4:Z4"/>
    <mergeCell ref="B3:D3"/>
    <mergeCell ref="B79:E80"/>
    <mergeCell ref="M4:N4"/>
    <mergeCell ref="B52:E53"/>
    <mergeCell ref="B65:E66"/>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opLeftCell="A4" zoomScale="90" zoomScaleNormal="90" zoomScaleSheetLayoutView="100" workbookViewId="0">
      <selection activeCell="N57" sqref="N57"/>
    </sheetView>
  </sheetViews>
  <sheetFormatPr defaultColWidth="9.140625" defaultRowHeight="15" x14ac:dyDescent="0.25"/>
  <cols>
    <col min="1" max="1" width="1.140625" style="195" customWidth="1"/>
    <col min="2" max="2" width="21.140625" style="195" customWidth="1"/>
    <col min="3" max="3" width="10" style="195" customWidth="1"/>
    <col min="4" max="4" width="9.85546875" style="195" customWidth="1"/>
    <col min="5" max="5" width="9.7109375" style="195" customWidth="1"/>
    <col min="6" max="6" width="10.85546875" style="195" customWidth="1"/>
    <col min="7" max="7" width="11.140625" style="195" customWidth="1"/>
    <col min="8" max="8" width="11.5703125" style="195" customWidth="1"/>
    <col min="9" max="9" width="9" style="195" customWidth="1"/>
    <col min="10" max="10" width="8.28515625" style="195" customWidth="1"/>
    <col min="11" max="11" width="7.7109375" style="195" customWidth="1"/>
    <col min="12" max="12" width="9.7109375" style="195" customWidth="1"/>
    <col min="13" max="13" width="5.140625" style="195" customWidth="1"/>
    <col min="14" max="15" width="9.7109375" style="195" customWidth="1"/>
    <col min="16" max="16" width="9" style="195" customWidth="1"/>
    <col min="17" max="17" width="0.7109375" style="195" customWidth="1"/>
    <col min="18" max="18" width="26.42578125" style="195" customWidth="1"/>
    <col min="19" max="19" width="1" style="195" customWidth="1"/>
    <col min="20" max="20" width="2.85546875" style="195" customWidth="1"/>
    <col min="21" max="21" width="7.140625" style="287" customWidth="1"/>
    <col min="22" max="22" width="16.7109375" style="287" customWidth="1"/>
    <col min="23" max="25" width="7.140625" style="411" customWidth="1"/>
    <col min="26" max="26" width="13" style="411" customWidth="1"/>
    <col min="27" max="27" width="12" style="411" customWidth="1"/>
    <col min="28" max="28" width="14.140625" style="411" customWidth="1"/>
    <col min="29" max="33" width="7.140625" style="411" customWidth="1"/>
    <col min="34" max="34" width="3.85546875" style="412" customWidth="1"/>
    <col min="35" max="35" width="14.5703125" style="412" bestFit="1" customWidth="1"/>
    <col min="36" max="36" width="31.42578125" style="412" bestFit="1" customWidth="1"/>
    <col min="37" max="39" width="8" style="412" bestFit="1" customWidth="1"/>
    <col min="40" max="40" width="9.7109375" style="412" bestFit="1" customWidth="1"/>
    <col min="41" max="46" width="9.140625" style="412"/>
    <col min="47" max="51" width="9.140625" style="411"/>
    <col min="52" max="53" width="9.140625" style="287"/>
    <col min="54" max="16384" width="9.140625" style="195"/>
  </cols>
  <sheetData>
    <row r="1" spans="1:53" ht="4.5" customHeight="1" thickBot="1" x14ac:dyDescent="0.3"/>
    <row r="2" spans="1:53" ht="6" customHeight="1" x14ac:dyDescent="0.25">
      <c r="A2" s="413"/>
      <c r="B2" s="414"/>
      <c r="C2" s="414"/>
      <c r="D2" s="414"/>
      <c r="E2" s="414"/>
      <c r="F2" s="414"/>
      <c r="G2" s="414"/>
      <c r="H2" s="414"/>
      <c r="I2" s="414"/>
      <c r="J2" s="414"/>
      <c r="K2" s="414"/>
      <c r="L2" s="414"/>
      <c r="M2" s="414"/>
      <c r="N2" s="414"/>
      <c r="O2" s="414"/>
      <c r="P2" s="414"/>
      <c r="Q2" s="414"/>
      <c r="R2" s="414"/>
      <c r="S2" s="415"/>
    </row>
    <row r="3" spans="1:53" s="191" customFormat="1" ht="4.5" customHeight="1" x14ac:dyDescent="0.25">
      <c r="A3" s="416"/>
      <c r="B3" s="420"/>
      <c r="C3" s="420"/>
      <c r="D3" s="420"/>
      <c r="E3" s="420"/>
      <c r="F3" s="420"/>
      <c r="G3" s="420"/>
      <c r="H3" s="420"/>
      <c r="I3" s="420"/>
      <c r="J3" s="420"/>
      <c r="K3" s="420"/>
      <c r="L3" s="420"/>
      <c r="M3" s="420"/>
      <c r="N3" s="420"/>
      <c r="O3" s="420"/>
      <c r="P3" s="420"/>
      <c r="Q3" s="417"/>
      <c r="R3" s="417"/>
      <c r="S3" s="418"/>
      <c r="U3" s="288"/>
      <c r="V3" s="288"/>
      <c r="W3" s="419"/>
      <c r="X3" s="419"/>
      <c r="Y3" s="419"/>
      <c r="Z3" s="419"/>
      <c r="AA3" s="419"/>
      <c r="AB3" s="419"/>
      <c r="AC3" s="419"/>
      <c r="AD3" s="419"/>
      <c r="AE3" s="419"/>
      <c r="AF3" s="419"/>
      <c r="AG3" s="419"/>
      <c r="AH3" s="412"/>
      <c r="AI3" s="412"/>
      <c r="AJ3" s="412"/>
      <c r="AK3" s="412"/>
      <c r="AL3" s="412"/>
      <c r="AM3" s="412"/>
      <c r="AN3" s="412"/>
      <c r="AO3" s="412"/>
      <c r="AP3" s="412"/>
      <c r="AQ3" s="412"/>
      <c r="AR3" s="412"/>
      <c r="AS3" s="412"/>
      <c r="AT3" s="412"/>
      <c r="AU3" s="419"/>
      <c r="AV3" s="419"/>
      <c r="AW3" s="419"/>
      <c r="AX3" s="419"/>
      <c r="AY3" s="419"/>
      <c r="AZ3" s="288"/>
      <c r="BA3" s="288"/>
    </row>
    <row r="4" spans="1:53" s="191" customFormat="1" ht="26.25" customHeight="1" x14ac:dyDescent="0.25">
      <c r="A4" s="416"/>
      <c r="B4" s="762" t="s">
        <v>1429</v>
      </c>
      <c r="C4" s="762"/>
      <c r="D4" s="762"/>
      <c r="E4" s="762"/>
      <c r="F4" s="762"/>
      <c r="G4" s="762"/>
      <c r="H4" s="762"/>
      <c r="I4" s="762"/>
      <c r="J4" s="85"/>
      <c r="K4" s="85"/>
      <c r="L4" s="85"/>
      <c r="M4" s="85"/>
      <c r="N4" s="85"/>
      <c r="O4" s="85"/>
      <c r="P4" s="85"/>
      <c r="Q4" s="417"/>
      <c r="R4" s="417"/>
      <c r="S4" s="418"/>
      <c r="U4" s="288"/>
      <c r="V4" s="287"/>
      <c r="W4" s="411"/>
      <c r="X4" s="411"/>
      <c r="Y4" s="411"/>
      <c r="Z4" s="411"/>
      <c r="AA4" s="411"/>
      <c r="AB4" s="411"/>
      <c r="AC4" s="411"/>
      <c r="AD4" s="411"/>
      <c r="AE4" s="411"/>
      <c r="AF4" s="411"/>
      <c r="AG4" s="411"/>
      <c r="AH4" s="412"/>
      <c r="AI4" s="412"/>
      <c r="AJ4" s="412"/>
      <c r="AK4" s="412"/>
      <c r="AL4" s="412"/>
      <c r="AM4" s="412"/>
      <c r="AN4" s="412"/>
      <c r="AO4" s="412"/>
      <c r="AP4" s="412"/>
      <c r="AQ4" s="412"/>
      <c r="AR4" s="412"/>
      <c r="AS4" s="412"/>
      <c r="AT4" s="412"/>
      <c r="AU4" s="419"/>
      <c r="AV4" s="419"/>
      <c r="AW4" s="419"/>
      <c r="AX4" s="419"/>
      <c r="AY4" s="419"/>
      <c r="AZ4" s="288"/>
      <c r="BA4" s="288"/>
    </row>
    <row r="5" spans="1:53" s="324" customFormat="1" ht="23.25" customHeight="1" x14ac:dyDescent="0.25">
      <c r="A5" s="416"/>
      <c r="B5" s="763">
        <f>Definition!B23</f>
        <v>43160</v>
      </c>
      <c r="C5" s="763"/>
      <c r="D5" s="763"/>
      <c r="E5" s="763"/>
      <c r="F5" s="763"/>
      <c r="G5" s="763"/>
      <c r="H5" s="763"/>
      <c r="I5" s="763"/>
      <c r="J5" s="85"/>
      <c r="K5" s="85"/>
      <c r="L5" s="85"/>
      <c r="M5" s="85"/>
      <c r="N5" s="85"/>
      <c r="O5" s="85"/>
      <c r="P5" s="85"/>
      <c r="Q5" s="417"/>
      <c r="R5" s="417"/>
      <c r="S5" s="418"/>
      <c r="U5" s="197"/>
      <c r="V5" s="197"/>
      <c r="W5" s="411"/>
      <c r="X5" s="411"/>
      <c r="Y5" s="411"/>
      <c r="Z5" s="411"/>
      <c r="AA5" s="411"/>
      <c r="AB5" s="411"/>
      <c r="AC5" s="411"/>
      <c r="AD5" s="411"/>
      <c r="AE5" s="411"/>
      <c r="AF5" s="411"/>
      <c r="AG5" s="411"/>
      <c r="AH5" s="412"/>
      <c r="AI5" s="412"/>
      <c r="AJ5" s="412"/>
      <c r="AK5" s="412"/>
      <c r="AL5" s="412"/>
      <c r="AM5" s="412"/>
      <c r="AN5" s="412"/>
      <c r="AO5" s="412"/>
      <c r="AP5" s="412"/>
      <c r="AQ5" s="412"/>
      <c r="AR5" s="412"/>
      <c r="AS5" s="412"/>
      <c r="AT5" s="412"/>
      <c r="AU5" s="412"/>
      <c r="AV5" s="412"/>
      <c r="AW5" s="412"/>
      <c r="AX5" s="412"/>
      <c r="AY5" s="412"/>
      <c r="AZ5" s="197"/>
      <c r="BA5" s="197"/>
    </row>
    <row r="6" spans="1:53" ht="12" customHeight="1" x14ac:dyDescent="0.25">
      <c r="A6" s="421"/>
      <c r="B6" s="422"/>
      <c r="C6" s="422"/>
      <c r="D6" s="422"/>
      <c r="E6" s="422"/>
      <c r="F6" s="422"/>
      <c r="G6" s="422"/>
      <c r="H6" s="422"/>
      <c r="I6" s="422"/>
      <c r="J6" s="422"/>
      <c r="K6" s="422"/>
      <c r="L6" s="422"/>
      <c r="M6" s="204"/>
      <c r="N6" s="204"/>
      <c r="O6" s="204"/>
      <c r="P6" s="204"/>
      <c r="Q6" s="204"/>
      <c r="R6" s="204"/>
      <c r="S6" s="423"/>
      <c r="T6" s="424"/>
      <c r="U6" s="424"/>
      <c r="V6" s="424"/>
      <c r="W6" s="425"/>
      <c r="X6" s="425"/>
      <c r="Y6" s="425"/>
      <c r="Z6" s="425"/>
      <c r="AA6" s="425"/>
      <c r="AB6" s="425"/>
      <c r="AC6" s="425"/>
      <c r="AD6" s="425"/>
      <c r="AE6" s="425"/>
      <c r="AF6" s="425"/>
      <c r="AI6" s="412" t="s">
        <v>0</v>
      </c>
      <c r="AJ6" s="412" t="s">
        <v>1430</v>
      </c>
      <c r="AK6" s="412" t="s">
        <v>1431</v>
      </c>
      <c r="AL6" s="412" t="s">
        <v>1432</v>
      </c>
      <c r="AM6" s="412" t="s">
        <v>1433</v>
      </c>
    </row>
    <row r="7" spans="1:53" ht="12" customHeight="1" x14ac:dyDescent="0.25">
      <c r="A7" s="421"/>
      <c r="B7" s="422"/>
      <c r="C7" s="422"/>
      <c r="D7" s="422"/>
      <c r="E7" s="422"/>
      <c r="F7" s="422"/>
      <c r="G7" s="422"/>
      <c r="H7" s="422"/>
      <c r="I7" s="422"/>
      <c r="J7" s="422"/>
      <c r="K7" s="422"/>
      <c r="L7" s="422"/>
      <c r="M7" s="204"/>
      <c r="N7" s="204"/>
      <c r="O7" s="204"/>
      <c r="P7" s="204"/>
      <c r="Q7" s="204"/>
      <c r="R7" s="204"/>
      <c r="S7" s="426"/>
      <c r="AI7" s="412" t="s">
        <v>5</v>
      </c>
      <c r="AJ7" s="427" t="e">
        <v>#REF!</v>
      </c>
      <c r="AK7" s="427" t="e">
        <v>#REF!</v>
      </c>
      <c r="AL7" s="427" t="e">
        <v>#REF!</v>
      </c>
      <c r="AM7" s="427" t="e">
        <v>#REF!</v>
      </c>
    </row>
    <row r="8" spans="1:53" ht="12" customHeight="1" x14ac:dyDescent="0.25">
      <c r="A8" s="421"/>
      <c r="B8" s="422"/>
      <c r="C8" s="422"/>
      <c r="D8" s="422"/>
      <c r="E8" s="422"/>
      <c r="F8" s="422"/>
      <c r="G8" s="422"/>
      <c r="H8" s="422"/>
      <c r="I8" s="422"/>
      <c r="J8" s="422"/>
      <c r="K8" s="422"/>
      <c r="L8" s="422"/>
      <c r="M8" s="204"/>
      <c r="N8" s="204"/>
      <c r="O8" s="204"/>
      <c r="P8" s="204"/>
      <c r="Q8" s="204"/>
      <c r="R8" s="204"/>
      <c r="S8" s="426"/>
      <c r="AI8" s="412" t="s">
        <v>27</v>
      </c>
      <c r="AJ8" s="427" t="e">
        <v>#REF!</v>
      </c>
      <c r="AK8" s="427" t="e">
        <v>#REF!</v>
      </c>
      <c r="AL8" s="427" t="e">
        <v>#REF!</v>
      </c>
      <c r="AM8" s="427" t="e">
        <v>#REF!</v>
      </c>
    </row>
    <row r="9" spans="1:53" ht="12" customHeight="1" x14ac:dyDescent="0.25">
      <c r="A9" s="421"/>
      <c r="B9" s="422"/>
      <c r="C9" s="422"/>
      <c r="D9" s="422"/>
      <c r="E9" s="422"/>
      <c r="F9" s="422"/>
      <c r="G9" s="422"/>
      <c r="H9" s="422"/>
      <c r="I9" s="422"/>
      <c r="J9" s="422"/>
      <c r="K9" s="422"/>
      <c r="L9" s="422"/>
      <c r="M9" s="204"/>
      <c r="N9" s="204"/>
      <c r="O9" s="204"/>
      <c r="P9" s="204"/>
      <c r="Q9" s="204"/>
      <c r="R9" s="204"/>
      <c r="S9" s="426"/>
      <c r="AJ9" s="427" t="e">
        <v>#REF!</v>
      </c>
      <c r="AK9" s="427" t="e">
        <v>#REF!</v>
      </c>
      <c r="AL9" s="427" t="e">
        <v>#REF!</v>
      </c>
      <c r="AM9" s="427" t="e">
        <v>#REF!</v>
      </c>
    </row>
    <row r="10" spans="1:53" ht="12" customHeight="1" x14ac:dyDescent="0.25">
      <c r="A10" s="421"/>
      <c r="B10" s="422"/>
      <c r="C10" s="422"/>
      <c r="D10" s="422"/>
      <c r="E10" s="422"/>
      <c r="F10" s="422"/>
      <c r="G10" s="422"/>
      <c r="H10" s="422"/>
      <c r="I10" s="422"/>
      <c r="J10" s="422"/>
      <c r="K10" s="422"/>
      <c r="L10" s="422"/>
      <c r="M10" s="204"/>
      <c r="N10" s="204"/>
      <c r="O10" s="204"/>
      <c r="P10" s="204"/>
      <c r="Q10" s="204"/>
      <c r="R10" s="204"/>
      <c r="S10" s="426"/>
      <c r="AJ10" s="427" t="e">
        <v>#REF!</v>
      </c>
      <c r="AK10" s="427" t="e">
        <v>#REF!</v>
      </c>
      <c r="AL10" s="427" t="e">
        <v>#REF!</v>
      </c>
      <c r="AM10" s="427" t="e">
        <v>#REF!</v>
      </c>
    </row>
    <row r="11" spans="1:53" ht="8.25" customHeight="1" x14ac:dyDescent="0.25">
      <c r="A11" s="421"/>
      <c r="B11" s="422"/>
      <c r="C11" s="422"/>
      <c r="D11" s="422"/>
      <c r="E11" s="422"/>
      <c r="F11" s="422"/>
      <c r="G11" s="422"/>
      <c r="H11" s="422"/>
      <c r="I11" s="422"/>
      <c r="J11" s="422"/>
      <c r="K11" s="422"/>
      <c r="L11" s="422"/>
      <c r="M11" s="204"/>
      <c r="N11" s="204"/>
      <c r="O11" s="204"/>
      <c r="P11" s="204"/>
      <c r="Q11" s="204"/>
      <c r="R11" s="204"/>
      <c r="S11" s="426"/>
      <c r="AI11" s="412" t="s">
        <v>480</v>
      </c>
      <c r="AJ11" s="427" t="e">
        <v>#REF!</v>
      </c>
      <c r="AK11" s="427" t="e">
        <v>#REF!</v>
      </c>
      <c r="AL11" s="427" t="e">
        <v>#REF!</v>
      </c>
      <c r="AM11" s="427" t="e">
        <v>#REF!</v>
      </c>
    </row>
    <row r="12" spans="1:53" ht="8.25" customHeight="1" x14ac:dyDescent="0.25">
      <c r="A12" s="421"/>
      <c r="B12" s="422"/>
      <c r="C12" s="422"/>
      <c r="D12" s="422"/>
      <c r="E12" s="422"/>
      <c r="F12" s="422"/>
      <c r="G12" s="422"/>
      <c r="H12" s="422"/>
      <c r="I12" s="422"/>
      <c r="J12" s="422"/>
      <c r="K12" s="422"/>
      <c r="L12" s="422"/>
      <c r="M12" s="204"/>
      <c r="N12" s="204"/>
      <c r="O12" s="204"/>
      <c r="P12" s="204"/>
      <c r="Q12" s="204"/>
      <c r="R12" s="204"/>
      <c r="S12" s="426"/>
      <c r="AI12" s="412" t="s">
        <v>719</v>
      </c>
      <c r="AJ12" s="427" t="e">
        <v>#REF!</v>
      </c>
      <c r="AK12" s="427" t="e">
        <v>#REF!</v>
      </c>
      <c r="AL12" s="427" t="e">
        <v>#REF!</v>
      </c>
      <c r="AM12" s="427" t="e">
        <v>#REF!</v>
      </c>
    </row>
    <row r="13" spans="1:53" ht="18.75" customHeight="1" x14ac:dyDescent="0.25">
      <c r="A13" s="421"/>
      <c r="B13" s="276" t="s">
        <v>1153</v>
      </c>
      <c r="C13" s="277" t="s">
        <v>1434</v>
      </c>
      <c r="D13" s="277" t="s">
        <v>1435</v>
      </c>
      <c r="E13" s="277" t="s">
        <v>1031</v>
      </c>
      <c r="F13" s="422"/>
      <c r="G13" s="422"/>
      <c r="H13" s="422"/>
      <c r="I13" s="422"/>
      <c r="J13" s="422"/>
      <c r="K13" s="422"/>
      <c r="L13" s="422"/>
      <c r="M13" s="204"/>
      <c r="N13" s="204"/>
      <c r="O13" s="204"/>
      <c r="P13" s="204"/>
      <c r="Q13" s="204"/>
      <c r="R13" s="204"/>
      <c r="S13" s="426"/>
      <c r="AJ13" s="427" t="e">
        <v>#REF!</v>
      </c>
      <c r="AK13" s="427" t="e">
        <v>#REF!</v>
      </c>
      <c r="AL13" s="427" t="e">
        <v>#REF!</v>
      </c>
      <c r="AM13" s="427" t="e">
        <v>#REF!</v>
      </c>
    </row>
    <row r="14" spans="1:53" ht="18.75" customHeight="1" x14ac:dyDescent="0.25">
      <c r="A14" s="421"/>
      <c r="B14" s="278" t="s">
        <v>378</v>
      </c>
      <c r="C14" s="279"/>
      <c r="D14" s="279"/>
      <c r="E14" s="279"/>
      <c r="F14" s="204"/>
      <c r="G14" s="204"/>
      <c r="H14" s="204"/>
      <c r="I14" s="204"/>
      <c r="J14" s="204"/>
      <c r="K14" s="204"/>
      <c r="L14" s="204"/>
      <c r="M14" s="204"/>
      <c r="N14" s="204"/>
      <c r="O14" s="204"/>
      <c r="P14" s="204"/>
      <c r="Q14" s="428"/>
      <c r="R14" s="204"/>
      <c r="S14" s="426"/>
      <c r="AI14" s="429" t="s">
        <v>361</v>
      </c>
      <c r="AJ14" s="427" t="e">
        <v>#REF!</v>
      </c>
      <c r="AK14" s="427" t="e">
        <v>#REF!</v>
      </c>
      <c r="AL14" s="427" t="e">
        <v>#REF!</v>
      </c>
      <c r="AM14" s="427" t="e">
        <v>#REF!</v>
      </c>
    </row>
    <row r="15" spans="1:53" ht="12.95" customHeight="1" x14ac:dyDescent="0.25">
      <c r="A15" s="421"/>
      <c r="B15" s="280" t="s">
        <v>5</v>
      </c>
      <c r="C15" s="430">
        <f>SUMIFS(CampList[HH],CampList[Township],$B15,CampList[Status],"open",CampList[Affected Population],"IDP", CampList[State],"Kachin")</f>
        <v>1486</v>
      </c>
      <c r="D15" s="430">
        <f>SUMIFS(CampList[Total],CampList[Township],$B15,CampList[Status],"open",CampList[Affected Population],"IDP", CampList[State],"Kachin")</f>
        <v>8351</v>
      </c>
      <c r="E15" s="281">
        <f>COUNTIFS(CampList[Township],$B15,CampList[Status],"open",CampList[Affected Population],"IDP",CampList[State],"Kachin")</f>
        <v>11</v>
      </c>
      <c r="F15" s="204"/>
      <c r="G15" s="431"/>
      <c r="H15" s="204"/>
      <c r="I15" s="204"/>
      <c r="J15" s="204"/>
      <c r="K15" s="204"/>
      <c r="L15" s="204"/>
      <c r="M15" s="204"/>
      <c r="N15" s="204"/>
      <c r="O15" s="204"/>
      <c r="P15" s="204"/>
      <c r="Q15" s="428"/>
      <c r="R15" s="204"/>
      <c r="S15" s="426"/>
      <c r="AI15" s="412" t="s">
        <v>144</v>
      </c>
      <c r="AJ15" s="427" t="e">
        <v>#REF!</v>
      </c>
      <c r="AK15" s="427" t="e">
        <v>#REF!</v>
      </c>
      <c r="AL15" s="427" t="e">
        <v>#REF!</v>
      </c>
      <c r="AM15" s="427" t="e">
        <v>#REF!</v>
      </c>
    </row>
    <row r="16" spans="1:53" ht="12.95" customHeight="1" x14ac:dyDescent="0.25">
      <c r="A16" s="421"/>
      <c r="B16" s="280" t="s">
        <v>27</v>
      </c>
      <c r="C16" s="430">
        <f>SUMIFS(CampList[HH],CampList[Township],$B16,CampList[Status],"open",CampList[Affected Population],"IDP", CampList[State],"Kachin")</f>
        <v>497</v>
      </c>
      <c r="D16" s="430">
        <f>SUMIFS(CampList[Total],CampList[Township],$B16,CampList[Status],"open",CampList[Affected Population],"IDP", CampList[State],"Kachin")</f>
        <v>2471</v>
      </c>
      <c r="E16" s="281">
        <f>COUNTIFS(CampList[Township],$B16,CampList[Status],"open",CampList[Affected Population],"IDP",CampList[State],"Kachin")</f>
        <v>5</v>
      </c>
      <c r="F16" s="204"/>
      <c r="G16" s="431"/>
      <c r="H16" s="204"/>
      <c r="I16" s="204"/>
      <c r="J16" s="204"/>
      <c r="K16" s="204"/>
      <c r="L16" s="204"/>
      <c r="M16" s="204"/>
      <c r="N16" s="204"/>
      <c r="O16" s="204"/>
      <c r="P16" s="204"/>
      <c r="Q16" s="204"/>
      <c r="R16" s="204"/>
      <c r="S16" s="426"/>
      <c r="AI16" s="412" t="s">
        <v>146</v>
      </c>
      <c r="AJ16" s="427" t="e">
        <v>#REF!</v>
      </c>
      <c r="AK16" s="427" t="e">
        <v>#REF!</v>
      </c>
      <c r="AL16" s="427" t="e">
        <v>#REF!</v>
      </c>
      <c r="AM16" s="427" t="e">
        <v>#REF!</v>
      </c>
    </row>
    <row r="17" spans="1:42" ht="12.95" customHeight="1" x14ac:dyDescent="0.25">
      <c r="A17" s="421"/>
      <c r="B17" s="280" t="s">
        <v>480</v>
      </c>
      <c r="C17" s="430">
        <f>SUMIFS(CampList[HH],CampList[Township],$B17,CampList[Status],"open",CampList[Affected Population],"IDP", CampList[State],"Kachin")</f>
        <v>701</v>
      </c>
      <c r="D17" s="430">
        <f>SUMIFS(CampList[Total],CampList[Township],$B17,CampList[Status],"open",CampList[Affected Population],"IDP", CampList[State],"Kachin")</f>
        <v>3554</v>
      </c>
      <c r="E17" s="281">
        <f>COUNTIFS(CampList[Township],$B17,CampList[Status],"open",CampList[Affected Population],"IDP",CampList[State],"Kachin")</f>
        <v>21</v>
      </c>
      <c r="F17" s="204"/>
      <c r="G17" s="431"/>
      <c r="H17" s="204"/>
      <c r="I17" s="204"/>
      <c r="J17" s="204"/>
      <c r="K17" s="204"/>
      <c r="L17" s="204"/>
      <c r="M17" s="204"/>
      <c r="N17" s="204"/>
      <c r="O17" s="204"/>
      <c r="P17" s="204"/>
      <c r="Q17" s="204"/>
      <c r="R17" s="204"/>
      <c r="S17" s="426"/>
      <c r="AI17" s="412" t="s">
        <v>818</v>
      </c>
      <c r="AJ17" s="427" t="e">
        <v>#REF!</v>
      </c>
      <c r="AK17" s="427" t="e">
        <v>#REF!</v>
      </c>
      <c r="AL17" s="427" t="e">
        <v>#REF!</v>
      </c>
      <c r="AM17" s="427" t="e">
        <v>#REF!</v>
      </c>
    </row>
    <row r="18" spans="1:42" ht="12.95" customHeight="1" x14ac:dyDescent="0.25">
      <c r="A18" s="421"/>
      <c r="B18" s="280" t="s">
        <v>361</v>
      </c>
      <c r="C18" s="430">
        <f>SUMIFS(CampList[HH],CampList[Township],$B18,CampList[Status],"open",CampList[Affected Population],"IDP", CampList[State],"Kachin")</f>
        <v>0</v>
      </c>
      <c r="D18" s="430">
        <f>SUMIFS(CampList[Total],CampList[Township],$B18,CampList[Status],"open",CampList[Affected Population],"IDP", CampList[State],"Kachin")</f>
        <v>0</v>
      </c>
      <c r="E18" s="281">
        <f>COUNTIFS(CampList[Township],$B18,CampList[Status],"open",CampList[Affected Population],"IDP",CampList[State],"Kachin")</f>
        <v>0</v>
      </c>
      <c r="F18" s="204"/>
      <c r="G18" s="204"/>
      <c r="H18" s="204"/>
      <c r="I18" s="204"/>
      <c r="J18" s="204"/>
      <c r="K18" s="204"/>
      <c r="L18" s="204"/>
      <c r="M18" s="204"/>
      <c r="N18" s="204"/>
      <c r="O18" s="204"/>
      <c r="P18" s="204"/>
      <c r="Q18" s="204"/>
      <c r="R18" s="204"/>
      <c r="S18" s="426"/>
      <c r="AI18" s="412" t="s">
        <v>151</v>
      </c>
      <c r="AJ18" s="427" t="e">
        <v>#REF!</v>
      </c>
      <c r="AK18" s="427" t="e">
        <v>#REF!</v>
      </c>
      <c r="AL18" s="427" t="e">
        <v>#REF!</v>
      </c>
      <c r="AM18" s="427" t="e">
        <v>#REF!</v>
      </c>
      <c r="AP18" s="193"/>
    </row>
    <row r="19" spans="1:42" ht="12.95" customHeight="1" x14ac:dyDescent="0.25">
      <c r="A19" s="421"/>
      <c r="B19" s="280" t="s">
        <v>144</v>
      </c>
      <c r="C19" s="430">
        <f>SUMIFS(CampList[HH],CampList[Township],$B19,CampList[Status],"open",CampList[Affected Population],"IDP", CampList[State],"Kachin")</f>
        <v>0</v>
      </c>
      <c r="D19" s="430">
        <f>SUMIFS(CampList[Total],CampList[Township],$B19,CampList[Status],"open",CampList[Affected Population],"IDP", CampList[State],"Kachin")</f>
        <v>0</v>
      </c>
      <c r="E19" s="281">
        <f>COUNTIFS(CampList[Township],$B19,CampList[Status],"open",CampList[Affected Population],"IDP",CampList[State],"Kachin")</f>
        <v>0</v>
      </c>
      <c r="F19" s="204"/>
      <c r="G19" s="204"/>
      <c r="H19" s="204"/>
      <c r="I19" s="204"/>
      <c r="J19" s="204"/>
      <c r="K19" s="204"/>
      <c r="L19" s="204"/>
      <c r="M19" s="204"/>
      <c r="N19" s="204"/>
      <c r="O19" s="204"/>
      <c r="P19" s="204"/>
      <c r="Q19" s="204"/>
      <c r="R19" s="204"/>
      <c r="S19" s="426"/>
      <c r="T19" s="195">
        <f>V25</f>
        <v>0</v>
      </c>
      <c r="AI19" s="412" t="s">
        <v>166</v>
      </c>
      <c r="AJ19" s="427" t="e">
        <v>#REF!</v>
      </c>
      <c r="AK19" s="427" t="e">
        <v>#REF!</v>
      </c>
      <c r="AL19" s="427" t="e">
        <v>#REF!</v>
      </c>
      <c r="AM19" s="427" t="e">
        <v>#REF!</v>
      </c>
      <c r="AP19" s="193"/>
    </row>
    <row r="20" spans="1:42" ht="12.95" customHeight="1" x14ac:dyDescent="0.25">
      <c r="A20" s="421"/>
      <c r="B20" s="280" t="s">
        <v>818</v>
      </c>
      <c r="C20" s="430">
        <f>SUMIFS(CampList[HH],CampList[Township],$B20,CampList[Status],"open",CampList[Affected Population],"IDP", CampList[State],"Kachin")</f>
        <v>0</v>
      </c>
      <c r="D20" s="430">
        <f>SUMIFS(CampList[Total],CampList[Township],$B20,CampList[Status],"open",CampList[Affected Population],"IDP", CampList[State],"Kachin")</f>
        <v>0</v>
      </c>
      <c r="E20" s="281">
        <f>COUNTIFS(CampList[Township],$B20,CampList[Status],"open",CampList[Affected Population],"IDP",CampList[State],"Kachin")</f>
        <v>0</v>
      </c>
      <c r="F20" s="204"/>
      <c r="G20" s="204"/>
      <c r="H20" s="204"/>
      <c r="I20" s="204"/>
      <c r="J20" s="204"/>
      <c r="K20" s="204"/>
      <c r="L20" s="204"/>
      <c r="M20" s="204"/>
      <c r="N20" s="204"/>
      <c r="O20" s="204"/>
      <c r="P20" s="204"/>
      <c r="Q20" s="204"/>
      <c r="R20" s="204"/>
      <c r="S20" s="426"/>
      <c r="U20" s="432"/>
      <c r="AI20" s="412" t="s">
        <v>173</v>
      </c>
      <c r="AJ20" s="427" t="e">
        <v>#REF!</v>
      </c>
      <c r="AK20" s="427" t="e">
        <v>#REF!</v>
      </c>
      <c r="AL20" s="427" t="e">
        <v>#REF!</v>
      </c>
      <c r="AM20" s="427" t="e">
        <v>#REF!</v>
      </c>
      <c r="AP20" s="193"/>
    </row>
    <row r="21" spans="1:42" ht="12.95" customHeight="1" x14ac:dyDescent="0.25">
      <c r="A21" s="421"/>
      <c r="B21" s="280" t="s">
        <v>151</v>
      </c>
      <c r="C21" s="430">
        <f>SUMIFS(CampList[HH],CampList[Township],$B21,CampList[Status],"open",CampList[Affected Population],"IDP", CampList[State],"Kachin")</f>
        <v>2840</v>
      </c>
      <c r="D21" s="430">
        <f>SUMIFS(CampList[Total],CampList[Township],$B21,CampList[Status],"open",CampList[Affected Population],"IDP", CampList[State],"Kachin")</f>
        <v>13346</v>
      </c>
      <c r="E21" s="281">
        <f>COUNTIFS(CampList[Township],$B21,CampList[Status],"open",CampList[Affected Population],"IDP",CampList[State],"Kachin")</f>
        <v>11</v>
      </c>
      <c r="F21" s="204"/>
      <c r="G21" s="204"/>
      <c r="H21" s="204"/>
      <c r="I21" s="204"/>
      <c r="J21" s="204"/>
      <c r="K21" s="204"/>
      <c r="L21" s="204"/>
      <c r="M21" s="204"/>
      <c r="N21" s="204"/>
      <c r="O21" s="204"/>
      <c r="P21" s="204"/>
      <c r="Q21" s="204"/>
      <c r="R21" s="204"/>
      <c r="S21" s="426"/>
      <c r="AI21" s="412" t="s">
        <v>180</v>
      </c>
      <c r="AJ21" s="427" t="e">
        <v>#REF!</v>
      </c>
      <c r="AK21" s="427" t="e">
        <v>#REF!</v>
      </c>
      <c r="AL21" s="427" t="e">
        <v>#REF!</v>
      </c>
      <c r="AM21" s="427" t="e">
        <v>#REF!</v>
      </c>
      <c r="AP21" s="193"/>
    </row>
    <row r="22" spans="1:42" ht="12.95" customHeight="1" x14ac:dyDescent="0.25">
      <c r="A22" s="421"/>
      <c r="B22" s="280" t="s">
        <v>173</v>
      </c>
      <c r="C22" s="430">
        <f>SUMIFS(CampList[HH],CampList[Township],$B22,CampList[Status],"open",CampList[Affected Population],"IDP", CampList[State],"Kachin")</f>
        <v>66</v>
      </c>
      <c r="D22" s="430">
        <f>SUMIFS(CampList[Total],CampList[Township],$B22,CampList[Status],"open",CampList[Affected Population],"IDP", CampList[State],"Kachin")</f>
        <v>325</v>
      </c>
      <c r="E22" s="281">
        <f>COUNTIFS(CampList[Township],$B22,CampList[Status],"open",CampList[Affected Population],"IDP",CampList[State],"Kachin")</f>
        <v>4</v>
      </c>
      <c r="F22" s="204"/>
      <c r="G22" s="204"/>
      <c r="H22" s="204"/>
      <c r="I22" s="204"/>
      <c r="J22" s="204"/>
      <c r="K22" s="204"/>
      <c r="L22" s="204"/>
      <c r="M22" s="204"/>
      <c r="N22" s="204"/>
      <c r="O22" s="204"/>
      <c r="P22" s="204"/>
      <c r="Q22" s="204"/>
      <c r="R22" s="204"/>
      <c r="S22" s="426"/>
      <c r="AI22" s="412" t="s">
        <v>185</v>
      </c>
      <c r="AJ22" s="427" t="e">
        <v>#REF!</v>
      </c>
      <c r="AK22" s="427" t="e">
        <v>#REF!</v>
      </c>
      <c r="AL22" s="427" t="e">
        <v>#REF!</v>
      </c>
      <c r="AM22" s="427" t="e">
        <v>#REF!</v>
      </c>
      <c r="AP22" s="193"/>
    </row>
    <row r="23" spans="1:42" ht="12.95" customHeight="1" x14ac:dyDescent="0.25">
      <c r="A23" s="421"/>
      <c r="B23" s="280" t="s">
        <v>180</v>
      </c>
      <c r="C23" s="430">
        <f>SUMIFS(CampList[HH],CampList[Township],$B23,CampList[Status],"open",CampList[Affected Population],"IDP", CampList[State],"Kachin")</f>
        <v>76</v>
      </c>
      <c r="D23" s="430">
        <f>SUMIFS(CampList[Total],CampList[Township],$B23,CampList[Status],"open",CampList[Affected Population],"IDP", CampList[State],"Kachin")</f>
        <v>349</v>
      </c>
      <c r="E23" s="281">
        <f>COUNTIFS(CampList[Township],$B23,CampList[Status],"open",CampList[Affected Population],"IDP",CampList[State],"Kachin")</f>
        <v>4</v>
      </c>
      <c r="F23" s="204"/>
      <c r="G23" s="204"/>
      <c r="H23" s="204"/>
      <c r="I23" s="204"/>
      <c r="J23" s="204"/>
      <c r="K23" s="204"/>
      <c r="L23" s="204"/>
      <c r="M23" s="204"/>
      <c r="N23" s="204"/>
      <c r="O23" s="204"/>
      <c r="P23" s="204"/>
      <c r="Q23" s="204"/>
      <c r="R23" s="204"/>
      <c r="S23" s="426"/>
      <c r="AI23" s="412" t="s">
        <v>230</v>
      </c>
      <c r="AJ23" s="427" t="e">
        <v>#REF!</v>
      </c>
      <c r="AK23" s="427" t="e">
        <v>#REF!</v>
      </c>
      <c r="AL23" s="427" t="e">
        <v>#REF!</v>
      </c>
      <c r="AM23" s="427" t="e">
        <v>#REF!</v>
      </c>
      <c r="AP23" s="193"/>
    </row>
    <row r="24" spans="1:42" ht="12.95" customHeight="1" x14ac:dyDescent="0.25">
      <c r="A24" s="421"/>
      <c r="B24" s="280" t="s">
        <v>185</v>
      </c>
      <c r="C24" s="430">
        <f>SUMIFS(CampList[HH],CampList[Township],$B24,CampList[Status],"open",CampList[Affected Population],"IDP", CampList[State],"Kachin")</f>
        <v>4741</v>
      </c>
      <c r="D24" s="430">
        <f>SUMIFS(CampList[Total],CampList[Township],$B24,CampList[Status],"open",CampList[Affected Population],"IDP", CampList[State],"Kachin")</f>
        <v>24892</v>
      </c>
      <c r="E24" s="281">
        <f>COUNTIFS(CampList[Township],$B24,CampList[Status],"open",CampList[Affected Population],"IDP",CampList[State],"Kachin")</f>
        <v>15</v>
      </c>
      <c r="F24" s="204"/>
      <c r="G24" s="191"/>
      <c r="H24" s="191"/>
      <c r="I24" s="191"/>
      <c r="J24" s="191"/>
      <c r="K24" s="191"/>
      <c r="L24" s="191"/>
      <c r="M24" s="204"/>
      <c r="N24" s="204"/>
      <c r="O24" s="204"/>
      <c r="P24" s="204"/>
      <c r="Q24" s="204"/>
      <c r="R24" s="204"/>
      <c r="S24" s="426"/>
      <c r="AI24" s="412" t="s">
        <v>237</v>
      </c>
      <c r="AJ24" s="427" t="e">
        <v>#REF!</v>
      </c>
      <c r="AK24" s="427" t="e">
        <v>#REF!</v>
      </c>
      <c r="AL24" s="427" t="e">
        <v>#REF!</v>
      </c>
      <c r="AM24" s="427" t="e">
        <v>#REF!</v>
      </c>
      <c r="AP24" s="193"/>
    </row>
    <row r="25" spans="1:42" ht="12.95" customHeight="1" x14ac:dyDescent="0.25">
      <c r="A25" s="421"/>
      <c r="B25" s="280" t="s">
        <v>237</v>
      </c>
      <c r="C25" s="430">
        <f>SUMIFS(CampList[HH],CampList[Township],$B25,CampList[Status],"open",CampList[Affected Population],"IDP", CampList[State],"Kachin")</f>
        <v>1494</v>
      </c>
      <c r="D25" s="430">
        <f>SUMIFS(CampList[Total],CampList[Township],$B25,CampList[Status],"open",CampList[Affected Population],"IDP", CampList[State],"Kachin")</f>
        <v>7696</v>
      </c>
      <c r="E25" s="281">
        <f>COUNTIFS(CampList[Township],$B25,CampList[Status],"open",CampList[Affected Population],"IDP",CampList[State],"Kachin")</f>
        <v>22</v>
      </c>
      <c r="F25" s="204"/>
      <c r="G25" s="191"/>
      <c r="H25" s="191"/>
      <c r="I25" s="191"/>
      <c r="J25" s="191"/>
      <c r="K25" s="191"/>
      <c r="L25" s="191"/>
      <c r="M25" s="204"/>
      <c r="N25" s="204"/>
      <c r="O25" s="204"/>
      <c r="P25" s="204"/>
      <c r="Q25" s="204"/>
      <c r="R25" s="204"/>
      <c r="S25" s="426"/>
      <c r="AI25" s="412" t="s">
        <v>288</v>
      </c>
      <c r="AJ25" s="427" t="e">
        <v>#REF!</v>
      </c>
      <c r="AK25" s="427" t="e">
        <v>#REF!</v>
      </c>
      <c r="AL25" s="427" t="e">
        <v>#REF!</v>
      </c>
      <c r="AM25" s="427" t="e">
        <v>#REF!</v>
      </c>
      <c r="AP25" s="193"/>
    </row>
    <row r="26" spans="1:42" ht="12.95" customHeight="1" x14ac:dyDescent="0.25">
      <c r="A26" s="421"/>
      <c r="B26" s="280" t="s">
        <v>299</v>
      </c>
      <c r="C26" s="430">
        <f>SUMIFS(CampList[HH],CampList[Township],$B26,CampList[Status],"open",CampList[Affected Population],"IDP", CampList[State],"Kachin")</f>
        <v>85</v>
      </c>
      <c r="D26" s="430">
        <f>SUMIFS(CampList[Total],CampList[Township],$B26,CampList[Status],"open",CampList[Affected Population],"IDP", CampList[State],"Kachin")</f>
        <v>412</v>
      </c>
      <c r="E26" s="281">
        <f>COUNTIFS(CampList[Township],$B26,CampList[Status],"open",CampList[Affected Population],"IDP",CampList[State],"Kachin")</f>
        <v>3</v>
      </c>
      <c r="F26" s="204"/>
      <c r="G26" s="191"/>
      <c r="H26" s="191"/>
      <c r="I26" s="191"/>
      <c r="J26" s="191"/>
      <c r="K26" s="191"/>
      <c r="L26" s="191"/>
      <c r="M26" s="204"/>
      <c r="N26" s="204"/>
      <c r="O26" s="204"/>
      <c r="P26" s="204"/>
      <c r="Q26" s="204"/>
      <c r="R26" s="204"/>
      <c r="S26" s="426"/>
      <c r="AI26" s="412" t="s">
        <v>297</v>
      </c>
      <c r="AJ26" s="427" t="e">
        <v>#REF!</v>
      </c>
      <c r="AK26" s="427" t="e">
        <v>#REF!</v>
      </c>
      <c r="AL26" s="427" t="e">
        <v>#REF!</v>
      </c>
      <c r="AM26" s="427" t="e">
        <v>#REF!</v>
      </c>
    </row>
    <row r="27" spans="1:42" ht="12.95" customHeight="1" x14ac:dyDescent="0.25">
      <c r="A27" s="421"/>
      <c r="B27" s="280" t="s">
        <v>301</v>
      </c>
      <c r="C27" s="430">
        <f>SUMIFS(CampList[HH],CampList[Township],$B27,CampList[Status],"open",CampList[Affected Population],"IDP", CampList[State],"Kachin")</f>
        <v>509</v>
      </c>
      <c r="D27" s="430">
        <f>SUMIFS(CampList[Total],CampList[Township],$B27,CampList[Status],"open",CampList[Affected Population],"IDP", CampList[State],"Kachin")</f>
        <v>2220</v>
      </c>
      <c r="E27" s="281">
        <f>COUNTIFS(CampList[Township],$B27,CampList[Status],"open",CampList[Affected Population],"IDP",CampList[State],"Kachin")</f>
        <v>3</v>
      </c>
      <c r="F27" s="204"/>
      <c r="G27" s="191"/>
      <c r="H27" s="191"/>
      <c r="I27" s="191"/>
      <c r="J27" s="191"/>
      <c r="K27" s="191"/>
      <c r="L27" s="191"/>
      <c r="M27" s="204"/>
      <c r="N27" s="204"/>
      <c r="O27" s="204"/>
      <c r="P27" s="204"/>
      <c r="Q27" s="204"/>
      <c r="R27" s="204"/>
      <c r="S27" s="426"/>
      <c r="AI27" s="412" t="s">
        <v>299</v>
      </c>
      <c r="AJ27" s="427" t="e">
        <v>#REF!</v>
      </c>
      <c r="AK27" s="427" t="e">
        <v>#REF!</v>
      </c>
      <c r="AL27" s="427" t="e">
        <v>#REF!</v>
      </c>
      <c r="AM27" s="427" t="e">
        <v>#REF!</v>
      </c>
    </row>
    <row r="28" spans="1:42" ht="12.95" customHeight="1" x14ac:dyDescent="0.25">
      <c r="A28" s="421"/>
      <c r="B28" s="280" t="s">
        <v>747</v>
      </c>
      <c r="C28" s="430">
        <f>SUMIFS(CampList[HH],CampList[Township],$B28,CampList[Status],"open",CampList[Affected Population],"IDP", CampList[State],"Kachin")</f>
        <v>198</v>
      </c>
      <c r="D28" s="430">
        <f>SUMIFS(CampList[Total],CampList[Township],$B28,CampList[Status],"open",CampList[Affected Population],"IDP", CampList[State],"Kachin")</f>
        <v>1143</v>
      </c>
      <c r="E28" s="281">
        <f>COUNTIFS(CampList[Township],$B28,CampList[Status],"open",CampList[Affected Population],"IDP",CampList[State],"Kachin")</f>
        <v>3</v>
      </c>
      <c r="F28" s="191"/>
      <c r="G28" s="191"/>
      <c r="H28" s="191"/>
      <c r="I28" s="191"/>
      <c r="J28" s="191"/>
      <c r="K28" s="191"/>
      <c r="L28" s="191"/>
      <c r="M28" s="204"/>
      <c r="N28" s="204"/>
      <c r="O28" s="204"/>
      <c r="P28" s="204"/>
      <c r="Q28" s="204"/>
      <c r="R28" s="204"/>
      <c r="S28" s="426"/>
      <c r="AI28" s="412" t="s">
        <v>301</v>
      </c>
      <c r="AJ28" s="427" t="e">
        <v>#REF!</v>
      </c>
      <c r="AK28" s="427" t="e">
        <v>#REF!</v>
      </c>
      <c r="AL28" s="427" t="e">
        <v>#REF!</v>
      </c>
      <c r="AM28" s="427" t="e">
        <v>#REF!</v>
      </c>
    </row>
    <row r="29" spans="1:42" ht="12.95" customHeight="1" x14ac:dyDescent="0.25">
      <c r="A29" s="421"/>
      <c r="B29" s="280" t="s">
        <v>1140</v>
      </c>
      <c r="C29" s="430">
        <f>SUMIFS(CampList[HH],CampList[Township],$B29,CampList[Status],"open",CampList[Affected Population],"IDP", CampList[State],"Kachin")</f>
        <v>235</v>
      </c>
      <c r="D29" s="430">
        <f>SUMIFS(CampList[Total],CampList[Township],$B29,CampList[Status],"open",CampList[Affected Population],"IDP", CampList[State],"Kachin")</f>
        <v>915</v>
      </c>
      <c r="E29" s="281">
        <f>COUNTIFS(CampList[Township],$B29,CampList[Status],"open",CampList[Affected Population],"IDP",CampList[State],"Kachin")</f>
        <v>4</v>
      </c>
      <c r="F29" s="191"/>
      <c r="G29" s="191"/>
      <c r="H29" s="191"/>
      <c r="I29" s="191"/>
      <c r="J29" s="191"/>
      <c r="K29" s="191"/>
      <c r="L29" s="191"/>
      <c r="M29" s="204"/>
      <c r="N29" s="204"/>
      <c r="O29" s="204"/>
      <c r="P29" s="204"/>
      <c r="Q29" s="204"/>
      <c r="R29" s="204"/>
      <c r="S29" s="426"/>
      <c r="AI29" s="412" t="s">
        <v>1204</v>
      </c>
      <c r="AJ29" s="427" t="e">
        <v>#REF!</v>
      </c>
      <c r="AK29" s="427" t="e">
        <v>#REF!</v>
      </c>
      <c r="AL29" s="427" t="e">
        <v>#REF!</v>
      </c>
      <c r="AM29" s="427" t="e">
        <v>#REF!</v>
      </c>
    </row>
    <row r="30" spans="1:42" ht="12.95" customHeight="1" x14ac:dyDescent="0.25">
      <c r="A30" s="421"/>
      <c r="B30" s="280" t="s">
        <v>309</v>
      </c>
      <c r="C30" s="430">
        <f>SUMIFS(CampList[HH],CampList[Township],$B30,CampList[Status],"open",CampList[Affected Population],"IDP", CampList[State],"Kachin")</f>
        <v>4858</v>
      </c>
      <c r="D30" s="430">
        <f>SUMIFS(CampList[Total],CampList[Township],$B30,CampList[Status],"open",CampList[Affected Population],"IDP", CampList[State],"Kachin")</f>
        <v>25155</v>
      </c>
      <c r="E30" s="281">
        <f>COUNTIFS(CampList[Township],$B30,CampList[Status],"open",CampList[Affected Population],"IDP",CampList[State],"Kachin")</f>
        <v>24</v>
      </c>
      <c r="F30" s="191"/>
      <c r="G30" s="191"/>
      <c r="H30" s="191"/>
      <c r="I30" s="191"/>
      <c r="J30" s="191"/>
      <c r="K30" s="191"/>
      <c r="L30" s="191"/>
      <c r="M30" s="204"/>
      <c r="N30" s="204"/>
      <c r="O30" s="204"/>
      <c r="P30" s="204"/>
      <c r="Q30" s="204"/>
      <c r="R30" s="204"/>
      <c r="S30" s="426"/>
      <c r="AI30" s="412" t="s">
        <v>747</v>
      </c>
      <c r="AJ30" s="427" t="e">
        <v>#REF!</v>
      </c>
      <c r="AK30" s="427" t="e">
        <v>#REF!</v>
      </c>
      <c r="AL30" s="427" t="e">
        <v>#REF!</v>
      </c>
      <c r="AM30" s="427" t="e">
        <v>#REF!</v>
      </c>
      <c r="AN30" s="433" t="e">
        <f>AM40+AJ40+AK40+AL40</f>
        <v>#REF!</v>
      </c>
    </row>
    <row r="31" spans="1:42" ht="15.75" customHeight="1" x14ac:dyDescent="0.25">
      <c r="A31" s="450" t="s">
        <v>378</v>
      </c>
      <c r="B31" s="282" t="s">
        <v>780</v>
      </c>
      <c r="C31" s="434">
        <f>SUM(C15:C30)</f>
        <v>17786</v>
      </c>
      <c r="D31" s="434">
        <f>SUM(D15:D30)</f>
        <v>90829</v>
      </c>
      <c r="E31" s="283">
        <f>SUM(E15:E30)</f>
        <v>130</v>
      </c>
      <c r="F31" s="191"/>
      <c r="G31" s="191"/>
      <c r="H31" s="191"/>
      <c r="I31" s="191"/>
      <c r="J31" s="191"/>
      <c r="K31" s="191"/>
      <c r="L31" s="191"/>
      <c r="M31" s="204"/>
      <c r="N31" s="204"/>
      <c r="O31" s="204"/>
      <c r="P31" s="204"/>
      <c r="Q31" s="204"/>
      <c r="R31" s="204"/>
      <c r="S31" s="426"/>
      <c r="AI31" s="412" t="s">
        <v>1140</v>
      </c>
      <c r="AJ31" s="427" t="e">
        <v>#REF!</v>
      </c>
      <c r="AK31" s="427" t="e">
        <v>#REF!</v>
      </c>
      <c r="AL31" s="427" t="e">
        <v>#REF!</v>
      </c>
      <c r="AM31" s="427" t="e">
        <v>#REF!</v>
      </c>
      <c r="AN31" s="433"/>
    </row>
    <row r="32" spans="1:42" ht="15.75" customHeight="1" x14ac:dyDescent="0.25">
      <c r="A32" s="421"/>
      <c r="B32" s="278" t="s">
        <v>1154</v>
      </c>
      <c r="C32" s="279"/>
      <c r="D32" s="279"/>
      <c r="E32" s="279"/>
      <c r="F32" s="191"/>
      <c r="G32" s="191"/>
      <c r="H32" s="191"/>
      <c r="I32" s="191"/>
      <c r="J32" s="191"/>
      <c r="K32" s="191"/>
      <c r="L32" s="191"/>
      <c r="M32" s="204"/>
      <c r="N32" s="204"/>
      <c r="O32" s="204"/>
      <c r="P32" s="204"/>
      <c r="Q32" s="204"/>
      <c r="R32" s="204"/>
      <c r="S32" s="426"/>
      <c r="AJ32" s="427" t="e">
        <v>#REF!</v>
      </c>
      <c r="AK32" s="427" t="e">
        <v>#REF!</v>
      </c>
      <c r="AL32" s="427" t="e">
        <v>#REF!</v>
      </c>
      <c r="AM32" s="427" t="e">
        <v>#REF!</v>
      </c>
      <c r="AN32" s="433"/>
    </row>
    <row r="33" spans="1:53" ht="14.1" customHeight="1" x14ac:dyDescent="0.25">
      <c r="A33" s="421"/>
      <c r="B33" s="284" t="s">
        <v>719</v>
      </c>
      <c r="C33" s="430">
        <f>SUMIFS(CampList[HH],CampList[Township],$B33,CampList[Status],"open",CampList[Affected Population],"IDP",  CampList[State],"Shan_North")</f>
        <v>99</v>
      </c>
      <c r="D33" s="430">
        <f>SUMIFS(CampList[Total],CampList[Township],$B33,CampList[Status],"open",CampList[Affected Population],"IDP",  CampList[State],"Shan_North")</f>
        <v>559</v>
      </c>
      <c r="E33" s="281">
        <f>COUNTIFS(CampList[Township],$B33,CampList[Status],"open",CampList[Affected Population],"IDP",  CampList[State],"Shan_North")</f>
        <v>2</v>
      </c>
      <c r="F33" s="191"/>
      <c r="G33" s="191"/>
      <c r="H33" s="191"/>
      <c r="I33" s="191"/>
      <c r="J33" s="191"/>
      <c r="K33" s="191"/>
      <c r="L33" s="191"/>
      <c r="M33" s="204"/>
      <c r="N33" s="204"/>
      <c r="O33" s="204"/>
      <c r="P33" s="204"/>
      <c r="Q33" s="204"/>
      <c r="R33" s="204"/>
      <c r="S33" s="426"/>
      <c r="AJ33" s="427" t="e">
        <v>#REF!</v>
      </c>
      <c r="AK33" s="427" t="e">
        <v>#REF!</v>
      </c>
      <c r="AL33" s="427" t="e">
        <v>#REF!</v>
      </c>
      <c r="AM33" s="427" t="e">
        <v>#REF!</v>
      </c>
      <c r="AN33" s="433"/>
    </row>
    <row r="34" spans="1:53" ht="14.1" customHeight="1" x14ac:dyDescent="0.25">
      <c r="A34" s="421"/>
      <c r="B34" s="284" t="s">
        <v>146</v>
      </c>
      <c r="C34" s="430">
        <f>SUMIFS(CampList[HH],CampList[Township],$B34,CampList[Status],"open",CampList[Affected Population],"IDP",  CampList[State],"Shan_North")</f>
        <v>863</v>
      </c>
      <c r="D34" s="430">
        <f>SUMIFS(CampList[Total],CampList[Township],$B34,CampList[Status],"open",CampList[Affected Population],"IDP",  CampList[State],"Shan_North")</f>
        <v>4215</v>
      </c>
      <c r="E34" s="281">
        <f>COUNTIFS(CampList[Township],$B34,CampList[Status],"open",CampList[Affected Population],"IDP",  CampList[State],"Shan_North")</f>
        <v>14</v>
      </c>
      <c r="F34" s="191"/>
      <c r="G34" s="191"/>
      <c r="H34" s="191"/>
      <c r="I34" s="191"/>
      <c r="J34" s="191"/>
      <c r="K34" s="191"/>
      <c r="L34" s="191"/>
      <c r="M34" s="204"/>
      <c r="N34" s="204"/>
      <c r="O34" s="204"/>
      <c r="P34" s="204"/>
      <c r="Q34" s="204"/>
      <c r="R34" s="204"/>
      <c r="S34" s="426"/>
      <c r="AJ34" s="427" t="e">
        <v>#REF!</v>
      </c>
      <c r="AK34" s="427" t="e">
        <v>#REF!</v>
      </c>
      <c r="AL34" s="427" t="e">
        <v>#REF!</v>
      </c>
      <c r="AM34" s="427" t="e">
        <v>#REF!</v>
      </c>
      <c r="AN34" s="433"/>
    </row>
    <row r="35" spans="1:53" ht="14.1" customHeight="1" x14ac:dyDescent="0.25">
      <c r="A35" s="421"/>
      <c r="B35" s="284" t="s">
        <v>166</v>
      </c>
      <c r="C35" s="430">
        <f>SUMIFS(CampList[HH],CampList[Township],$B35,CampList[Status],"open",CampList[Affected Population],"IDP",  CampList[State],"Shan_North")</f>
        <v>98</v>
      </c>
      <c r="D35" s="430">
        <f>SUMIFS(CampList[Total],CampList[Township],$B35,CampList[Status],"open",CampList[Affected Population],"IDP",  CampList[State],"Shan_North")</f>
        <v>541</v>
      </c>
      <c r="E35" s="281">
        <f>COUNTIFS(CampList[Township],$B35,CampList[Status],"open",CampList[Affected Population],"IDP",  CampList[State],"Shan_North")</f>
        <v>3</v>
      </c>
      <c r="F35" s="191"/>
      <c r="G35" s="191"/>
      <c r="H35" s="191"/>
      <c r="I35" s="191"/>
      <c r="J35" s="191"/>
      <c r="K35" s="191"/>
      <c r="L35" s="191"/>
      <c r="M35" s="204"/>
      <c r="N35" s="204"/>
      <c r="O35" s="204"/>
      <c r="P35" s="204"/>
      <c r="Q35" s="204"/>
      <c r="R35" s="204"/>
      <c r="S35" s="426"/>
      <c r="AJ35" s="427" t="e">
        <v>#REF!</v>
      </c>
      <c r="AK35" s="427" t="e">
        <v>#REF!</v>
      </c>
      <c r="AL35" s="427" t="e">
        <v>#REF!</v>
      </c>
      <c r="AM35" s="427" t="e">
        <v>#REF!</v>
      </c>
      <c r="AN35" s="433"/>
    </row>
    <row r="36" spans="1:53" ht="14.1" customHeight="1" x14ac:dyDescent="0.25">
      <c r="A36" s="421"/>
      <c r="B36" s="280" t="s">
        <v>230</v>
      </c>
      <c r="C36" s="430">
        <f>SUMIFS(CampList[HH],CampList[Township],$B36,CampList[Status],"open",CampList[Affected Population],"IDP",  CampList[State],"Shan_North")</f>
        <v>248</v>
      </c>
      <c r="D36" s="430">
        <f>SUMIFS(CampList[Total],CampList[Township],$B36,CampList[Status],"open",CampList[Affected Population],"IDP",  CampList[State],"Shan_North")</f>
        <v>1265</v>
      </c>
      <c r="E36" s="281">
        <f>COUNTIFS(CampList[Township],$B36,CampList[Status],"open",CampList[Affected Population],"IDP",  CampList[State],"Shan_North")</f>
        <v>4</v>
      </c>
      <c r="F36" s="191"/>
      <c r="G36" s="191"/>
      <c r="H36" s="191"/>
      <c r="I36" s="191"/>
      <c r="J36" s="191"/>
      <c r="K36" s="191"/>
      <c r="L36" s="191"/>
      <c r="M36" s="204"/>
      <c r="N36" s="204"/>
      <c r="O36" s="204"/>
      <c r="P36" s="204"/>
      <c r="Q36" s="204"/>
      <c r="R36" s="204"/>
      <c r="S36" s="426"/>
      <c r="AJ36" s="427" t="e">
        <v>#REF!</v>
      </c>
      <c r="AK36" s="427" t="e">
        <v>#REF!</v>
      </c>
      <c r="AL36" s="427" t="e">
        <v>#REF!</v>
      </c>
      <c r="AM36" s="427" t="e">
        <v>#REF!</v>
      </c>
      <c r="AN36" s="433"/>
    </row>
    <row r="37" spans="1:53" ht="14.1" customHeight="1" x14ac:dyDescent="0.25">
      <c r="A37" s="421"/>
      <c r="B37" s="280" t="s">
        <v>288</v>
      </c>
      <c r="C37" s="430">
        <f>SUMIFS(CampList[HH],CampList[Township],$B37,CampList[Status],"open",CampList[Affected Population],"IDP",  CampList[State],"Shan_North")</f>
        <v>409</v>
      </c>
      <c r="D37" s="430">
        <f>SUMIFS(CampList[Total],CampList[Township],$B37,CampList[Status],"open",CampList[Affected Population],"IDP",  CampList[State],"Shan_North")</f>
        <v>1976</v>
      </c>
      <c r="E37" s="281">
        <f>COUNTIFS(CampList[Township],$B37,CampList[Status],"open",CampList[Affected Population],"IDP",  CampList[State],"Shan_North")</f>
        <v>6</v>
      </c>
      <c r="F37" s="191"/>
      <c r="G37" s="191"/>
      <c r="H37" s="191"/>
      <c r="I37" s="191"/>
      <c r="J37" s="191"/>
      <c r="K37" s="191"/>
      <c r="L37" s="191"/>
      <c r="M37" s="204"/>
      <c r="N37" s="204"/>
      <c r="O37" s="204"/>
      <c r="P37" s="204"/>
      <c r="Q37" s="204"/>
      <c r="R37" s="204"/>
      <c r="S37" s="426"/>
      <c r="AJ37" s="427" t="e">
        <v>#REF!</v>
      </c>
      <c r="AK37" s="427" t="e">
        <v>#REF!</v>
      </c>
      <c r="AL37" s="427" t="e">
        <v>#REF!</v>
      </c>
      <c r="AM37" s="427" t="e">
        <v>#REF!</v>
      </c>
      <c r="AN37" s="433"/>
    </row>
    <row r="38" spans="1:53" ht="14.1" customHeight="1" x14ac:dyDescent="0.25">
      <c r="A38" s="421"/>
      <c r="B38" s="280" t="s">
        <v>1204</v>
      </c>
      <c r="C38" s="430">
        <f>SUMIFS(CampList[HH],CampList[Township],$B38,CampList[Status],"open",CampList[Affected Population],"IDP",  CampList[State],"Shan_North")</f>
        <v>37</v>
      </c>
      <c r="D38" s="430">
        <f>SUMIFS(CampList[Total],CampList[Township],$B38,CampList[Status],"open",CampList[Affected Population],"IDP",  CampList[State],"Shan_North")</f>
        <v>120</v>
      </c>
      <c r="E38" s="281">
        <f>COUNTIFS(CampList[Township],$B38,CampList[Status],"open",CampList[Affected Population],"IDP",  CampList[State],"Shan_North")</f>
        <v>1</v>
      </c>
      <c r="F38" s="191"/>
      <c r="G38" s="191"/>
      <c r="H38" s="191"/>
      <c r="I38" s="191"/>
      <c r="J38" s="191"/>
      <c r="K38" s="191"/>
      <c r="L38" s="191"/>
      <c r="M38" s="204"/>
      <c r="N38" s="204"/>
      <c r="O38" s="204"/>
      <c r="P38" s="204"/>
      <c r="Q38" s="204"/>
      <c r="R38" s="204"/>
      <c r="S38" s="426"/>
      <c r="AJ38" s="427"/>
      <c r="AK38" s="427"/>
      <c r="AL38" s="427"/>
      <c r="AM38" s="427"/>
      <c r="AN38" s="433"/>
    </row>
    <row r="39" spans="1:53" ht="14.1" customHeight="1" x14ac:dyDescent="0.25">
      <c r="A39" s="421"/>
      <c r="B39" s="280" t="s">
        <v>297</v>
      </c>
      <c r="C39" s="430">
        <f>SUMIFS(CampList[HH],CampList[Township],$B39,CampList[Status],"open",CampList[Affected Population],"IDP",  CampList[State],"Shan_North")</f>
        <v>162</v>
      </c>
      <c r="D39" s="430">
        <f>SUMIFS(CampList[Total],CampList[Township],$B39,CampList[Status],"open",CampList[Affected Population],"IDP",  CampList[State],"Shan_North")</f>
        <v>759</v>
      </c>
      <c r="E39" s="281">
        <f>COUNTIFS(CampList[Township],$B39,CampList[Status],"open",CampList[Affected Population],"IDP",  CampList[State],"Shan_North")</f>
        <v>4</v>
      </c>
      <c r="F39" s="191"/>
      <c r="G39" s="191"/>
      <c r="H39" s="191"/>
      <c r="I39" s="191"/>
      <c r="J39" s="191"/>
      <c r="K39" s="191"/>
      <c r="L39" s="191"/>
      <c r="M39" s="191"/>
      <c r="N39" s="191"/>
      <c r="O39" s="191"/>
      <c r="P39" s="191"/>
      <c r="Q39" s="191"/>
      <c r="R39" s="191"/>
      <c r="S39" s="426"/>
      <c r="AI39" s="412" t="s">
        <v>309</v>
      </c>
      <c r="AJ39" s="427" t="e">
        <v>#REF!</v>
      </c>
      <c r="AK39" s="427" t="e">
        <v>#REF!</v>
      </c>
      <c r="AL39" s="427" t="e">
        <v>#REF!</v>
      </c>
      <c r="AM39" s="427" t="e">
        <v>#REF!</v>
      </c>
      <c r="AN39" s="435"/>
    </row>
    <row r="40" spans="1:53" ht="15" customHeight="1" x14ac:dyDescent="0.25">
      <c r="A40" s="450" t="s">
        <v>1154</v>
      </c>
      <c r="B40" s="285" t="s">
        <v>1155</v>
      </c>
      <c r="C40" s="434">
        <f>SUM(C33:C39)</f>
        <v>1916</v>
      </c>
      <c r="D40" s="434">
        <f>SUM(D33:D39)</f>
        <v>9435</v>
      </c>
      <c r="E40" s="283">
        <f>SUM(E33:E39)</f>
        <v>34</v>
      </c>
      <c r="F40" s="191"/>
      <c r="G40" s="191"/>
      <c r="H40" s="191"/>
      <c r="I40" s="191"/>
      <c r="J40" s="191"/>
      <c r="K40" s="191"/>
      <c r="L40" s="191"/>
      <c r="M40" s="191"/>
      <c r="N40" s="191"/>
      <c r="O40" s="191"/>
      <c r="P40" s="191"/>
      <c r="Q40" s="191"/>
      <c r="R40" s="191"/>
      <c r="S40" s="426"/>
      <c r="AI40" s="412" t="s">
        <v>3</v>
      </c>
      <c r="AJ40" s="436" t="e">
        <f>SUM(AJ7:AJ39)</f>
        <v>#REF!</v>
      </c>
      <c r="AK40" s="436" t="e">
        <f>SUM(AK7:AK39)</f>
        <v>#REF!</v>
      </c>
      <c r="AL40" s="436" t="e">
        <f>SUM(AL7:AL39)</f>
        <v>#REF!</v>
      </c>
      <c r="AM40" s="436" t="e">
        <f>SUM(AM7:AM39)</f>
        <v>#REF!</v>
      </c>
      <c r="AN40" s="437"/>
      <c r="AO40" s="435"/>
    </row>
    <row r="41" spans="1:53" ht="15.75" customHeight="1" x14ac:dyDescent="0.25">
      <c r="A41" s="438"/>
      <c r="B41" s="276" t="s">
        <v>411</v>
      </c>
      <c r="C41" s="454">
        <f>C31+C40</f>
        <v>19702</v>
      </c>
      <c r="D41" s="670">
        <f>D31+D40</f>
        <v>100264</v>
      </c>
      <c r="E41" s="454">
        <f>E31+E40</f>
        <v>164</v>
      </c>
      <c r="F41" s="191"/>
      <c r="G41" s="191"/>
      <c r="H41" s="191"/>
      <c r="I41" s="191"/>
      <c r="J41" s="191"/>
      <c r="K41" s="191"/>
      <c r="L41" s="191"/>
      <c r="M41" s="204"/>
      <c r="N41" s="204"/>
      <c r="O41" s="204"/>
      <c r="P41" s="204"/>
      <c r="Q41" s="204"/>
      <c r="R41" s="204"/>
      <c r="S41" s="426"/>
      <c r="AO41" s="435"/>
    </row>
    <row r="42" spans="1:53" ht="12.75" customHeight="1" x14ac:dyDescent="0.25">
      <c r="A42" s="421"/>
      <c r="B42" s="191"/>
      <c r="C42" s="191"/>
      <c r="D42" s="191"/>
      <c r="E42" s="191"/>
      <c r="F42" s="191"/>
      <c r="G42" s="191"/>
      <c r="H42" s="191"/>
      <c r="I42" s="191"/>
      <c r="J42" s="191"/>
      <c r="K42" s="191"/>
      <c r="L42" s="191"/>
      <c r="M42" s="204"/>
      <c r="N42" s="204"/>
      <c r="O42" s="204"/>
      <c r="P42" s="204"/>
      <c r="Q42" s="204"/>
      <c r="R42" s="204"/>
      <c r="S42" s="426"/>
      <c r="AJ42" s="343" t="s">
        <v>1437</v>
      </c>
      <c r="AK42" s="343"/>
      <c r="AL42" s="343"/>
      <c r="AN42" s="412" t="s">
        <v>1436</v>
      </c>
      <c r="AO42" s="435">
        <f>SUM(AK42:AN42)</f>
        <v>0</v>
      </c>
    </row>
    <row r="43" spans="1:53" ht="14.1" customHeight="1" x14ac:dyDescent="0.25">
      <c r="A43" s="421"/>
      <c r="B43" s="764" t="s">
        <v>1462</v>
      </c>
      <c r="C43" s="765" t="s">
        <v>464</v>
      </c>
      <c r="D43" s="766"/>
      <c r="E43" s="767" t="s">
        <v>466</v>
      </c>
      <c r="F43" s="766"/>
      <c r="G43" s="767" t="s">
        <v>3</v>
      </c>
      <c r="H43" s="765"/>
      <c r="I43" s="766"/>
      <c r="J43" s="191"/>
      <c r="K43" s="191"/>
      <c r="L43" s="191"/>
      <c r="M43" s="204"/>
      <c r="N43" s="204"/>
      <c r="O43" s="204"/>
      <c r="P43" s="204"/>
      <c r="Q43" s="204"/>
      <c r="R43" s="204"/>
      <c r="S43" s="426"/>
      <c r="AJ43" s="343"/>
      <c r="AK43" s="343"/>
      <c r="AL43" s="343"/>
      <c r="AO43" s="435"/>
    </row>
    <row r="44" spans="1:53" ht="18.75" customHeight="1" x14ac:dyDescent="0.25">
      <c r="A44" s="421"/>
      <c r="B44" s="764"/>
      <c r="C44" s="195" t="s">
        <v>1439</v>
      </c>
      <c r="D44" s="448" t="s">
        <v>789</v>
      </c>
      <c r="E44" s="195" t="s">
        <v>1439</v>
      </c>
      <c r="F44" s="448" t="s">
        <v>789</v>
      </c>
      <c r="G44" s="309" t="s">
        <v>1439</v>
      </c>
      <c r="H44" s="449" t="s">
        <v>789</v>
      </c>
      <c r="I44" s="456" t="s">
        <v>1446</v>
      </c>
      <c r="J44" s="191"/>
      <c r="K44" s="191"/>
      <c r="L44" s="191"/>
      <c r="M44" s="204"/>
      <c r="N44" s="204"/>
      <c r="O44" s="204"/>
      <c r="P44" s="204"/>
      <c r="Q44" s="204"/>
      <c r="R44" s="204"/>
      <c r="S44" s="426"/>
      <c r="AJ44" s="343"/>
      <c r="AK44" s="343"/>
      <c r="AL44" s="343"/>
      <c r="AO44" s="435"/>
    </row>
    <row r="45" spans="1:53" ht="18.75" customHeight="1" x14ac:dyDescent="0.25">
      <c r="A45" s="421"/>
      <c r="B45" s="439" t="s">
        <v>507</v>
      </c>
      <c r="C45" s="430">
        <f>COUNTIFS(CampList[[#All],[Status]],"Open",CampList[[#All],[Type of Accomodation]],"Camp",CampList[[#All],[Accessibility]],"GCA")</f>
        <v>110</v>
      </c>
      <c r="D45" s="448">
        <f>SUMIFS(CampList[[#All],[Total]],CampList[[#All],[Status]],"Open",CampList[[#All],[Type of Accomodation]],"Camp",CampList[[#All],[Accessibility]],"GCA")</f>
        <v>52398</v>
      </c>
      <c r="E45" s="430">
        <f>COUNTIFS(CampList[[#All],[Status]],"Open",CampList[[#All],[Type of Accomodation]],"Camp",CampList[[#All],[Accessibility]],"NGCA")</f>
        <v>17</v>
      </c>
      <c r="F45" s="448">
        <f>SUMIFS(CampList[[#All],[Total]],CampList[[#All],[Status]],"Open",CampList[[#All],[Type of Accomodation]],"Camp",CampList[[#All],[Accessibility]],"NGCA")</f>
        <v>37379</v>
      </c>
      <c r="G45" s="195">
        <f>C45+E45</f>
        <v>127</v>
      </c>
      <c r="H45" s="448">
        <f>F45+D45</f>
        <v>89777</v>
      </c>
      <c r="I45" s="455">
        <f t="shared" ref="I45:I50" si="0">H45/$H$49</f>
        <v>0.89540612782254847</v>
      </c>
      <c r="J45" s="191"/>
      <c r="K45" s="191"/>
      <c r="L45" s="191"/>
      <c r="M45" s="204"/>
      <c r="N45" s="204"/>
      <c r="O45" s="204"/>
      <c r="P45" s="204"/>
      <c r="Q45" s="204"/>
      <c r="R45" s="204"/>
      <c r="S45" s="426"/>
      <c r="AI45" s="412" t="s">
        <v>0</v>
      </c>
      <c r="AJ45" s="412" t="s">
        <v>1430</v>
      </c>
      <c r="AK45" s="412" t="s">
        <v>1431</v>
      </c>
      <c r="AL45" s="412" t="s">
        <v>1438</v>
      </c>
      <c r="AM45" s="412" t="s">
        <v>1433</v>
      </c>
      <c r="AN45" s="412" t="s">
        <v>1436</v>
      </c>
      <c r="AO45" s="435">
        <f>SUM(AJ45:AN45)</f>
        <v>0</v>
      </c>
    </row>
    <row r="46" spans="1:53" ht="18.75" customHeight="1" x14ac:dyDescent="0.25">
      <c r="A46" s="421"/>
      <c r="B46" s="439" t="s">
        <v>12</v>
      </c>
      <c r="C46" s="430">
        <f>COUNTIFS(CampList[[#All],[Status]],"Open",CampList[[#All],[Type of Accomodation]],"Host Families",CampList[[#All],[Accessibility]],"GCA")</f>
        <v>12</v>
      </c>
      <c r="D46" s="448">
        <f>SUMIFS(CampList[[#All],[Total]],CampList[[#All],[Status]],"Open",CampList[[#All],[Type of Accomodation]],"Host Families",CampList[[#All],[Accessibility]],"GCA")</f>
        <v>5483</v>
      </c>
      <c r="E46" s="430">
        <f>COUNTIFS(CampList[[#All],[Status]],"Open",CampList[[#All],[Type of Accomodation]],"Host Families",CampList[[#All],[Accessibility]],"NGCA")</f>
        <v>1</v>
      </c>
      <c r="F46" s="448">
        <f>SUMIFS(CampList[[#All],[Total]],CampList[[#All],[Status]],"Open",CampList[[#All],[Type of Accomodation]],"Host Families",CampList[[#All],[Accessibility]],"NGCA")</f>
        <v>392</v>
      </c>
      <c r="G46" s="195">
        <f>C46+E46</f>
        <v>13</v>
      </c>
      <c r="H46" s="448">
        <f>F46+D46</f>
        <v>5875</v>
      </c>
      <c r="I46" s="455">
        <f t="shared" si="0"/>
        <v>5.8595308385861328E-2</v>
      </c>
      <c r="J46" s="191"/>
      <c r="K46" s="191"/>
      <c r="L46" s="191"/>
      <c r="M46" s="204"/>
      <c r="N46" s="204"/>
      <c r="O46" s="204"/>
      <c r="P46" s="204"/>
      <c r="Q46" s="204"/>
      <c r="R46" s="204"/>
      <c r="S46" s="426"/>
      <c r="AI46" s="412" t="s">
        <v>5</v>
      </c>
      <c r="AJ46" s="427" t="e">
        <v>#REF!</v>
      </c>
      <c r="AK46" s="427" t="e">
        <v>#REF!</v>
      </c>
      <c r="AL46" s="427" t="e">
        <v>#REF!</v>
      </c>
      <c r="AM46" s="427" t="e">
        <v>#REF!</v>
      </c>
      <c r="AN46" s="412" t="e">
        <v>#REF!</v>
      </c>
      <c r="AO46" s="440" t="e">
        <f>SUM(AJ46:AN46)</f>
        <v>#REF!</v>
      </c>
    </row>
    <row r="47" spans="1:53" s="412" customFormat="1" ht="18.75" customHeight="1" x14ac:dyDescent="0.25">
      <c r="A47" s="421"/>
      <c r="B47" s="439" t="s">
        <v>851</v>
      </c>
      <c r="C47" s="430">
        <f>COUNTIFS(CampList[[#All],[Status]],"Open",CampList[[#All],[Type of Accomodation]],"Boarding School",CampList[[#All],[Accessibility]],"GCA")</f>
        <v>0</v>
      </c>
      <c r="D47" s="448">
        <f>SUMIFS(CampList[[#All],[Total]],CampList[[#All],[Status]],"Open",CampList[[#All],[Type of Accomodation]],"Boarding School",CampList[[#All],[Accessibility]],"GCA")</f>
        <v>0</v>
      </c>
      <c r="E47" s="430">
        <f>COUNTIFS(CampList[[#All],[Status]],"Open",CampList[[#All],[Type of Accomodation]],"Boarding School",CampList[[#All],[Accessibility]],"NGCA")</f>
        <v>1</v>
      </c>
      <c r="F47" s="448">
        <f>SUMIFS(CampList[[#All],[Total]],CampList[[#All],[Status]],"Open",CampList[[#All],[Type of Accomodation]],"Boarding School",CampList[[#All],[Accessibility]],"NGCA")</f>
        <v>872</v>
      </c>
      <c r="G47" s="195">
        <f>C47+E47</f>
        <v>1</v>
      </c>
      <c r="H47" s="448">
        <f>F47+D47</f>
        <v>872</v>
      </c>
      <c r="I47" s="455">
        <f t="shared" si="0"/>
        <v>8.6970398148886931E-3</v>
      </c>
      <c r="J47" s="191"/>
      <c r="K47" s="191"/>
      <c r="L47" s="191"/>
      <c r="M47" s="204"/>
      <c r="N47" s="204"/>
      <c r="O47" s="204"/>
      <c r="P47" s="204"/>
      <c r="Q47" s="204"/>
      <c r="R47" s="204"/>
      <c r="S47" s="426"/>
      <c r="T47" s="195"/>
      <c r="U47" s="287"/>
      <c r="V47" s="287"/>
      <c r="W47" s="411"/>
      <c r="X47" s="411"/>
      <c r="Y47" s="411"/>
      <c r="Z47" s="411"/>
      <c r="AA47" s="411"/>
      <c r="AB47" s="411"/>
      <c r="AC47" s="411"/>
      <c r="AD47" s="411"/>
      <c r="AE47" s="411"/>
      <c r="AF47" s="411"/>
      <c r="AG47" s="411"/>
      <c r="AI47" s="412" t="s">
        <v>27</v>
      </c>
      <c r="AJ47" s="427" t="e">
        <v>#REF!</v>
      </c>
      <c r="AK47" s="427" t="e">
        <v>#REF!</v>
      </c>
      <c r="AL47" s="427" t="e">
        <v>#REF!</v>
      </c>
      <c r="AM47" s="427" t="e">
        <v>#REF!</v>
      </c>
      <c r="AN47" s="412" t="e">
        <v>#REF!</v>
      </c>
      <c r="AO47" s="440" t="e">
        <f t="shared" ref="AO47:AO65" si="1">SUM(AJ47:AN47)</f>
        <v>#REF!</v>
      </c>
      <c r="AU47" s="411"/>
      <c r="AV47" s="411"/>
      <c r="AW47" s="411"/>
      <c r="AX47" s="411"/>
      <c r="AY47" s="411"/>
      <c r="AZ47" s="287"/>
      <c r="BA47" s="287"/>
    </row>
    <row r="48" spans="1:53" s="412" customFormat="1" ht="18.75" customHeight="1" x14ac:dyDescent="0.25">
      <c r="A48" s="421"/>
      <c r="B48" s="439" t="s">
        <v>1399</v>
      </c>
      <c r="C48" s="430">
        <f>COUNTIFS(CampList[[#All],[Status]],"Open",CampList[[#All],[Type of Accomodation]],"Camp like setting",CampList[[#All],[Accessibility]],"GCA")</f>
        <v>23</v>
      </c>
      <c r="D48" s="448">
        <f>SUMIFS(CampList[[#All],[Total]],CampList[[#All],[Status]],"Open",CampList[[#All],[Type of Accomodation]],"Camp like setting",CampList[[#All],[Accessibility]],"GCA")</f>
        <v>3740</v>
      </c>
      <c r="E48" s="430">
        <f>COUNTIFS(CampList[[#All],[Status]],"Open",CampList[[#All],[Type of Accomodation]],"Camp like setting",CampList[[#All],[Accessibility]],"NGCA")</f>
        <v>0</v>
      </c>
      <c r="F48" s="448">
        <f>SUMIFS(CampList[[#All],[Total]],CampList[[#All],[Status]],"Open",CampList[[#All],[Type of Accomodation]],"Camp like setting",CampList[[#All],[Accessibility]],"NGCA")</f>
        <v>0</v>
      </c>
      <c r="G48" s="195">
        <f>C48+E48</f>
        <v>23</v>
      </c>
      <c r="H48" s="448">
        <f>F48+D48</f>
        <v>3740</v>
      </c>
      <c r="I48" s="455">
        <f t="shared" si="0"/>
        <v>3.7301523976701507E-2</v>
      </c>
      <c r="J48" s="191"/>
      <c r="K48" s="191"/>
      <c r="L48" s="191"/>
      <c r="M48" s="204"/>
      <c r="N48" s="204"/>
      <c r="O48" s="204"/>
      <c r="P48" s="204"/>
      <c r="Q48" s="204"/>
      <c r="R48" s="204"/>
      <c r="S48" s="426"/>
      <c r="T48" s="195"/>
      <c r="U48" s="287"/>
      <c r="V48" s="287"/>
      <c r="W48" s="411"/>
      <c r="X48" s="411"/>
      <c r="Y48" s="411"/>
      <c r="Z48" s="411"/>
      <c r="AA48" s="411"/>
      <c r="AB48" s="411"/>
      <c r="AC48" s="411"/>
      <c r="AD48" s="411"/>
      <c r="AE48" s="411"/>
      <c r="AF48" s="411"/>
      <c r="AG48" s="411"/>
      <c r="AJ48" s="427"/>
      <c r="AK48" s="427"/>
      <c r="AL48" s="427"/>
      <c r="AM48" s="427"/>
      <c r="AO48" s="440"/>
      <c r="AU48" s="411"/>
      <c r="AV48" s="411"/>
      <c r="AW48" s="411"/>
      <c r="AX48" s="411"/>
      <c r="AY48" s="411"/>
      <c r="AZ48" s="287"/>
      <c r="BA48" s="287"/>
    </row>
    <row r="49" spans="1:53" s="412" customFormat="1" ht="18.75" customHeight="1" x14ac:dyDescent="0.25">
      <c r="A49" s="421"/>
      <c r="B49" s="441" t="s">
        <v>3</v>
      </c>
      <c r="C49" s="434">
        <f t="shared" ref="C49:H49" si="2">SUM(C45:C48)</f>
        <v>145</v>
      </c>
      <c r="D49" s="449">
        <f t="shared" si="2"/>
        <v>61621</v>
      </c>
      <c r="E49" s="434">
        <f t="shared" si="2"/>
        <v>19</v>
      </c>
      <c r="F49" s="449">
        <f t="shared" si="2"/>
        <v>38643</v>
      </c>
      <c r="G49" s="309">
        <f t="shared" si="2"/>
        <v>164</v>
      </c>
      <c r="H49" s="449">
        <f t="shared" si="2"/>
        <v>100264</v>
      </c>
      <c r="I49" s="479">
        <f t="shared" si="0"/>
        <v>1</v>
      </c>
      <c r="J49" s="191"/>
      <c r="K49" s="191"/>
      <c r="L49" s="191"/>
      <c r="M49" s="204"/>
      <c r="N49" s="204"/>
      <c r="O49" s="204"/>
      <c r="P49" s="204"/>
      <c r="Q49" s="204"/>
      <c r="R49" s="204"/>
      <c r="S49" s="426"/>
      <c r="T49" s="195"/>
      <c r="U49" s="287"/>
      <c r="V49" s="287"/>
      <c r="W49" s="411"/>
      <c r="X49" s="411"/>
      <c r="Y49" s="411"/>
      <c r="Z49" s="411"/>
      <c r="AA49" s="411"/>
      <c r="AB49" s="411"/>
      <c r="AC49" s="411"/>
      <c r="AD49" s="411"/>
      <c r="AE49" s="411"/>
      <c r="AF49" s="411"/>
      <c r="AG49" s="411"/>
      <c r="AI49" s="412" t="s">
        <v>480</v>
      </c>
      <c r="AJ49" s="427" t="e">
        <v>#REF!</v>
      </c>
      <c r="AK49" s="427" t="e">
        <v>#REF!</v>
      </c>
      <c r="AL49" s="427" t="e">
        <v>#REF!</v>
      </c>
      <c r="AM49" s="427" t="e">
        <v>#REF!</v>
      </c>
      <c r="AN49" s="412" t="e">
        <v>#REF!</v>
      </c>
      <c r="AO49" s="440" t="e">
        <f t="shared" si="1"/>
        <v>#REF!</v>
      </c>
      <c r="AU49" s="411"/>
      <c r="AV49" s="411"/>
      <c r="AW49" s="411"/>
      <c r="AX49" s="411"/>
      <c r="AY49" s="411"/>
      <c r="AZ49" s="287"/>
      <c r="BA49" s="287"/>
    </row>
    <row r="50" spans="1:53" s="412" customFormat="1" ht="3.75" customHeight="1" x14ac:dyDescent="0.25">
      <c r="A50" s="421"/>
      <c r="B50" s="191"/>
      <c r="C50" s="191"/>
      <c r="D50" s="191"/>
      <c r="E50" s="191"/>
      <c r="F50" s="204"/>
      <c r="G50" s="204"/>
      <c r="H50" s="204"/>
      <c r="I50" s="455">
        <f t="shared" si="0"/>
        <v>0</v>
      </c>
      <c r="J50" s="204"/>
      <c r="K50" s="204"/>
      <c r="L50" s="204"/>
      <c r="M50" s="204"/>
      <c r="N50" s="204"/>
      <c r="O50" s="204"/>
      <c r="P50" s="204"/>
      <c r="Q50" s="204"/>
      <c r="R50" s="204"/>
      <c r="S50" s="426"/>
      <c r="T50" s="195"/>
      <c r="U50" s="287"/>
      <c r="V50" s="287"/>
      <c r="W50" s="411"/>
      <c r="X50" s="411"/>
      <c r="Y50" s="411"/>
      <c r="Z50" s="411"/>
      <c r="AA50" s="411"/>
      <c r="AB50" s="411"/>
      <c r="AC50" s="411"/>
      <c r="AD50" s="411"/>
      <c r="AE50" s="411"/>
      <c r="AF50" s="411"/>
      <c r="AG50" s="411"/>
      <c r="AI50" s="412" t="s">
        <v>144</v>
      </c>
      <c r="AJ50" s="427" t="e">
        <v>#REF!</v>
      </c>
      <c r="AK50" s="427" t="e">
        <v>#REF!</v>
      </c>
      <c r="AL50" s="427" t="e">
        <v>#REF!</v>
      </c>
      <c r="AM50" s="427" t="e">
        <v>#REF!</v>
      </c>
      <c r="AN50" s="412" t="e">
        <v>#REF!</v>
      </c>
      <c r="AO50" s="440" t="e">
        <f t="shared" si="1"/>
        <v>#REF!</v>
      </c>
      <c r="AU50" s="411"/>
      <c r="AV50" s="411"/>
      <c r="AW50" s="411"/>
      <c r="AX50" s="411"/>
      <c r="AY50" s="411"/>
      <c r="AZ50" s="287"/>
      <c r="BA50" s="287"/>
    </row>
    <row r="51" spans="1:53" s="412" customFormat="1" ht="48" customHeight="1" x14ac:dyDescent="0.25">
      <c r="A51" s="421"/>
      <c r="B51" s="191"/>
      <c r="C51" s="191"/>
      <c r="D51" s="191"/>
      <c r="E51" s="191"/>
      <c r="F51" s="204"/>
      <c r="G51" s="204"/>
      <c r="H51" s="204"/>
      <c r="I51" s="204"/>
      <c r="J51" s="204"/>
      <c r="K51" s="204"/>
      <c r="L51" s="204"/>
      <c r="M51" s="204"/>
      <c r="N51" s="204"/>
      <c r="O51" s="204"/>
      <c r="P51" s="204"/>
      <c r="Q51" s="204"/>
      <c r="R51" s="204"/>
      <c r="S51" s="426"/>
      <c r="T51" s="195"/>
      <c r="U51" s="287"/>
      <c r="V51" s="287"/>
      <c r="W51" s="411"/>
      <c r="X51" s="411"/>
      <c r="Y51" s="411"/>
      <c r="Z51" s="411"/>
      <c r="AA51" s="411"/>
      <c r="AB51" s="411"/>
      <c r="AC51" s="411"/>
      <c r="AD51" s="411"/>
      <c r="AE51" s="411"/>
      <c r="AF51" s="411"/>
      <c r="AG51" s="411"/>
      <c r="AI51" s="412" t="s">
        <v>146</v>
      </c>
      <c r="AJ51" s="427" t="e">
        <v>#REF!</v>
      </c>
      <c r="AK51" s="427" t="e">
        <v>#REF!</v>
      </c>
      <c r="AL51" s="427" t="e">
        <v>#REF!</v>
      </c>
      <c r="AM51" s="427" t="e">
        <v>#REF!</v>
      </c>
      <c r="AN51" s="412" t="e">
        <v>#REF!</v>
      </c>
      <c r="AO51" s="440" t="e">
        <f t="shared" si="1"/>
        <v>#REF!</v>
      </c>
      <c r="AU51" s="411"/>
      <c r="AV51" s="411"/>
      <c r="AW51" s="411"/>
      <c r="AX51" s="411"/>
      <c r="AY51" s="411"/>
      <c r="AZ51" s="287"/>
      <c r="BA51" s="287"/>
    </row>
    <row r="52" spans="1:53" s="412" customFormat="1" ht="1.5" customHeight="1" thickBot="1" x14ac:dyDescent="0.3">
      <c r="A52" s="442"/>
      <c r="B52" s="443"/>
      <c r="C52" s="443"/>
      <c r="D52" s="443"/>
      <c r="E52" s="443"/>
      <c r="F52" s="443"/>
      <c r="G52" s="443"/>
      <c r="H52" s="443"/>
      <c r="I52" s="443"/>
      <c r="J52" s="443"/>
      <c r="K52" s="443"/>
      <c r="L52" s="443"/>
      <c r="M52" s="443"/>
      <c r="N52" s="443"/>
      <c r="O52" s="443"/>
      <c r="P52" s="443"/>
      <c r="Q52" s="444"/>
      <c r="R52" s="444"/>
      <c r="S52" s="445"/>
      <c r="T52" s="195"/>
      <c r="U52" s="287"/>
      <c r="V52" s="287"/>
      <c r="W52" s="411"/>
      <c r="X52" s="411"/>
      <c r="Y52" s="411"/>
      <c r="Z52" s="411"/>
      <c r="AA52" s="411"/>
      <c r="AB52" s="411"/>
      <c r="AC52" s="411"/>
      <c r="AD52" s="411"/>
      <c r="AE52" s="411"/>
      <c r="AF52" s="411"/>
      <c r="AG52" s="411"/>
      <c r="AI52" s="412" t="s">
        <v>151</v>
      </c>
      <c r="AJ52" s="427" t="e">
        <v>#REF!</v>
      </c>
      <c r="AK52" s="427" t="e">
        <v>#REF!</v>
      </c>
      <c r="AL52" s="427" t="e">
        <v>#REF!</v>
      </c>
      <c r="AM52" s="427" t="e">
        <v>#REF!</v>
      </c>
      <c r="AN52" s="412" t="e">
        <v>#REF!</v>
      </c>
      <c r="AO52" s="440" t="e">
        <f t="shared" si="1"/>
        <v>#REF!</v>
      </c>
      <c r="AU52" s="411"/>
      <c r="AV52" s="411"/>
      <c r="AW52" s="411"/>
      <c r="AX52" s="411"/>
      <c r="AY52" s="411"/>
      <c r="AZ52" s="287"/>
      <c r="BA52" s="287"/>
    </row>
    <row r="53" spans="1:53" s="412" customFormat="1" ht="18.600000000000001" customHeight="1" x14ac:dyDescent="0.25">
      <c r="A53" s="422"/>
      <c r="B53" s="422"/>
      <c r="C53" s="422"/>
      <c r="D53" s="422"/>
      <c r="E53" s="422"/>
      <c r="F53" s="422"/>
      <c r="G53" s="422"/>
      <c r="H53" s="422"/>
      <c r="I53" s="422"/>
      <c r="J53" s="422"/>
      <c r="K53" s="422"/>
      <c r="L53" s="422"/>
      <c r="M53" s="422"/>
      <c r="N53" s="422"/>
      <c r="O53" s="422"/>
      <c r="P53" s="422"/>
      <c r="Q53" s="204"/>
      <c r="R53" s="204"/>
      <c r="S53" s="422"/>
      <c r="T53" s="195"/>
      <c r="U53" s="287"/>
      <c r="V53" s="287"/>
      <c r="W53" s="411"/>
      <c r="X53" s="411"/>
      <c r="Y53" s="411"/>
      <c r="Z53" s="411"/>
      <c r="AA53" s="411"/>
      <c r="AB53" s="411"/>
      <c r="AC53" s="411"/>
      <c r="AD53" s="411"/>
      <c r="AE53" s="411"/>
      <c r="AF53" s="411"/>
      <c r="AG53" s="411"/>
      <c r="AI53" s="412" t="s">
        <v>361</v>
      </c>
      <c r="AJ53" s="427" t="e">
        <v>#REF!</v>
      </c>
      <c r="AK53" s="427" t="e">
        <v>#REF!</v>
      </c>
      <c r="AL53" s="427" t="e">
        <v>#REF!</v>
      </c>
      <c r="AM53" s="427" t="e">
        <v>#REF!</v>
      </c>
      <c r="AN53" s="412" t="e">
        <v>#REF!</v>
      </c>
      <c r="AO53" s="440" t="e">
        <f t="shared" si="1"/>
        <v>#REF!</v>
      </c>
      <c r="AU53" s="411"/>
      <c r="AV53" s="411"/>
      <c r="AW53" s="411"/>
      <c r="AX53" s="411"/>
      <c r="AY53" s="411"/>
      <c r="AZ53" s="287"/>
      <c r="BA53" s="287"/>
    </row>
    <row r="54" spans="1:53" s="412" customFormat="1" x14ac:dyDescent="0.25">
      <c r="A54" s="195"/>
      <c r="B54" s="195"/>
      <c r="C54" s="195"/>
      <c r="D54" s="195"/>
      <c r="E54" s="195"/>
      <c r="F54" s="195"/>
      <c r="G54" s="195"/>
      <c r="H54" s="195"/>
      <c r="I54" s="195"/>
      <c r="J54" s="195"/>
      <c r="K54" s="195"/>
      <c r="L54" s="195"/>
      <c r="M54" s="195"/>
      <c r="N54" s="195"/>
      <c r="O54" s="195"/>
      <c r="P54" s="195"/>
      <c r="Q54" s="195"/>
      <c r="R54" s="195"/>
      <c r="S54" s="195"/>
      <c r="T54" s="195"/>
      <c r="U54" s="287"/>
      <c r="V54" s="287"/>
      <c r="W54" s="411"/>
      <c r="X54" s="411"/>
      <c r="Y54" s="411"/>
      <c r="Z54" s="411"/>
      <c r="AA54" s="411"/>
      <c r="AB54" s="411"/>
      <c r="AC54" s="411"/>
      <c r="AD54" s="411"/>
      <c r="AE54" s="411"/>
      <c r="AF54" s="411"/>
      <c r="AG54" s="411"/>
      <c r="AI54" s="412" t="s">
        <v>166</v>
      </c>
      <c r="AJ54" s="427" t="e">
        <v>#REF!</v>
      </c>
      <c r="AK54" s="427" t="e">
        <v>#REF!</v>
      </c>
      <c r="AL54" s="427" t="e">
        <v>#REF!</v>
      </c>
      <c r="AM54" s="427" t="e">
        <v>#REF!</v>
      </c>
      <c r="AN54" s="412" t="e">
        <v>#REF!</v>
      </c>
      <c r="AO54" s="440" t="e">
        <f t="shared" si="1"/>
        <v>#REF!</v>
      </c>
      <c r="AU54" s="411"/>
      <c r="AV54" s="411"/>
      <c r="AW54" s="411"/>
      <c r="AX54" s="411"/>
      <c r="AY54" s="411"/>
      <c r="AZ54" s="287"/>
      <c r="BA54" s="287"/>
    </row>
    <row r="55" spans="1:53" s="412" customFormat="1" x14ac:dyDescent="0.25">
      <c r="A55" s="195"/>
      <c r="B55" s="195"/>
      <c r="C55" s="195"/>
      <c r="D55" s="195"/>
      <c r="E55" s="195"/>
      <c r="F55" s="451"/>
      <c r="G55" s="195"/>
      <c r="H55" s="195"/>
      <c r="I55" s="195"/>
      <c r="J55" s="195"/>
      <c r="K55" s="195"/>
      <c r="L55" s="195"/>
      <c r="M55" s="195"/>
      <c r="N55" s="195"/>
      <c r="O55" s="195"/>
      <c r="P55" s="195"/>
      <c r="Q55" s="195"/>
      <c r="R55" s="195"/>
      <c r="S55" s="195"/>
      <c r="T55" s="195"/>
      <c r="U55" s="287"/>
      <c r="V55" s="287"/>
      <c r="W55" s="411"/>
      <c r="X55" s="411"/>
      <c r="Y55" s="411"/>
      <c r="Z55" s="411"/>
      <c r="AA55" s="411"/>
      <c r="AB55" s="411"/>
      <c r="AC55" s="411"/>
      <c r="AD55" s="411"/>
      <c r="AE55" s="411"/>
      <c r="AF55" s="411"/>
      <c r="AG55" s="411"/>
      <c r="AI55" s="412" t="s">
        <v>173</v>
      </c>
      <c r="AJ55" s="427" t="e">
        <v>#REF!</v>
      </c>
      <c r="AK55" s="427" t="e">
        <v>#REF!</v>
      </c>
      <c r="AL55" s="427" t="e">
        <v>#REF!</v>
      </c>
      <c r="AM55" s="427" t="e">
        <v>#REF!</v>
      </c>
      <c r="AN55" s="412" t="e">
        <v>#REF!</v>
      </c>
      <c r="AO55" s="440" t="e">
        <f t="shared" si="1"/>
        <v>#REF!</v>
      </c>
      <c r="AU55" s="411"/>
      <c r="AV55" s="411"/>
      <c r="AW55" s="411"/>
      <c r="AX55" s="411"/>
      <c r="AY55" s="411"/>
      <c r="AZ55" s="287"/>
      <c r="BA55" s="287"/>
    </row>
    <row r="56" spans="1:53" s="412" customFormat="1" x14ac:dyDescent="0.25">
      <c r="A56" s="195"/>
      <c r="B56" s="195"/>
      <c r="C56" s="195"/>
      <c r="D56" s="195"/>
      <c r="E56" s="195"/>
      <c r="F56" s="195"/>
      <c r="G56" s="451"/>
      <c r="H56" s="195"/>
      <c r="I56" s="195"/>
      <c r="J56" s="195"/>
      <c r="K56" s="195"/>
      <c r="L56" s="195"/>
      <c r="M56" s="195"/>
      <c r="N56" s="195"/>
      <c r="O56" s="195"/>
      <c r="P56" s="195"/>
      <c r="Q56" s="195"/>
      <c r="R56" s="195"/>
      <c r="S56" s="195"/>
      <c r="T56" s="195"/>
      <c r="U56" s="287"/>
      <c r="V56" s="287"/>
      <c r="W56" s="411"/>
      <c r="X56" s="411"/>
      <c r="Y56" s="411"/>
      <c r="Z56" s="411"/>
      <c r="AA56" s="411"/>
      <c r="AB56" s="411"/>
      <c r="AC56" s="411"/>
      <c r="AD56" s="411"/>
      <c r="AE56" s="411"/>
      <c r="AF56" s="411"/>
      <c r="AG56" s="411"/>
      <c r="AI56" s="412" t="s">
        <v>719</v>
      </c>
      <c r="AJ56" s="427" t="e">
        <v>#REF!</v>
      </c>
      <c r="AK56" s="427" t="e">
        <v>#REF!</v>
      </c>
      <c r="AL56" s="427" t="e">
        <v>#REF!</v>
      </c>
      <c r="AM56" s="427" t="e">
        <v>#REF!</v>
      </c>
      <c r="AN56" s="412" t="e">
        <v>#REF!</v>
      </c>
      <c r="AO56" s="440" t="e">
        <f t="shared" si="1"/>
        <v>#REF!</v>
      </c>
      <c r="AU56" s="411"/>
      <c r="AV56" s="411"/>
      <c r="AW56" s="411"/>
      <c r="AX56" s="411"/>
      <c r="AY56" s="411"/>
      <c r="AZ56" s="287"/>
      <c r="BA56" s="287"/>
    </row>
    <row r="57" spans="1:53" s="412" customFormat="1" x14ac:dyDescent="0.25">
      <c r="A57" s="195"/>
      <c r="B57" s="195"/>
      <c r="C57" s="195"/>
      <c r="D57" s="195"/>
      <c r="E57" s="446"/>
      <c r="F57" s="195"/>
      <c r="G57" s="195"/>
      <c r="H57" s="195"/>
      <c r="I57" s="195"/>
      <c r="J57" s="195"/>
      <c r="K57" s="195"/>
      <c r="L57" s="195"/>
      <c r="M57" s="195"/>
      <c r="N57" s="195"/>
      <c r="O57" s="195"/>
      <c r="P57" s="195"/>
      <c r="Q57" s="195"/>
      <c r="R57" s="195"/>
      <c r="S57" s="195"/>
      <c r="T57" s="195"/>
      <c r="U57" s="287"/>
      <c r="V57" s="287"/>
      <c r="W57" s="411"/>
      <c r="X57" s="411"/>
      <c r="Y57" s="411"/>
      <c r="Z57" s="411"/>
      <c r="AA57" s="411"/>
      <c r="AB57" s="411"/>
      <c r="AC57" s="411"/>
      <c r="AD57" s="411"/>
      <c r="AE57" s="411"/>
      <c r="AF57" s="411"/>
      <c r="AG57" s="411"/>
      <c r="AI57" s="412" t="s">
        <v>180</v>
      </c>
      <c r="AJ57" s="427" t="e">
        <v>#REF!</v>
      </c>
      <c r="AK57" s="427" t="e">
        <v>#REF!</v>
      </c>
      <c r="AL57" s="427" t="e">
        <v>#REF!</v>
      </c>
      <c r="AM57" s="427" t="e">
        <v>#REF!</v>
      </c>
      <c r="AN57" s="412" t="e">
        <v>#REF!</v>
      </c>
      <c r="AO57" s="440" t="e">
        <f t="shared" si="1"/>
        <v>#REF!</v>
      </c>
      <c r="AU57" s="411"/>
      <c r="AV57" s="411"/>
      <c r="AW57" s="411"/>
      <c r="AX57" s="411"/>
      <c r="AY57" s="411"/>
      <c r="AZ57" s="287"/>
      <c r="BA57" s="287"/>
    </row>
    <row r="58" spans="1:53" s="412" customFormat="1" x14ac:dyDescent="0.25">
      <c r="A58" s="195"/>
      <c r="B58" s="195"/>
      <c r="C58" s="195"/>
      <c r="D58" s="195"/>
      <c r="E58" s="195"/>
      <c r="F58" s="195"/>
      <c r="G58" s="195"/>
      <c r="H58" s="195"/>
      <c r="I58" s="195"/>
      <c r="J58" s="195"/>
      <c r="K58" s="195"/>
      <c r="L58" s="195"/>
      <c r="M58" s="195"/>
      <c r="N58" s="195"/>
      <c r="O58" s="195"/>
      <c r="P58" s="195"/>
      <c r="Q58" s="195"/>
      <c r="R58" s="195"/>
      <c r="S58" s="195"/>
      <c r="T58" s="195"/>
      <c r="U58" s="287"/>
      <c r="V58" s="287"/>
      <c r="W58" s="411"/>
      <c r="X58" s="411"/>
      <c r="Y58" s="411"/>
      <c r="Z58" s="411"/>
      <c r="AA58" s="411"/>
      <c r="AB58" s="411"/>
      <c r="AC58" s="411"/>
      <c r="AD58" s="411"/>
      <c r="AE58" s="411"/>
      <c r="AF58" s="411"/>
      <c r="AG58" s="411"/>
      <c r="AI58" s="412" t="s">
        <v>185</v>
      </c>
      <c r="AJ58" s="427" t="e">
        <v>#REF!</v>
      </c>
      <c r="AK58" s="427" t="e">
        <v>#REF!</v>
      </c>
      <c r="AL58" s="427" t="e">
        <v>#REF!</v>
      </c>
      <c r="AM58" s="427" t="e">
        <v>#REF!</v>
      </c>
      <c r="AN58" s="412" t="e">
        <v>#REF!</v>
      </c>
      <c r="AO58" s="440" t="e">
        <f t="shared" si="1"/>
        <v>#REF!</v>
      </c>
      <c r="AU58" s="411"/>
      <c r="AV58" s="411"/>
      <c r="AW58" s="411"/>
      <c r="AX58" s="411"/>
      <c r="AY58" s="411"/>
      <c r="AZ58" s="287"/>
      <c r="BA58" s="287"/>
    </row>
    <row r="59" spans="1:53" s="412" customFormat="1" x14ac:dyDescent="0.25">
      <c r="A59" s="195"/>
      <c r="B59" s="195"/>
      <c r="C59" s="195"/>
      <c r="D59" s="195"/>
      <c r="E59" s="195"/>
      <c r="F59" s="195"/>
      <c r="G59" s="195"/>
      <c r="H59" s="195"/>
      <c r="I59" s="195"/>
      <c r="J59" s="195"/>
      <c r="K59" s="195"/>
      <c r="L59" s="195"/>
      <c r="M59" s="195"/>
      <c r="N59" s="195"/>
      <c r="O59" s="195"/>
      <c r="P59" s="195"/>
      <c r="Q59" s="195"/>
      <c r="R59" s="195"/>
      <c r="S59" s="195"/>
      <c r="T59" s="195"/>
      <c r="U59" s="287"/>
      <c r="V59" s="287"/>
      <c r="W59" s="411"/>
      <c r="X59" s="411"/>
      <c r="Y59" s="411"/>
      <c r="Z59" s="411"/>
      <c r="AA59" s="411"/>
      <c r="AB59" s="411"/>
      <c r="AC59" s="411"/>
      <c r="AD59" s="411"/>
      <c r="AE59" s="411"/>
      <c r="AF59" s="411"/>
      <c r="AG59" s="411"/>
      <c r="AI59" s="412" t="s">
        <v>230</v>
      </c>
      <c r="AJ59" s="427" t="e">
        <v>#REF!</v>
      </c>
      <c r="AK59" s="427" t="e">
        <v>#REF!</v>
      </c>
      <c r="AL59" s="427" t="e">
        <v>#REF!</v>
      </c>
      <c r="AM59" s="427" t="e">
        <v>#REF!</v>
      </c>
      <c r="AN59" s="412" t="e">
        <v>#REF!</v>
      </c>
      <c r="AO59" s="440" t="e">
        <f t="shared" si="1"/>
        <v>#REF!</v>
      </c>
      <c r="AU59" s="411"/>
      <c r="AV59" s="411"/>
      <c r="AW59" s="411"/>
      <c r="AX59" s="411"/>
      <c r="AY59" s="411"/>
      <c r="AZ59" s="287"/>
      <c r="BA59" s="287"/>
    </row>
    <row r="60" spans="1:53" s="412" customFormat="1" x14ac:dyDescent="0.25">
      <c r="A60" s="195"/>
      <c r="B60" s="195"/>
      <c r="C60" s="195"/>
      <c r="D60" s="195"/>
      <c r="E60" s="195"/>
      <c r="F60" s="195"/>
      <c r="G60" s="195"/>
      <c r="H60" s="195"/>
      <c r="I60" s="195"/>
      <c r="J60" s="195"/>
      <c r="K60" s="195"/>
      <c r="L60" s="195"/>
      <c r="M60" s="195"/>
      <c r="N60" s="195"/>
      <c r="O60" s="195"/>
      <c r="P60" s="195"/>
      <c r="Q60" s="195"/>
      <c r="R60" s="195"/>
      <c r="S60" s="195"/>
      <c r="T60" s="195"/>
      <c r="U60" s="287"/>
      <c r="V60" s="287"/>
      <c r="W60" s="411"/>
      <c r="X60" s="411"/>
      <c r="Y60" s="411"/>
      <c r="Z60" s="411"/>
      <c r="AA60" s="411"/>
      <c r="AB60" s="411"/>
      <c r="AC60" s="411"/>
      <c r="AD60" s="411"/>
      <c r="AE60" s="411"/>
      <c r="AF60" s="411"/>
      <c r="AG60" s="411"/>
      <c r="AI60" s="412" t="s">
        <v>237</v>
      </c>
      <c r="AJ60" s="427" t="e">
        <v>#REF!</v>
      </c>
      <c r="AK60" s="427" t="e">
        <v>#REF!</v>
      </c>
      <c r="AL60" s="427" t="e">
        <v>#REF!</v>
      </c>
      <c r="AM60" s="427" t="e">
        <v>#REF!</v>
      </c>
      <c r="AN60" s="412" t="e">
        <v>#REF!</v>
      </c>
      <c r="AO60" s="440" t="e">
        <f t="shared" si="1"/>
        <v>#REF!</v>
      </c>
      <c r="AU60" s="411"/>
      <c r="AV60" s="411"/>
      <c r="AW60" s="411"/>
      <c r="AX60" s="411"/>
      <c r="AY60" s="411"/>
      <c r="AZ60" s="287"/>
      <c r="BA60" s="287"/>
    </row>
    <row r="61" spans="1:53" s="412" customFormat="1" x14ac:dyDescent="0.25">
      <c r="A61" s="195"/>
      <c r="B61" s="195"/>
      <c r="C61" s="195"/>
      <c r="D61" s="195"/>
      <c r="E61" s="195"/>
      <c r="F61" s="195"/>
      <c r="G61" s="195"/>
      <c r="H61" s="195"/>
      <c r="I61" s="195"/>
      <c r="J61" s="195"/>
      <c r="K61" s="195"/>
      <c r="L61" s="195"/>
      <c r="M61" s="195"/>
      <c r="N61" s="195"/>
      <c r="O61" s="195"/>
      <c r="P61" s="195"/>
      <c r="Q61" s="195"/>
      <c r="R61" s="195"/>
      <c r="S61" s="195"/>
      <c r="T61" s="195"/>
      <c r="U61" s="287"/>
      <c r="V61" s="287"/>
      <c r="W61" s="411"/>
      <c r="X61" s="411"/>
      <c r="Y61" s="411"/>
      <c r="Z61" s="411"/>
      <c r="AA61" s="411"/>
      <c r="AB61" s="411"/>
      <c r="AC61" s="411"/>
      <c r="AD61" s="411"/>
      <c r="AE61" s="411"/>
      <c r="AF61" s="411"/>
      <c r="AG61" s="411"/>
      <c r="AI61" s="412" t="s">
        <v>288</v>
      </c>
      <c r="AJ61" s="427" t="e">
        <v>#REF!</v>
      </c>
      <c r="AK61" s="427" t="e">
        <v>#REF!</v>
      </c>
      <c r="AL61" s="427" t="e">
        <v>#REF!</v>
      </c>
      <c r="AM61" s="427" t="e">
        <v>#REF!</v>
      </c>
      <c r="AN61" s="412" t="e">
        <v>#REF!</v>
      </c>
      <c r="AO61" s="440" t="e">
        <f t="shared" si="1"/>
        <v>#REF!</v>
      </c>
      <c r="AU61" s="411"/>
      <c r="AV61" s="411"/>
      <c r="AW61" s="411"/>
      <c r="AX61" s="411"/>
      <c r="AY61" s="411"/>
      <c r="AZ61" s="287"/>
      <c r="BA61" s="287"/>
    </row>
    <row r="62" spans="1:53" s="412" customFormat="1" x14ac:dyDescent="0.25">
      <c r="A62" s="195"/>
      <c r="B62" s="195"/>
      <c r="C62" s="195"/>
      <c r="D62" s="195"/>
      <c r="E62" s="195"/>
      <c r="F62" s="195"/>
      <c r="G62" s="195"/>
      <c r="H62" s="195"/>
      <c r="I62" s="195"/>
      <c r="J62" s="195"/>
      <c r="K62" s="195"/>
      <c r="L62" s="195"/>
      <c r="M62" s="195"/>
      <c r="N62" s="195"/>
      <c r="O62" s="195"/>
      <c r="P62" s="195"/>
      <c r="Q62" s="195"/>
      <c r="R62" s="195"/>
      <c r="S62" s="195"/>
      <c r="T62" s="195"/>
      <c r="U62" s="287"/>
      <c r="V62" s="287"/>
      <c r="W62" s="411"/>
      <c r="X62" s="411"/>
      <c r="Y62" s="411"/>
      <c r="Z62" s="411"/>
      <c r="AA62" s="411"/>
      <c r="AB62" s="411"/>
      <c r="AC62" s="411"/>
      <c r="AD62" s="411"/>
      <c r="AE62" s="411"/>
      <c r="AF62" s="411"/>
      <c r="AG62" s="411"/>
      <c r="AI62" s="412" t="s">
        <v>297</v>
      </c>
      <c r="AJ62" s="427" t="e">
        <v>#REF!</v>
      </c>
      <c r="AK62" s="427" t="e">
        <v>#REF!</v>
      </c>
      <c r="AL62" s="427" t="e">
        <v>#REF!</v>
      </c>
      <c r="AM62" s="427" t="e">
        <v>#REF!</v>
      </c>
      <c r="AN62" s="412" t="e">
        <v>#REF!</v>
      </c>
      <c r="AO62" s="440" t="e">
        <f t="shared" si="1"/>
        <v>#REF!</v>
      </c>
      <c r="AU62" s="411"/>
      <c r="AV62" s="411"/>
      <c r="AW62" s="411"/>
      <c r="AX62" s="411"/>
      <c r="AY62" s="411"/>
      <c r="AZ62" s="287"/>
      <c r="BA62" s="287"/>
    </row>
    <row r="63" spans="1:53" s="412" customFormat="1" x14ac:dyDescent="0.25">
      <c r="A63" s="195"/>
      <c r="B63" s="195"/>
      <c r="C63" s="195"/>
      <c r="D63" s="195"/>
      <c r="E63" s="195"/>
      <c r="F63" s="195"/>
      <c r="G63" s="195"/>
      <c r="H63" s="195"/>
      <c r="I63" s="195"/>
      <c r="J63" s="195"/>
      <c r="K63" s="195"/>
      <c r="L63" s="195"/>
      <c r="M63" s="195"/>
      <c r="N63" s="195"/>
      <c r="O63" s="195"/>
      <c r="P63" s="195"/>
      <c r="Q63" s="195"/>
      <c r="R63" s="195"/>
      <c r="S63" s="195"/>
      <c r="T63" s="195"/>
      <c r="U63" s="287"/>
      <c r="V63" s="287"/>
      <c r="W63" s="411"/>
      <c r="X63" s="411"/>
      <c r="Y63" s="411"/>
      <c r="Z63" s="411"/>
      <c r="AA63" s="411"/>
      <c r="AB63" s="411"/>
      <c r="AC63" s="411"/>
      <c r="AD63" s="411"/>
      <c r="AE63" s="411"/>
      <c r="AF63" s="411"/>
      <c r="AG63" s="411"/>
      <c r="AI63" s="412" t="s">
        <v>299</v>
      </c>
      <c r="AJ63" s="427" t="e">
        <v>#REF!</v>
      </c>
      <c r="AK63" s="427" t="e">
        <v>#REF!</v>
      </c>
      <c r="AL63" s="427" t="e">
        <v>#REF!</v>
      </c>
      <c r="AM63" s="427" t="e">
        <v>#REF!</v>
      </c>
      <c r="AN63" s="412" t="e">
        <v>#REF!</v>
      </c>
      <c r="AO63" s="440" t="e">
        <f t="shared" si="1"/>
        <v>#REF!</v>
      </c>
      <c r="AU63" s="411"/>
      <c r="AV63" s="411"/>
      <c r="AW63" s="411"/>
      <c r="AX63" s="411"/>
      <c r="AY63" s="411"/>
      <c r="AZ63" s="287"/>
      <c r="BA63" s="287"/>
    </row>
    <row r="64" spans="1:53" s="412" customFormat="1" x14ac:dyDescent="0.25">
      <c r="A64" s="195"/>
      <c r="B64" s="195"/>
      <c r="C64" s="195"/>
      <c r="D64" s="195"/>
      <c r="E64" s="195"/>
      <c r="F64" s="195"/>
      <c r="G64" s="195"/>
      <c r="H64" s="195"/>
      <c r="I64" s="195"/>
      <c r="J64" s="195"/>
      <c r="K64" s="195"/>
      <c r="L64" s="195"/>
      <c r="M64" s="195"/>
      <c r="N64" s="195"/>
      <c r="O64" s="195"/>
      <c r="P64" s="195"/>
      <c r="Q64" s="195"/>
      <c r="R64" s="195"/>
      <c r="S64" s="195"/>
      <c r="T64" s="195"/>
      <c r="U64" s="287"/>
      <c r="V64" s="287"/>
      <c r="W64" s="411"/>
      <c r="X64" s="411"/>
      <c r="Y64" s="411"/>
      <c r="Z64" s="411"/>
      <c r="AA64" s="411"/>
      <c r="AB64" s="411"/>
      <c r="AC64" s="411"/>
      <c r="AD64" s="411"/>
      <c r="AE64" s="411"/>
      <c r="AF64" s="411"/>
      <c r="AG64" s="411"/>
      <c r="AI64" s="412" t="s">
        <v>301</v>
      </c>
      <c r="AJ64" s="427" t="e">
        <v>#REF!</v>
      </c>
      <c r="AK64" s="427" t="e">
        <v>#REF!</v>
      </c>
      <c r="AL64" s="427" t="e">
        <v>#REF!</v>
      </c>
      <c r="AM64" s="427" t="e">
        <v>#REF!</v>
      </c>
      <c r="AN64" s="412" t="e">
        <v>#REF!</v>
      </c>
      <c r="AO64" s="440" t="e">
        <f t="shared" si="1"/>
        <v>#REF!</v>
      </c>
      <c r="AU64" s="411"/>
      <c r="AV64" s="411"/>
      <c r="AW64" s="411"/>
      <c r="AX64" s="411"/>
      <c r="AY64" s="411"/>
      <c r="AZ64" s="287"/>
      <c r="BA64" s="287"/>
    </row>
    <row r="65" spans="1:53" s="411" customFormat="1" x14ac:dyDescent="0.25">
      <c r="A65" s="195"/>
      <c r="B65" s="195"/>
      <c r="C65" s="195"/>
      <c r="D65" s="195"/>
      <c r="E65" s="195"/>
      <c r="F65" s="195"/>
      <c r="G65" s="195"/>
      <c r="H65" s="195"/>
      <c r="I65" s="195"/>
      <c r="J65" s="195"/>
      <c r="K65" s="195"/>
      <c r="L65" s="195"/>
      <c r="M65" s="195"/>
      <c r="N65" s="195"/>
      <c r="O65" s="195"/>
      <c r="P65" s="195"/>
      <c r="Q65" s="195"/>
      <c r="R65" s="195"/>
      <c r="S65" s="195"/>
      <c r="T65" s="195"/>
      <c r="U65" s="287"/>
      <c r="V65" s="287"/>
      <c r="AH65" s="412"/>
      <c r="AI65" s="412" t="s">
        <v>747</v>
      </c>
      <c r="AJ65" s="427" t="e">
        <v>#REF!</v>
      </c>
      <c r="AK65" s="427" t="e">
        <v>#REF!</v>
      </c>
      <c r="AL65" s="427" t="e">
        <v>#REF!</v>
      </c>
      <c r="AM65" s="427" t="e">
        <v>#REF!</v>
      </c>
      <c r="AN65" s="412" t="e">
        <v>#REF!</v>
      </c>
      <c r="AO65" s="440" t="e">
        <f t="shared" si="1"/>
        <v>#REF!</v>
      </c>
      <c r="AP65" s="412"/>
      <c r="AQ65" s="412"/>
      <c r="AR65" s="412"/>
      <c r="AS65" s="412"/>
      <c r="AT65" s="412"/>
      <c r="AZ65" s="287"/>
      <c r="BA65" s="287"/>
    </row>
    <row r="66" spans="1:53" s="411" customFormat="1" x14ac:dyDescent="0.25">
      <c r="A66" s="195"/>
      <c r="B66" s="195"/>
      <c r="C66" s="195"/>
      <c r="D66" s="195"/>
      <c r="E66" s="195"/>
      <c r="F66" s="195"/>
      <c r="G66" s="195"/>
      <c r="H66" s="195"/>
      <c r="I66" s="195"/>
      <c r="J66" s="195"/>
      <c r="K66" s="195"/>
      <c r="L66" s="195"/>
      <c r="M66" s="195"/>
      <c r="N66" s="195"/>
      <c r="O66" s="195"/>
      <c r="P66" s="195"/>
      <c r="Q66" s="195"/>
      <c r="R66" s="195"/>
      <c r="S66" s="195"/>
      <c r="T66" s="195"/>
      <c r="U66" s="287"/>
      <c r="V66" s="287"/>
      <c r="AH66" s="412"/>
      <c r="AI66" s="412" t="s">
        <v>309</v>
      </c>
      <c r="AJ66" s="427" t="e">
        <v>#REF!</v>
      </c>
      <c r="AK66" s="427" t="e">
        <v>#REF!</v>
      </c>
      <c r="AL66" s="427" t="e">
        <v>#REF!</v>
      </c>
      <c r="AM66" s="427" t="e">
        <v>#REF!</v>
      </c>
      <c r="AN66" s="412" t="e">
        <v>#REF!</v>
      </c>
      <c r="AO66" s="440" t="e">
        <f>SUM(AJ66:AN66)</f>
        <v>#REF!</v>
      </c>
      <c r="AP66" s="412"/>
      <c r="AQ66" s="412"/>
      <c r="AR66" s="412"/>
      <c r="AS66" s="412"/>
      <c r="AT66" s="412"/>
      <c r="AZ66" s="287"/>
      <c r="BA66" s="287"/>
    </row>
    <row r="67" spans="1:53" s="287" customFormat="1" x14ac:dyDescent="0.25">
      <c r="AH67" s="197"/>
      <c r="AI67" s="411" t="s">
        <v>818</v>
      </c>
      <c r="AJ67" s="427" t="e">
        <v>#REF!</v>
      </c>
      <c r="AK67" s="427" t="e">
        <v>#REF!</v>
      </c>
      <c r="AL67" s="427" t="e">
        <v>#REF!</v>
      </c>
      <c r="AM67" s="427" t="e">
        <v>#REF!</v>
      </c>
      <c r="AN67" s="412" t="e">
        <v>#REF!</v>
      </c>
      <c r="AO67" s="440" t="e">
        <f>SUM(AJ67:AN67)</f>
        <v>#REF!</v>
      </c>
      <c r="AP67" s="197"/>
      <c r="AQ67" s="197"/>
      <c r="AR67" s="197"/>
      <c r="AS67" s="197"/>
      <c r="AT67" s="197"/>
    </row>
    <row r="68" spans="1:53" s="411" customFormat="1" x14ac:dyDescent="0.25">
      <c r="A68" s="195"/>
      <c r="B68" s="195"/>
      <c r="C68" s="195"/>
      <c r="D68" s="195"/>
      <c r="E68" s="195"/>
      <c r="F68" s="195"/>
      <c r="G68" s="195"/>
      <c r="H68" s="195"/>
      <c r="I68" s="195"/>
      <c r="J68" s="195"/>
      <c r="K68" s="195"/>
      <c r="L68" s="195"/>
      <c r="M68" s="195"/>
      <c r="N68" s="195"/>
      <c r="O68" s="195"/>
      <c r="P68" s="195"/>
      <c r="Q68" s="195"/>
      <c r="R68" s="195"/>
      <c r="S68" s="195"/>
      <c r="T68" s="195"/>
      <c r="U68" s="287"/>
      <c r="V68" s="287"/>
      <c r="AH68" s="412"/>
      <c r="AI68" s="412" t="s">
        <v>1140</v>
      </c>
      <c r="AJ68" s="427" t="e">
        <v>#REF!</v>
      </c>
      <c r="AK68" s="427" t="e">
        <v>#REF!</v>
      </c>
      <c r="AL68" s="427" t="e">
        <v>#REF!</v>
      </c>
      <c r="AM68" s="427" t="e">
        <v>#REF!</v>
      </c>
      <c r="AN68" s="412" t="e">
        <v>#REF!</v>
      </c>
      <c r="AO68" s="440" t="e">
        <f>SUM(AJ68:AN68)</f>
        <v>#REF!</v>
      </c>
      <c r="AP68" s="412"/>
      <c r="AQ68" s="412"/>
      <c r="AR68" s="412"/>
      <c r="AS68" s="412"/>
      <c r="AT68" s="412"/>
      <c r="AZ68" s="287"/>
      <c r="BA68" s="287"/>
    </row>
    <row r="69" spans="1:53" s="411" customFormat="1" x14ac:dyDescent="0.25">
      <c r="A69" s="195"/>
      <c r="B69" s="195"/>
      <c r="C69" s="195"/>
      <c r="D69" s="195"/>
      <c r="E69" s="195"/>
      <c r="F69" s="195"/>
      <c r="G69" s="195"/>
      <c r="H69" s="195"/>
      <c r="I69" s="195"/>
      <c r="J69" s="195"/>
      <c r="K69" s="195"/>
      <c r="L69" s="195"/>
      <c r="M69" s="195"/>
      <c r="N69" s="195"/>
      <c r="O69" s="195"/>
      <c r="P69" s="195"/>
      <c r="Q69" s="195"/>
      <c r="R69" s="195"/>
      <c r="S69" s="195"/>
      <c r="T69" s="195"/>
      <c r="U69" s="287"/>
      <c r="V69" s="287"/>
      <c r="AH69" s="412"/>
      <c r="AI69" s="412" t="s">
        <v>1204</v>
      </c>
      <c r="AJ69" s="427" t="e">
        <v>#REF!</v>
      </c>
      <c r="AK69" s="427" t="e">
        <v>#REF!</v>
      </c>
      <c r="AL69" s="427" t="e">
        <v>#REF!</v>
      </c>
      <c r="AM69" s="427" t="e">
        <v>#REF!</v>
      </c>
      <c r="AN69" s="412" t="e">
        <v>#REF!</v>
      </c>
      <c r="AO69" s="440" t="e">
        <f>SUM(AJ69:AN69)</f>
        <v>#REF!</v>
      </c>
      <c r="AP69" s="412"/>
      <c r="AQ69" s="412"/>
      <c r="AR69" s="412"/>
      <c r="AS69" s="412"/>
      <c r="AT69" s="412"/>
      <c r="AZ69" s="287"/>
      <c r="BA69" s="287"/>
    </row>
    <row r="70" spans="1:53" s="411" customFormat="1" x14ac:dyDescent="0.25">
      <c r="A70" s="195"/>
      <c r="B70" s="195"/>
      <c r="C70" s="195"/>
      <c r="D70" s="195"/>
      <c r="E70" s="195"/>
      <c r="F70" s="195"/>
      <c r="G70" s="195"/>
      <c r="H70" s="195"/>
      <c r="I70" s="195"/>
      <c r="J70" s="195"/>
      <c r="K70" s="195"/>
      <c r="L70" s="195"/>
      <c r="M70" s="195"/>
      <c r="N70" s="195"/>
      <c r="O70" s="195"/>
      <c r="P70" s="195"/>
      <c r="Q70" s="195"/>
      <c r="R70" s="195"/>
      <c r="S70" s="195"/>
      <c r="T70" s="195"/>
      <c r="U70" s="287"/>
      <c r="V70" s="287"/>
      <c r="AH70" s="412"/>
      <c r="AI70" s="412" t="s">
        <v>3</v>
      </c>
      <c r="AJ70" s="436" t="e">
        <f>SUM(AJ46:AJ69)</f>
        <v>#REF!</v>
      </c>
      <c r="AK70" s="436" t="e">
        <f>SUM(AK46:AK69)</f>
        <v>#REF!</v>
      </c>
      <c r="AL70" s="436" t="e">
        <f>SUM(AL46:AL69)</f>
        <v>#REF!</v>
      </c>
      <c r="AM70" s="436" t="e">
        <f>SUM(AM46:AM69)</f>
        <v>#REF!</v>
      </c>
      <c r="AN70" s="436" t="e">
        <f>SUM(AN46:AN69)</f>
        <v>#REF!</v>
      </c>
      <c r="AO70" s="440" t="e">
        <f>SUM(AJ70:AN70)</f>
        <v>#REF!</v>
      </c>
      <c r="AP70" s="412"/>
      <c r="AQ70" s="412"/>
      <c r="AR70" s="412"/>
      <c r="AS70" s="412"/>
      <c r="AT70" s="412"/>
      <c r="AZ70" s="287"/>
      <c r="BA70" s="287"/>
    </row>
    <row r="98" spans="1:53" s="411" customFormat="1" x14ac:dyDescent="0.25">
      <c r="A98" s="195"/>
      <c r="B98" s="195"/>
      <c r="C98" s="195"/>
      <c r="D98" s="195"/>
      <c r="E98" s="195"/>
      <c r="F98" s="195"/>
      <c r="G98" s="195"/>
      <c r="H98" s="195"/>
      <c r="I98" s="195"/>
      <c r="J98" s="195"/>
      <c r="K98" s="195"/>
      <c r="L98" s="195"/>
      <c r="M98" s="195"/>
      <c r="N98" s="195"/>
      <c r="O98" s="195"/>
      <c r="P98" s="195"/>
      <c r="Q98" s="195"/>
      <c r="R98" s="195"/>
      <c r="S98" s="195"/>
      <c r="T98" s="195"/>
      <c r="U98" s="287"/>
      <c r="V98" s="287"/>
      <c r="Y98" s="447"/>
      <c r="AA98" s="447"/>
      <c r="AH98" s="412"/>
      <c r="AI98" s="412"/>
      <c r="AJ98" s="412"/>
      <c r="AK98" s="412"/>
      <c r="AL98" s="412"/>
      <c r="AM98" s="412"/>
      <c r="AN98" s="412"/>
      <c r="AO98" s="412"/>
      <c r="AP98" s="412"/>
      <c r="AQ98" s="412"/>
      <c r="AR98" s="412"/>
      <c r="AS98" s="412"/>
      <c r="AT98" s="412"/>
      <c r="AZ98" s="287"/>
      <c r="BA98" s="287"/>
    </row>
    <row r="99" spans="1:53" s="411" customFormat="1" x14ac:dyDescent="0.25">
      <c r="A99" s="195"/>
      <c r="B99" s="195"/>
      <c r="C99" s="195"/>
      <c r="D99" s="195"/>
      <c r="E99" s="195"/>
      <c r="F99" s="195"/>
      <c r="G99" s="195"/>
      <c r="H99" s="195"/>
      <c r="I99" s="195"/>
      <c r="J99" s="195"/>
      <c r="K99" s="195"/>
      <c r="L99" s="195"/>
      <c r="M99" s="195"/>
      <c r="N99" s="195"/>
      <c r="O99" s="195"/>
      <c r="P99" s="195"/>
      <c r="Q99" s="195"/>
      <c r="R99" s="195"/>
      <c r="S99" s="195"/>
      <c r="T99" s="195"/>
      <c r="U99" s="287"/>
      <c r="V99" s="287"/>
      <c r="Y99" s="447"/>
      <c r="AH99" s="412"/>
      <c r="AI99" s="412"/>
      <c r="AJ99" s="412"/>
      <c r="AK99" s="412"/>
      <c r="AL99" s="412"/>
      <c r="AM99" s="412"/>
      <c r="AN99" s="412"/>
      <c r="AO99" s="412"/>
      <c r="AP99" s="412"/>
      <c r="AQ99" s="412"/>
      <c r="AR99" s="412"/>
      <c r="AS99" s="412"/>
      <c r="AT99" s="412"/>
      <c r="AZ99" s="287"/>
      <c r="BA99" s="287"/>
    </row>
    <row r="100" spans="1:53" s="411" customFormat="1" x14ac:dyDescent="0.25">
      <c r="A100" s="195"/>
      <c r="B100" s="195"/>
      <c r="C100" s="195"/>
      <c r="D100" s="195"/>
      <c r="E100" s="195"/>
      <c r="F100" s="195"/>
      <c r="G100" s="195"/>
      <c r="H100" s="195"/>
      <c r="I100" s="195"/>
      <c r="J100" s="195"/>
      <c r="K100" s="195"/>
      <c r="L100" s="195"/>
      <c r="M100" s="195"/>
      <c r="N100" s="195"/>
      <c r="O100" s="195"/>
      <c r="P100" s="195"/>
      <c r="Q100" s="195"/>
      <c r="R100" s="195"/>
      <c r="S100" s="195"/>
      <c r="T100" s="195"/>
      <c r="U100" s="287"/>
      <c r="V100" s="287"/>
      <c r="Y100" s="447"/>
      <c r="AH100" s="412"/>
      <c r="AI100" s="412"/>
      <c r="AJ100" s="412"/>
      <c r="AK100" s="412"/>
      <c r="AL100" s="412"/>
      <c r="AM100" s="412"/>
      <c r="AN100" s="412"/>
      <c r="AO100" s="412"/>
      <c r="AP100" s="412"/>
      <c r="AQ100" s="412"/>
      <c r="AR100" s="412"/>
      <c r="AS100" s="412"/>
      <c r="AT100" s="412"/>
      <c r="AZ100" s="287"/>
      <c r="BA100" s="287"/>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67" t="s">
        <v>412</v>
      </c>
      <c r="AJ2" s="467" t="s">
        <v>1461</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1486</v>
      </c>
      <c r="Y3" s="463">
        <f>'CCCM Dashboard'!$D$15</f>
        <v>8351</v>
      </c>
      <c r="Z3" s="62" t="str">
        <f>CONCATENATE(AG2," cp",IF(AG2&gt;1,"s",""))</f>
        <v>Column1 cps</v>
      </c>
      <c r="AA3" s="202" t="e">
        <f>#REF!</f>
        <v>#REF!</v>
      </c>
      <c r="AB3" s="63">
        <v>0</v>
      </c>
      <c r="AC3" s="63">
        <v>0</v>
      </c>
      <c r="AD3" s="63">
        <v>0</v>
      </c>
      <c r="AE3" s="64">
        <f>$S$3-ROUND((W3-$S$1)*$S$5,0)</f>
        <v>496</v>
      </c>
      <c r="AF3" s="65">
        <f t="shared" ref="AF3:AF25" si="0">ROUND((V3-$S$2)*$S$5,0)+$S$4</f>
        <v>181</v>
      </c>
      <c r="AG3" s="66">
        <f>'CCCM Dashboard'!E15</f>
        <v>11</v>
      </c>
      <c r="AI3" s="463">
        <f>'CCCM Dashboard'!$D$15</f>
        <v>8351</v>
      </c>
      <c r="AJ3" s="492">
        <f>COUNTIFS('NFI Distributions'!$B$6:$B$212,"&gt;5/1/2017",'NFI Distributions'!$G$6:$G$212,Table58[[#This Row],[Township]])</f>
        <v>20</v>
      </c>
      <c r="AK3" s="466"/>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497</v>
      </c>
      <c r="Y4" s="464">
        <f>'CCCM Dashboard'!$D$16</f>
        <v>2471</v>
      </c>
      <c r="Z4" s="62" t="str">
        <f t="shared" ref="Z4:Z25" si="1">CONCATENATE(AG3," cp",IF(AG3&gt;1,"s",""))</f>
        <v>11 cps</v>
      </c>
      <c r="AA4" s="202" t="e">
        <f>#REF!</f>
        <v>#REF!</v>
      </c>
      <c r="AB4" s="63">
        <v>1</v>
      </c>
      <c r="AC4" s="63">
        <v>0</v>
      </c>
      <c r="AD4" s="63">
        <v>0.95387840670859536</v>
      </c>
      <c r="AE4" s="64">
        <f t="shared" ref="AE4:AE25" si="2">$S$3-ROUND((W4-$S$1)*$S$5,0)</f>
        <v>286</v>
      </c>
      <c r="AF4" s="65">
        <f t="shared" si="0"/>
        <v>337</v>
      </c>
      <c r="AG4" s="66">
        <f>'CCCM Dashboard'!E16</f>
        <v>5</v>
      </c>
      <c r="AI4" s="464">
        <f>'CCCM Dashboard'!$D$16</f>
        <v>2471</v>
      </c>
      <c r="AJ4" s="492">
        <f>COUNTIFS('NFI Distributions'!$B$6:$B$212,"&gt;5/1/2017",'NFI Distributions'!$G$6:$G$212,Table58[[#This Row],[Township]])</f>
        <v>4</v>
      </c>
      <c r="AK4" s="466"/>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701</v>
      </c>
      <c r="Y5" s="463">
        <f>'CCCM Dashboard'!$D$17</f>
        <v>3554</v>
      </c>
      <c r="Z5" s="62" t="str">
        <f t="shared" si="1"/>
        <v>5 cps</v>
      </c>
      <c r="AA5" s="202" t="e">
        <f>#REF!</f>
        <v>#REF!</v>
      </c>
      <c r="AB5" s="63">
        <v>0.69172932330827064</v>
      </c>
      <c r="AC5" s="63">
        <v>0</v>
      </c>
      <c r="AD5" s="63">
        <v>1</v>
      </c>
      <c r="AE5" s="64">
        <f t="shared" si="2"/>
        <v>288</v>
      </c>
      <c r="AF5" s="65">
        <f t="shared" si="0"/>
        <v>84</v>
      </c>
      <c r="AG5" s="66">
        <f>'CCCM Dashboard'!E17</f>
        <v>21</v>
      </c>
      <c r="AI5" s="463">
        <f>'CCCM Dashboard'!$D$17</f>
        <v>3554</v>
      </c>
      <c r="AJ5" s="492">
        <f>COUNTIFS('NFI Distributions'!$B$6:$B$212,"&gt;5/1/2017",'NFI Distributions'!$G$6:$G$212,Table58[[#This Row],[Township]])</f>
        <v>0</v>
      </c>
      <c r="AK5" s="466"/>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99</v>
      </c>
      <c r="Y6" s="464">
        <f>'CCCM Dashboard'!$D$33</f>
        <v>559</v>
      </c>
      <c r="Z6" s="62" t="str">
        <f t="shared" si="1"/>
        <v>21 cps</v>
      </c>
      <c r="AA6" s="202" t="e">
        <f>#REF!</f>
        <v>#REF!</v>
      </c>
      <c r="AB6" s="63"/>
      <c r="AC6" s="63"/>
      <c r="AD6" s="63"/>
      <c r="AE6" s="64">
        <f t="shared" si="2"/>
        <v>629</v>
      </c>
      <c r="AF6" s="65">
        <f t="shared" si="0"/>
        <v>308</v>
      </c>
      <c r="AG6" s="66">
        <f>'CCCM Dashboard'!E33</f>
        <v>2</v>
      </c>
      <c r="AI6" s="464">
        <f>'CCCM Dashboard'!$D$33</f>
        <v>559</v>
      </c>
      <c r="AJ6" s="492">
        <f>COUNTIFS('NFI Distributions'!$B$6:$B$212,"&gt;5/1/2017",'NFI Distributions'!$G$6:$G$212,Table58[[#This Row],[Township]])</f>
        <v>3</v>
      </c>
      <c r="AK6" s="466"/>
      <c r="CR6" s="3"/>
      <c r="CS6" s="3"/>
      <c r="CT6" s="3"/>
      <c r="CU6" s="3"/>
      <c r="CV6" s="3"/>
      <c r="CW6" s="3"/>
      <c r="CX6" s="3"/>
      <c r="CY6" s="3"/>
      <c r="CZ6" s="3"/>
      <c r="DA6" s="3"/>
      <c r="DB6" s="3"/>
      <c r="DC6" s="3"/>
      <c r="DD6" s="3"/>
      <c r="DE6" s="3"/>
      <c r="DF6" s="3"/>
    </row>
    <row r="7" spans="15:110" ht="18.75" customHeight="1" x14ac:dyDescent="0.4">
      <c r="O7" s="138"/>
      <c r="P7" s="138"/>
      <c r="T7" s="313" t="s">
        <v>1205</v>
      </c>
      <c r="U7" s="314" t="s">
        <v>1204</v>
      </c>
      <c r="V7" s="315">
        <v>97.298102999999998</v>
      </c>
      <c r="W7" s="316">
        <v>22.618938</v>
      </c>
      <c r="X7" s="61">
        <f>'CCCM Dashboard'!C38</f>
        <v>37</v>
      </c>
      <c r="Y7" s="463">
        <f>'CCCM Dashboard'!$D$38</f>
        <v>120</v>
      </c>
      <c r="Z7" s="62" t="str">
        <f t="shared" si="1"/>
        <v>2 cps</v>
      </c>
      <c r="AA7" s="202" t="e">
        <f>#REF!</f>
        <v>#REF!</v>
      </c>
      <c r="AB7" s="317"/>
      <c r="AC7" s="317"/>
      <c r="AD7" s="317"/>
      <c r="AE7" s="318">
        <f>$S$3-ROUND((W7-$S$1)*$S$5,0)</f>
        <v>715</v>
      </c>
      <c r="AF7" s="319">
        <f t="shared" si="0"/>
        <v>204</v>
      </c>
      <c r="AG7" s="66">
        <f>'CCCM Dashboard'!E38</f>
        <v>1</v>
      </c>
      <c r="AI7" s="463">
        <f>'CCCM Dashboard'!$D$38</f>
        <v>120</v>
      </c>
      <c r="AJ7" s="492">
        <f>COUNTIFS('NFI Distributions'!$B$6:$B$212,"&gt;5/1/2017",'NFI Distributions'!$G$6:$G$212,Table58[[#This Row],[Township]])</f>
        <v>0</v>
      </c>
      <c r="AK7" s="466"/>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64">
        <f>'CCCM Dashboard'!$D$18</f>
        <v>0</v>
      </c>
      <c r="Z8" s="62" t="str">
        <f t="shared" si="1"/>
        <v>1 cp</v>
      </c>
      <c r="AA8" s="202" t="e">
        <f>#REF!</f>
        <v>#REF!</v>
      </c>
      <c r="AB8" s="63">
        <v>0</v>
      </c>
      <c r="AC8" s="63">
        <v>0</v>
      </c>
      <c r="AD8" s="63">
        <v>0</v>
      </c>
      <c r="AE8" s="64">
        <f>$S$3-ROUND((W8-$S$1)*$S$5,0)</f>
        <v>245</v>
      </c>
      <c r="AF8" s="65">
        <f t="shared" si="0"/>
        <v>281</v>
      </c>
      <c r="AG8" s="66">
        <f>'CCCM Dashboard'!E18</f>
        <v>0</v>
      </c>
      <c r="AI8" s="464">
        <f>'CCCM Dashboard'!$D$18</f>
        <v>0</v>
      </c>
      <c r="AJ8" s="492">
        <f>COUNTIFS('NFI Distributions'!$B$6:$B$212,"&gt;5/1/2017",'NFI Distributions'!$G$6:$G$212,Table58[[#This Row],[Township]])</f>
        <v>0</v>
      </c>
      <c r="AK8" s="466"/>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63">
        <f>'CCCM Dashboard'!$D$19</f>
        <v>0</v>
      </c>
      <c r="Z9" s="62" t="str">
        <f t="shared" si="1"/>
        <v>0 cp</v>
      </c>
      <c r="AA9" s="202" t="e">
        <f>#REF!</f>
        <v>#REF!</v>
      </c>
      <c r="AB9" s="63">
        <v>0</v>
      </c>
      <c r="AC9" s="63">
        <v>0</v>
      </c>
      <c r="AD9" s="63">
        <v>0</v>
      </c>
      <c r="AE9" s="64">
        <f t="shared" si="2"/>
        <v>132</v>
      </c>
      <c r="AF9" s="65">
        <f t="shared" si="0"/>
        <v>352</v>
      </c>
      <c r="AG9" s="66">
        <f>'CCCM Dashboard'!E19</f>
        <v>0</v>
      </c>
      <c r="AI9" s="463">
        <f>'CCCM Dashboard'!$D$19</f>
        <v>0</v>
      </c>
      <c r="AJ9" s="492">
        <f>COUNTIFS('NFI Distributions'!$B$6:$B$212,"&gt;5/1/2017",'NFI Distributions'!$G$6:$G$212,Table58[[#This Row],[Township]])</f>
        <v>0</v>
      </c>
      <c r="AK9" s="466"/>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863</v>
      </c>
      <c r="Y10" s="464">
        <f>'CCCM Dashboard'!$D$34</f>
        <v>4215</v>
      </c>
      <c r="Z10" s="62" t="str">
        <f t="shared" si="1"/>
        <v>0 cp</v>
      </c>
      <c r="AA10" s="202" t="e">
        <f>#REF!</f>
        <v>#REF!</v>
      </c>
      <c r="AB10" s="63">
        <v>0</v>
      </c>
      <c r="AC10" s="63">
        <v>0</v>
      </c>
      <c r="AD10" s="63">
        <v>1</v>
      </c>
      <c r="AE10" s="64">
        <f>$S$3-ROUND((W10-$S$1)*$S$5,0)</f>
        <v>593</v>
      </c>
      <c r="AF10" s="65">
        <f t="shared" si="0"/>
        <v>308</v>
      </c>
      <c r="AG10" s="66">
        <f>'CCCM Dashboard'!E34</f>
        <v>14</v>
      </c>
      <c r="AI10" s="464">
        <f>'CCCM Dashboard'!$D$34</f>
        <v>4215</v>
      </c>
      <c r="AJ10" s="492">
        <f>COUNTIFS('NFI Distributions'!$B$6:$B$212,"&gt;5/1/2017",'NFI Distributions'!$G$6:$G$212,Table58[[#This Row],[Township]])</f>
        <v>4</v>
      </c>
      <c r="CR10" s="3"/>
      <c r="CS10" s="3"/>
      <c r="CT10" s="3"/>
      <c r="CU10" s="3"/>
      <c r="CV10" s="3"/>
      <c r="CW10" s="3"/>
      <c r="CX10" s="3"/>
      <c r="CY10" s="3"/>
      <c r="CZ10" s="3"/>
      <c r="DA10" s="3"/>
      <c r="DB10" s="3"/>
      <c r="DC10" s="3"/>
      <c r="DD10" s="3"/>
      <c r="DE10" s="3"/>
      <c r="DF10" s="3"/>
    </row>
    <row r="11" spans="15:110" ht="18.75" customHeight="1" x14ac:dyDescent="0.35">
      <c r="O11" s="5"/>
      <c r="P11" s="5"/>
      <c r="T11" s="67" t="s">
        <v>819</v>
      </c>
      <c r="U11" s="61" t="s">
        <v>818</v>
      </c>
      <c r="V11" s="68">
        <v>97.88</v>
      </c>
      <c r="W11" s="69">
        <v>27.2</v>
      </c>
      <c r="X11" s="61">
        <f>'CCCM Dashboard'!C20</f>
        <v>0</v>
      </c>
      <c r="Y11" s="463">
        <f>'CCCM Dashboard'!$D$20</f>
        <v>0</v>
      </c>
      <c r="Z11" s="62" t="str">
        <f t="shared" si="1"/>
        <v>14 cps</v>
      </c>
      <c r="AA11" s="202" t="e">
        <f>#REF!</f>
        <v>#REF!</v>
      </c>
      <c r="AB11" s="63"/>
      <c r="AC11" s="63"/>
      <c r="AD11" s="63"/>
      <c r="AE11" s="64">
        <f>$S$3-ROUND((W11-$S$1)*$S$5,0)</f>
        <v>119</v>
      </c>
      <c r="AF11" s="65">
        <f t="shared" si="0"/>
        <v>279</v>
      </c>
      <c r="AG11" s="66">
        <f>'CCCM Dashboard'!E20</f>
        <v>0</v>
      </c>
      <c r="AI11" s="463">
        <f>'CCCM Dashboard'!$D$20</f>
        <v>0</v>
      </c>
      <c r="AJ11" s="492">
        <f>COUNTIFS('NFI Distributions'!$B$6:$B$212,"&gt;5/1/2017",'NFI Distributions'!$G$6:$G$212,Table58[[#This Row],[Township]])</f>
        <v>0</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2840</v>
      </c>
      <c r="Y12" s="464">
        <f>'CCCM Dashboard'!$D$21</f>
        <v>13346</v>
      </c>
      <c r="Z12" s="62" t="str">
        <f t="shared" si="1"/>
        <v>0 cp</v>
      </c>
      <c r="AA12" s="202" t="e">
        <f>#REF!</f>
        <v>#REF!</v>
      </c>
      <c r="AB12" s="63">
        <v>0</v>
      </c>
      <c r="AC12" s="63">
        <v>0</v>
      </c>
      <c r="AD12" s="63">
        <v>0</v>
      </c>
      <c r="AE12" s="64">
        <f t="shared" si="2"/>
        <v>535</v>
      </c>
      <c r="AF12" s="65">
        <f t="shared" si="0"/>
        <v>213</v>
      </c>
      <c r="AG12" s="66">
        <f>'CCCM Dashboard'!E21</f>
        <v>11</v>
      </c>
      <c r="AI12" s="464">
        <f>'CCCM Dashboard'!$D$21</f>
        <v>13346</v>
      </c>
      <c r="AJ12" s="492">
        <f>COUNTIFS('NFI Distributions'!$B$6:$B$212,"&gt;5/1/2017",'NFI Distributions'!$G$6:$G$212,Table58[[#This Row],[Township]])</f>
        <v>18</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98</v>
      </c>
      <c r="Y13" s="463">
        <f>'CCCM Dashboard'!$D$35</f>
        <v>541</v>
      </c>
      <c r="Z13" s="62" t="str">
        <f t="shared" si="1"/>
        <v>11 cps</v>
      </c>
      <c r="AA13" s="202" t="e">
        <f>#REF!</f>
        <v>#REF!</v>
      </c>
      <c r="AB13" s="63">
        <v>0</v>
      </c>
      <c r="AC13" s="63">
        <v>0</v>
      </c>
      <c r="AD13" s="63">
        <v>0</v>
      </c>
      <c r="AE13" s="64">
        <f>$S$3-ROUND((W13-$S$1)*$S$5,0)</f>
        <v>620</v>
      </c>
      <c r="AF13" s="65">
        <f t="shared" si="0"/>
        <v>200</v>
      </c>
      <c r="AG13" s="66">
        <f>'CCCM Dashboard'!E35</f>
        <v>3</v>
      </c>
      <c r="AI13" s="463">
        <f>'CCCM Dashboard'!$D$35</f>
        <v>541</v>
      </c>
      <c r="AJ13" s="492">
        <f>COUNTIFS('NFI Distributions'!$B$6:$B$212,"&gt;5/1/2017",'NFI Distributions'!$G$6:$G$212,Table58[[#This Row],[Township]])</f>
        <v>0</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66</v>
      </c>
      <c r="Y14" s="464">
        <f>'CCCM Dashboard'!$D$22</f>
        <v>325</v>
      </c>
      <c r="Z14" s="62" t="str">
        <f t="shared" si="1"/>
        <v>3 cps</v>
      </c>
      <c r="AA14" s="202" t="e">
        <f>#REF!</f>
        <v>#REF!</v>
      </c>
      <c r="AB14" s="63">
        <v>0</v>
      </c>
      <c r="AC14" s="63">
        <v>0</v>
      </c>
      <c r="AD14" s="63">
        <v>0</v>
      </c>
      <c r="AE14" s="64">
        <f t="shared" si="2"/>
        <v>353</v>
      </c>
      <c r="AF14" s="65">
        <f t="shared" si="0"/>
        <v>152</v>
      </c>
      <c r="AG14" s="66">
        <f>'CCCM Dashboard'!E22</f>
        <v>4</v>
      </c>
      <c r="AI14" s="464">
        <f>'CCCM Dashboard'!$D$22</f>
        <v>325</v>
      </c>
      <c r="AJ14" s="492">
        <f>COUNTIFS('NFI Distributions'!$B$6:$B$212,"&gt;5/1/2017",'NFI Distributions'!$G$6:$G$212,Table58[[#This Row],[Township]])</f>
        <v>0</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76</v>
      </c>
      <c r="Y15" s="463">
        <f>'CCCM Dashboard'!$D$23</f>
        <v>349</v>
      </c>
      <c r="Z15" s="62" t="str">
        <f t="shared" si="1"/>
        <v>4 cps</v>
      </c>
      <c r="AA15" s="202" t="e">
        <f>#REF!</f>
        <v>#REF!</v>
      </c>
      <c r="AB15" s="63">
        <v>1</v>
      </c>
      <c r="AC15" s="63">
        <v>0</v>
      </c>
      <c r="AD15" s="63">
        <v>0</v>
      </c>
      <c r="AE15" s="64">
        <f t="shared" si="2"/>
        <v>411</v>
      </c>
      <c r="AF15" s="65">
        <f t="shared" si="0"/>
        <v>84</v>
      </c>
      <c r="AG15" s="66">
        <f>'CCCM Dashboard'!E23</f>
        <v>4</v>
      </c>
      <c r="AI15" s="463">
        <f>'CCCM Dashboard'!$D$23</f>
        <v>349</v>
      </c>
      <c r="AJ15" s="492">
        <f>COUNTIFS('NFI Distributions'!$B$6:$B$212,"&gt;5/1/2017",'NFI Distributions'!$G$6:$G$212,Table58[[#This Row],[Township]])</f>
        <v>3</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4741</v>
      </c>
      <c r="Y16" s="464">
        <f>'CCCM Dashboard'!$D$24</f>
        <v>24892</v>
      </c>
      <c r="Z16" s="62" t="str">
        <f t="shared" si="1"/>
        <v>4 cps</v>
      </c>
      <c r="AA16" s="202" t="e">
        <f>#REF!</f>
        <v>#REF!</v>
      </c>
      <c r="AB16" s="63">
        <v>0.12549019607843137</v>
      </c>
      <c r="AC16" s="63">
        <v>0</v>
      </c>
      <c r="AD16" s="63">
        <v>0.58263305322128844</v>
      </c>
      <c r="AE16" s="64">
        <f t="shared" si="2"/>
        <v>457</v>
      </c>
      <c r="AF16" s="65">
        <f t="shared" si="0"/>
        <v>223</v>
      </c>
      <c r="AG16" s="66">
        <f>'CCCM Dashboard'!E24</f>
        <v>15</v>
      </c>
      <c r="AI16" s="464">
        <f>'CCCM Dashboard'!$D$24</f>
        <v>24892</v>
      </c>
      <c r="AJ16" s="492">
        <f>COUNTIFS('NFI Distributions'!$B$6:$B$212,"&gt;5/1/2017",'NFI Distributions'!$G$6:$G$212,Table58[[#This Row],[Township]])</f>
        <v>15</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248</v>
      </c>
      <c r="Y17" s="463">
        <f>'CCCM Dashboard'!$D$36</f>
        <v>1265</v>
      </c>
      <c r="Z17" s="62" t="str">
        <f t="shared" si="1"/>
        <v>15 cps</v>
      </c>
      <c r="AA17" s="202" t="e">
        <f>#REF!</f>
        <v>#REF!</v>
      </c>
      <c r="AB17" s="63">
        <v>0</v>
      </c>
      <c r="AC17" s="63">
        <v>0</v>
      </c>
      <c r="AD17" s="63">
        <v>0</v>
      </c>
      <c r="AE17" s="64">
        <f t="shared" si="2"/>
        <v>539</v>
      </c>
      <c r="AF17" s="65">
        <f t="shared" si="0"/>
        <v>311</v>
      </c>
      <c r="AG17" s="66">
        <f>'CCCM Dashboard'!E36</f>
        <v>4</v>
      </c>
      <c r="AI17" s="463">
        <f>'CCCM Dashboard'!$D$36</f>
        <v>1265</v>
      </c>
      <c r="AJ17" s="492">
        <f>COUNTIFS('NFI Distributions'!$B$6:$B$212,"&gt;5/1/2017",'NFI Distributions'!$G$6:$G$212,Table58[[#This Row],[Township]])</f>
        <v>0</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1494</v>
      </c>
      <c r="Y18" s="464">
        <f>'CCCM Dashboard'!$D$25</f>
        <v>7696</v>
      </c>
      <c r="Z18" s="62" t="str">
        <f t="shared" si="1"/>
        <v>4 cps</v>
      </c>
      <c r="AA18" s="202" t="e">
        <f>#REF!</f>
        <v>#REF!</v>
      </c>
      <c r="AB18" s="63">
        <v>0.65062761506276146</v>
      </c>
      <c r="AC18" s="63">
        <v>0</v>
      </c>
      <c r="AD18" s="63">
        <v>0.25732217573221761</v>
      </c>
      <c r="AE18" s="64">
        <f t="shared" si="2"/>
        <v>374</v>
      </c>
      <c r="AF18" s="65">
        <f t="shared" si="0"/>
        <v>204</v>
      </c>
      <c r="AG18" s="66">
        <f>'CCCM Dashboard'!E25</f>
        <v>22</v>
      </c>
      <c r="AI18" s="464">
        <f>'CCCM Dashboard'!$D$25</f>
        <v>7696</v>
      </c>
      <c r="AJ18" s="492">
        <f>COUNTIFS('NFI Distributions'!$B$6:$B$212,"&gt;5/1/2017",'NFI Distributions'!$G$6:$G$212,Table58[[#This Row],[Township]])</f>
        <v>26</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409</v>
      </c>
      <c r="Y19" s="463">
        <f>'CCCM Dashboard'!$D$37</f>
        <v>1976</v>
      </c>
      <c r="Z19" s="62" t="str">
        <f t="shared" si="1"/>
        <v>22 cps</v>
      </c>
      <c r="AA19" s="202" t="e">
        <f>#REF!</f>
        <v>#REF!</v>
      </c>
      <c r="AB19" s="63">
        <v>0</v>
      </c>
      <c r="AC19" s="63">
        <v>0</v>
      </c>
      <c r="AD19" s="63">
        <v>0</v>
      </c>
      <c r="AE19" s="64">
        <f t="shared" si="2"/>
        <v>574</v>
      </c>
      <c r="AF19" s="65">
        <f t="shared" si="0"/>
        <v>246</v>
      </c>
      <c r="AG19" s="66">
        <f>'CCCM Dashboard'!E37</f>
        <v>6</v>
      </c>
      <c r="AI19" s="463">
        <f>'CCCM Dashboard'!$D$37</f>
        <v>1976</v>
      </c>
      <c r="AJ19" s="492">
        <f>COUNTIFS('NFI Distributions'!$B$6:$B$212,"&gt;5/1/2017",'NFI Distributions'!$G$6:$G$212,Table58[[#This Row],[Township]])</f>
        <v>0</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162</v>
      </c>
      <c r="Y20" s="464">
        <f>'CCCM Dashboard'!$D$39</f>
        <v>759</v>
      </c>
      <c r="Z20" s="62" t="str">
        <f t="shared" si="1"/>
        <v>6 cps</v>
      </c>
      <c r="AA20" s="202" t="e">
        <f>#REF!</f>
        <v>#REF!</v>
      </c>
      <c r="AB20" s="63">
        <v>0</v>
      </c>
      <c r="AC20" s="63">
        <v>0</v>
      </c>
      <c r="AD20" s="63">
        <v>0</v>
      </c>
      <c r="AE20" s="64">
        <f t="shared" si="2"/>
        <v>663</v>
      </c>
      <c r="AF20" s="65">
        <f t="shared" si="0"/>
        <v>227</v>
      </c>
      <c r="AG20" s="66">
        <f>'CCCM Dashboard'!E39</f>
        <v>4</v>
      </c>
      <c r="AI20" s="464">
        <f>'CCCM Dashboard'!$D$39</f>
        <v>759</v>
      </c>
      <c r="AJ20" s="492">
        <f>COUNTIFS('NFI Distributions'!$B$6:$B$212,"&gt;5/1/2017",'NFI Distributions'!$G$6:$G$212,Table58[[#This Row],[Township]])</f>
        <v>18</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85</v>
      </c>
      <c r="Y21" s="463">
        <f>'CCCM Dashboard'!$D$26</f>
        <v>412</v>
      </c>
      <c r="Z21" s="62" t="str">
        <f t="shared" si="1"/>
        <v>4 cps</v>
      </c>
      <c r="AA21" s="202" t="e">
        <f>#REF!</f>
        <v>#REF!</v>
      </c>
      <c r="AB21" s="63">
        <v>0</v>
      </c>
      <c r="AC21" s="63">
        <v>0</v>
      </c>
      <c r="AD21" s="63">
        <v>0</v>
      </c>
      <c r="AE21" s="64">
        <f t="shared" si="2"/>
        <v>102</v>
      </c>
      <c r="AF21" s="65">
        <f t="shared" si="0"/>
        <v>222</v>
      </c>
      <c r="AG21" s="66">
        <f>'CCCM Dashboard'!E26</f>
        <v>3</v>
      </c>
      <c r="AI21" s="463">
        <f>'CCCM Dashboard'!$D$26</f>
        <v>412</v>
      </c>
      <c r="AJ21" s="492">
        <f>COUNTIFS('NFI Distributions'!$B$6:$B$212,"&gt;5/1/2017",'NFI Distributions'!$G$6:$G$212,Table58[[#This Row],[Township]])</f>
        <v>0</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509</v>
      </c>
      <c r="Y22" s="464">
        <f>'CCCM Dashboard'!$D$27</f>
        <v>2220</v>
      </c>
      <c r="Z22" s="62" t="str">
        <f t="shared" si="1"/>
        <v>3 cps</v>
      </c>
      <c r="AA22" s="202" t="e">
        <f>#REF!</f>
        <v>#REF!</v>
      </c>
      <c r="AB22" s="63">
        <v>0</v>
      </c>
      <c r="AC22" s="63">
        <v>0</v>
      </c>
      <c r="AD22" s="63">
        <v>0</v>
      </c>
      <c r="AE22" s="64">
        <f t="shared" si="2"/>
        <v>483</v>
      </c>
      <c r="AF22" s="65">
        <f t="shared" si="0"/>
        <v>133</v>
      </c>
      <c r="AG22" s="66">
        <f>'CCCM Dashboard'!E27</f>
        <v>3</v>
      </c>
      <c r="AI22" s="464">
        <f>'CCCM Dashboard'!$D$27</f>
        <v>2220</v>
      </c>
      <c r="AJ22" s="492">
        <f>COUNTIFS('NFI Distributions'!$B$6:$B$212,"&gt;5/1/2017",'NFI Distributions'!$G$6:$G$212,Table58[[#This Row],[Township]])</f>
        <v>7</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748</v>
      </c>
      <c r="U23" s="61" t="s">
        <v>747</v>
      </c>
      <c r="V23" s="60">
        <v>97.5</v>
      </c>
      <c r="W23" s="69">
        <v>26.5</v>
      </c>
      <c r="X23" s="61">
        <f>'CCCM Dashboard'!C28</f>
        <v>198</v>
      </c>
      <c r="Y23" s="463">
        <f>'CCCM Dashboard'!$D$28</f>
        <v>1143</v>
      </c>
      <c r="Z23" s="62" t="str">
        <f t="shared" si="1"/>
        <v>3 cps</v>
      </c>
      <c r="AA23" s="202" t="e">
        <f>#REF!</f>
        <v>#REF!</v>
      </c>
      <c r="AB23" s="63"/>
      <c r="AC23" s="63"/>
      <c r="AD23" s="63"/>
      <c r="AE23" s="64">
        <f t="shared" si="2"/>
        <v>210</v>
      </c>
      <c r="AF23" s="65">
        <f t="shared" si="0"/>
        <v>230</v>
      </c>
      <c r="AG23" s="66">
        <f>'CCCM Dashboard'!E28</f>
        <v>3</v>
      </c>
      <c r="AI23" s="463">
        <f>'CCCM Dashboard'!$D$28</f>
        <v>1143</v>
      </c>
      <c r="AJ23" s="492">
        <f>COUNTIFS('NFI Distributions'!$B$6:$B$212,"&gt;5/1/2017",'NFI Distributions'!$G$6:$G$212,Table58[[#This Row],[Township]])</f>
        <v>0</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313" t="s">
        <v>1139</v>
      </c>
      <c r="U24" s="314" t="s">
        <v>1140</v>
      </c>
      <c r="V24" s="315">
        <v>96.716553000000005</v>
      </c>
      <c r="W24" s="316">
        <v>26.357970999999999</v>
      </c>
      <c r="X24" s="61">
        <f>'CCCM Dashboard'!C29</f>
        <v>235</v>
      </c>
      <c r="Y24" s="464">
        <f>'CCCM Dashboard'!$D$29</f>
        <v>915</v>
      </c>
      <c r="Z24" s="62" t="str">
        <f t="shared" si="1"/>
        <v>3 cps</v>
      </c>
      <c r="AA24" s="202" t="e">
        <f>#REF!</f>
        <v>#REF!</v>
      </c>
      <c r="AB24" s="317"/>
      <c r="AC24" s="317"/>
      <c r="AD24" s="317"/>
      <c r="AE24" s="318">
        <f>$S$3-ROUND((W24-$S$1)*$S$5,0)</f>
        <v>228</v>
      </c>
      <c r="AF24" s="319">
        <f t="shared" si="0"/>
        <v>128</v>
      </c>
      <c r="AG24" s="66">
        <f>'CCCM Dashboard'!E29</f>
        <v>4</v>
      </c>
      <c r="AI24" s="464">
        <f>'CCCM Dashboard'!$D$29</f>
        <v>915</v>
      </c>
      <c r="AJ24" s="492">
        <f>COUNTIFS('NFI Distributions'!$B$6:$B$212,"&gt;5/1/2017",'NFI Distributions'!$G$6:$G$212,Table58[[#This Row],[Township]])</f>
        <v>3</v>
      </c>
      <c r="CR24" s="138"/>
      <c r="CS24" s="138"/>
      <c r="CT24" s="138"/>
      <c r="CU24" s="138"/>
      <c r="CV24" s="138"/>
      <c r="CW24" s="138"/>
      <c r="CX24" s="138"/>
      <c r="CY24" s="18"/>
      <c r="CZ24" s="19"/>
      <c r="DA24" s="19"/>
      <c r="DB24" s="19"/>
      <c r="DC24" s="19"/>
      <c r="DD24" s="138"/>
      <c r="DE24" s="138"/>
      <c r="DF24" s="138"/>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4858</v>
      </c>
      <c r="Y25" s="463">
        <f>'CCCM Dashboard'!$D$30</f>
        <v>25155</v>
      </c>
      <c r="Z25" s="62" t="str">
        <f t="shared" si="1"/>
        <v>4 cps</v>
      </c>
      <c r="AA25" s="202" t="e">
        <f>#REF!</f>
        <v>#REF!</v>
      </c>
      <c r="AB25" s="63">
        <v>0.37372161553128791</v>
      </c>
      <c r="AC25" s="63">
        <v>0</v>
      </c>
      <c r="AD25" s="63">
        <v>4.6281851274050934E-2</v>
      </c>
      <c r="AE25" s="64">
        <f t="shared" si="2"/>
        <v>340</v>
      </c>
      <c r="AF25" s="65">
        <f t="shared" si="0"/>
        <v>269</v>
      </c>
      <c r="AG25" s="66">
        <f>'CCCM Dashboard'!E30</f>
        <v>24</v>
      </c>
      <c r="AI25" s="463">
        <f>'CCCM Dashboard'!$D$30</f>
        <v>25155</v>
      </c>
      <c r="AJ25" s="492">
        <f>COUNTIFS('NFI Distributions'!$B$6:$B$212,"&gt;5/1/2017",'NFI Distributions'!$G$6:$G$212,Table58[[#This Row],[Township]])</f>
        <v>11</v>
      </c>
      <c r="CY25" s="18"/>
      <c r="CZ25" s="19"/>
      <c r="DA25" s="19"/>
      <c r="DB25" s="19"/>
      <c r="DC25" s="19"/>
    </row>
    <row r="26" spans="1:110" ht="18.75" customHeight="1" x14ac:dyDescent="0.35">
      <c r="T26" s="61"/>
      <c r="U26" s="61" t="s">
        <v>519</v>
      </c>
      <c r="V26" s="69" t="s">
        <v>521</v>
      </c>
      <c r="W26" s="69" t="s">
        <v>520</v>
      </c>
      <c r="X26" s="468">
        <f>SUBTOTAL(109,Table58[HS])</f>
        <v>19702</v>
      </c>
      <c r="Y26" s="468">
        <f>SUBTOTAL(109,Table58[Pop])</f>
        <v>100264</v>
      </c>
      <c r="Z26" s="62" t="str">
        <f>CONCATENATE(Table58[[#Totals],[Column1]]," camps")</f>
        <v>164 camps</v>
      </c>
      <c r="AA26" s="469" t="e">
        <f>SUMPRODUCT(Table58[Pop]*Table58[Coverage])/Table58[[#Totals],[Pop]]</f>
        <v>#REF!</v>
      </c>
      <c r="AB26" s="470">
        <f>SUMPRODUCT(Table58[Pop]*Table58[Hygiene])/Table58[[#Totals],[Pop]]</f>
        <v>0.22750244694042193</v>
      </c>
      <c r="AC26" s="470">
        <f>SUMPRODUCT(Table58[Pop]*Table58[Core])/Table58[[#Totals],[Pop]]</f>
        <v>0</v>
      </c>
      <c r="AD26" s="470">
        <f>SUMPRODUCT(Table58[Pop]*Table58[Sanitary])/Table58[[#Totals],[Pop]]</f>
        <v>0.27700377939235565</v>
      </c>
      <c r="AE26" s="471">
        <f>1000-ROUND((W26-23.5)*$S$5,0)</f>
        <v>545</v>
      </c>
      <c r="AF26" s="472">
        <f>ROUND((V26-96.5)*$S$5,0)+100</f>
        <v>35</v>
      </c>
      <c r="AG26" s="473">
        <f>SUBTOTAL(109,Table58[Column1])</f>
        <v>164</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62" priority="1" operator="between">
      <formula>0.4</formula>
      <formula>0.6</formula>
    </cfRule>
    <cfRule type="cellIs" dxfId="1161" priority="2" operator="greaterThan">
      <formula>0.8</formula>
    </cfRule>
    <cfRule type="cellIs" dxfId="1160" priority="3" operator="between">
      <formula>0.6</formula>
      <formula>0.8</formula>
    </cfRule>
    <cfRule type="cellIs" dxfId="1159" priority="4" operator="between">
      <formula>0.2</formula>
      <formula>0.4</formula>
    </cfRule>
    <cfRule type="cellIs" dxfId="1158"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93">
        <f>IF('IDP location Analysis'!$O$4="All",SUMIFS(CampList[[#All],[Total]],CampList[[#All],[Status]],"Open",CampList[[#All],[Accessibility]],"GCA",CampList[[#All],[Type of Accomodation]],"Camp"),SUMIFS(CampList[[#All],[Total]],CampList[[#All],[Status]],"Open",CampList[[#All],[Accessibility]],"GCA",CampList[[#All],[Type of Accomodation]],"Camp",CampList[[#All],[State]],'IDP location Analysis'!$O$4))</f>
        <v>52398</v>
      </c>
      <c r="C2" s="409"/>
      <c r="D2" s="323" t="s">
        <v>1419</v>
      </c>
      <c r="E2" s="323"/>
    </row>
    <row r="3" spans="1:5" x14ac:dyDescent="0.25">
      <c r="A3" t="s">
        <v>1408</v>
      </c>
      <c r="B3" s="393">
        <f>IF('IDP location Analysis'!$O$4="All",SUMIFS(CampList[[#All],[Total]],CampList[[#All],[Status]],"Open",CampList[[#All],[Accessibility]],"GCA",CampList[[#All],[Type of Accomodation]],"Host Families"),SUMIFS(CampList[[#All],[Total]],CampList[[#All],[Status]],"Open",CampList[[#All],[Accessibility]],"GCA",CampList[[#All],[Type of Accomodation]],"Host Families",CampList[[#All],[State]],'IDP location Analysis'!$O$4))</f>
        <v>5483</v>
      </c>
      <c r="C3" s="409"/>
      <c r="D3" t="s">
        <v>1268</v>
      </c>
      <c r="E3" s="323">
        <f>COUNTIF('NFI Distributions'!D5:D61,"NRC")</f>
        <v>2</v>
      </c>
    </row>
    <row r="4" spans="1:5" x14ac:dyDescent="0.25">
      <c r="A4" t="s">
        <v>851</v>
      </c>
      <c r="B4" s="393">
        <f>IF('IDP location Analysis'!$O$4="All",SUMIFS(CampList[[#All],[Total]],CampList[[#All],[Status]],"Open",CampList[[#All],[Accessibility]],"GCA",CampList[[#All],[Type of Accomodation]],"Boarding School"),SUMIFS(CampList[[#All],[Total]],CampList[[#All],[Status]],"Open",CampList[[#All],[Accessibility]],"GCA",CampList[[#All],[Type of Accomodation]],"Boarding School",CampList[[#All],[State]],'IDP location Analysis'!$O$4))</f>
        <v>0</v>
      </c>
      <c r="C4" s="410"/>
      <c r="D4" t="s">
        <v>1417</v>
      </c>
      <c r="E4">
        <f>COUNTIF('NFI Distributions'!D40:D62,"NRC/KBC")</f>
        <v>0</v>
      </c>
    </row>
    <row r="5" spans="1:5" x14ac:dyDescent="0.25">
      <c r="A5" t="s">
        <v>1399</v>
      </c>
      <c r="B5" s="393">
        <f>IF('IDP location Analysis'!$O$4="All",SUMIFS(CampList[[#All],[Total]],CampList[[#All],[Status]],"Open",CampList[[#All],[Accessibility]],"GCA",CampList[[#All],[Type of Accomodation]],"Camp like setting"),SUMIFS(CampList[[#All],[Total]],CampList[[#All],[Status]],"Open",CampList[[#All],[Accessibility]],"GCA",CampList[[#All],[Type of Accomodation]],"Camp like setting",CampList[[#All],[State]],'IDP location Analysis'!$O$4))</f>
        <v>3740</v>
      </c>
      <c r="C5" s="409"/>
      <c r="D5" t="s">
        <v>779</v>
      </c>
      <c r="E5" s="323">
        <f>COUNTIF('NFI Distributions'!D41:D63,"Metta")</f>
        <v>0</v>
      </c>
    </row>
    <row r="6" spans="1:5" x14ac:dyDescent="0.25">
      <c r="D6" t="s">
        <v>826</v>
      </c>
      <c r="E6" s="323">
        <f>COUNTIF('NFI Distributions'!D42:D64,"MRCS")</f>
        <v>0</v>
      </c>
    </row>
    <row r="7" spans="1:5" x14ac:dyDescent="0.25">
      <c r="D7" t="s">
        <v>1418</v>
      </c>
      <c r="E7" s="323">
        <f>COUNTIF('NFI Distributions'!D43:D65,"UNHCR/Shalom")</f>
        <v>0</v>
      </c>
    </row>
    <row r="8" spans="1:5" x14ac:dyDescent="0.25">
      <c r="A8" t="s">
        <v>466</v>
      </c>
    </row>
    <row r="9" spans="1:5" x14ac:dyDescent="0.25">
      <c r="A9" s="323" t="s">
        <v>507</v>
      </c>
      <c r="B9">
        <f>IF('IDP location Analysis'!$O$4="All",SUMIFS(CampList[[#All],[Total]],CampList[[#All],[Status]],"Open",CampList[[#All],[Accessibility]],"NGCA",CampList[[#All],[Type of Accomodation]],"Camp"),SUMIFS(CampList[[#All],[Total]],CampList[[#All],[Status]],"Open",CampList[[#All],[Accessibility]],"NGCA",CampList[[#All],[Type of Accomodation]],"Camp",CampList[[#All],[State]],'IDP location Analysis'!$O$4))</f>
        <v>37379</v>
      </c>
      <c r="C9" s="409"/>
    </row>
    <row r="10" spans="1:5" x14ac:dyDescent="0.25">
      <c r="A10" s="323" t="s">
        <v>1408</v>
      </c>
      <c r="B10">
        <f>IF('IDP location Analysis'!$O$4="All",SUMIFS(CampList[[#All],[Total]],CampList[[#All],[Status]],"Open",CampList[[#All],[Accessibility]],"NGCA",CampList[[#All],[Type of Accomodation]],"Host Families"),SUMIFS(CampList[[#All],[Total]],CampList[[#All],[Status]],"Open",CampList[[#All],[Accessibility]],"NGCA",CampList[[#All],[Type of Accomodation]],"Host Families",CampList[[#All],[State]],'IDP location Analysis'!$O$4))</f>
        <v>392</v>
      </c>
      <c r="C10" s="409"/>
    </row>
    <row r="11" spans="1:5" x14ac:dyDescent="0.25">
      <c r="A11" s="323" t="s">
        <v>851</v>
      </c>
      <c r="B11">
        <f>IF('IDP location Analysis'!$O$4="All",SUMIFS(CampList[[#All],[Total]],CampList[[#All],[Status]],"Open",CampList[[#All],[Accessibility]],"NGCA",CampList[[#All],[Type of Accomodation]],"Boarding School"),SUMIFS(CampList[[#All],[Total]],CampList[[#All],[Status]],"Open",CampList[[#All],[Accessibility]],"NGCA",CampList[[#All],[Type of Accomodation]],"Boarding School",CampList[[#All],[State]],'IDP location Analysis'!$O$4))</f>
        <v>872</v>
      </c>
      <c r="C11" s="409"/>
    </row>
    <row r="12" spans="1:5" x14ac:dyDescent="0.25">
      <c r="A12" s="323" t="s">
        <v>1399</v>
      </c>
      <c r="B12">
        <f>IF('IDP location Analysis'!$O$4="All",SUMIFS(CampList[[#All],[Total]],CampList[[#All],[Status]],"Open",CampList[[#All],[Accessibility]],"NGCA",CampList[[#All],[Type of Accomodation]],"Camp like setting"),SUMIFS(CampList[[#All],[Total]],CampList[[#All],[Status]],"Open",CampList[[#All],[Accessibility]],"NGCA",CampList[[#All],[Type of Accomodation]],"Camp like setting",CampList[[#All],[State]],'IDP location Analysis'!$O$4))</f>
        <v>0</v>
      </c>
      <c r="C12" s="409"/>
    </row>
    <row r="14" spans="1:5" x14ac:dyDescent="0.25">
      <c r="A14" t="s">
        <v>1409</v>
      </c>
    </row>
    <row r="15" spans="1:5" x14ac:dyDescent="0.25">
      <c r="A15" t="s">
        <v>378</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90829</v>
      </c>
    </row>
    <row r="16" spans="1:5" x14ac:dyDescent="0.25">
      <c r="A16" t="s">
        <v>1154</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9435</v>
      </c>
    </row>
    <row r="17" spans="1:5" s="323" customFormat="1" x14ac:dyDescent="0.25">
      <c r="D17"/>
      <c r="E17"/>
    </row>
    <row r="18" spans="1:5" x14ac:dyDescent="0.25">
      <c r="A18" t="s">
        <v>1410</v>
      </c>
      <c r="D18" s="323"/>
      <c r="E18" s="323"/>
    </row>
    <row r="19" spans="1:5" x14ac:dyDescent="0.25">
      <c r="A19" t="s">
        <v>466</v>
      </c>
      <c r="B19">
        <f>IF('IDP location Analysis'!$O$4="All",SUMIFS(CampList[[#All],[Total]],CampList[[#All],[Status]],"Open",CampList[[#All],[Accessibility]],"NGCA"),SUMIFS(CampList[[#All],[Total]],CampList[[#All],[Status]],"Open",CampList[[#All],[Accessibility]],"NGCA",CampList[[#All],[State]],'IDP location Analysis'!$O$4))</f>
        <v>38643</v>
      </c>
    </row>
    <row r="20" spans="1:5" x14ac:dyDescent="0.25">
      <c r="A20" t="s">
        <v>464</v>
      </c>
      <c r="B20">
        <f>IF('IDP location Analysis'!$O$4="All",SUMIFS(CampList[[#All],[Total]],CampList[[#All],[Status]],"Open",CampList[[#All],[Accessibility]],"GCA"),SUMIFS(CampList[[#All],[Total]],CampList[[#All],[Status]],"Open",CampList[[#All],[Accessibility]],"GCA",CampList[[#All],[State]],'IDP location Analysis'!$O$4))</f>
        <v>61621</v>
      </c>
    </row>
    <row r="22" spans="1:5" x14ac:dyDescent="0.25">
      <c r="A22" t="s">
        <v>1411</v>
      </c>
    </row>
    <row r="23" spans="1:5" x14ac:dyDescent="0.25">
      <c r="A23" s="276" t="s">
        <v>1153</v>
      </c>
      <c r="B23" s="277" t="s">
        <v>1031</v>
      </c>
    </row>
    <row r="24" spans="1:5" x14ac:dyDescent="0.25">
      <c r="A24" s="278" t="s">
        <v>378</v>
      </c>
      <c r="B24" s="279"/>
    </row>
    <row r="25" spans="1:5" x14ac:dyDescent="0.25">
      <c r="A25" s="280" t="s">
        <v>5</v>
      </c>
      <c r="B25" s="281">
        <f>COUNTIFS(CampList[[#All],[Status]],"open",CampList[[#All],[Township]],"Bhamo")</f>
        <v>11</v>
      </c>
    </row>
    <row r="26" spans="1:5" x14ac:dyDescent="0.25">
      <c r="A26" s="280" t="s">
        <v>27</v>
      </c>
      <c r="B26" s="281">
        <f>COUNTIFS(CampList[[#All],[Status]],"open",CampList[[#All],[Township]],"Chipwi")</f>
        <v>5</v>
      </c>
    </row>
    <row r="27" spans="1:5" x14ac:dyDescent="0.25">
      <c r="A27" s="280" t="s">
        <v>480</v>
      </c>
      <c r="B27" s="281">
        <f>COUNTIFS(CampList[[#All],[Status]],"open",CampList[[#All],[Township]],"Hpakant")</f>
        <v>21</v>
      </c>
    </row>
    <row r="28" spans="1:5" x14ac:dyDescent="0.25">
      <c r="A28" s="280" t="s">
        <v>361</v>
      </c>
      <c r="B28" s="281">
        <f>COUNTIFS(CampList[[#All],[Status]],"open",CampList[[#All],[Township]],"Injangyang")</f>
        <v>0</v>
      </c>
    </row>
    <row r="29" spans="1:5" x14ac:dyDescent="0.25">
      <c r="A29" s="280" t="s">
        <v>144</v>
      </c>
      <c r="B29" s="281">
        <f>COUNTIFS(CampList[[#All],[Status]],"open",CampList[[#All],[Township]],"Khaunglanhpu")</f>
        <v>0</v>
      </c>
    </row>
    <row r="30" spans="1:5" x14ac:dyDescent="0.25">
      <c r="A30" s="280" t="s">
        <v>818</v>
      </c>
      <c r="B30" s="281">
        <f>COUNTIFS(CampList[[#All],[Status]],"open",CampList[[#All],[Township]],"Manchanbaw")</f>
        <v>0</v>
      </c>
    </row>
    <row r="31" spans="1:5" x14ac:dyDescent="0.25">
      <c r="A31" s="280" t="s">
        <v>151</v>
      </c>
      <c r="B31" s="281">
        <f>COUNTIFS(CampList[[#All],[Status]],"open",CampList[[#All],[Township]],"Mansi")</f>
        <v>11</v>
      </c>
    </row>
    <row r="32" spans="1:5" x14ac:dyDescent="0.25">
      <c r="A32" s="280" t="s">
        <v>173</v>
      </c>
      <c r="B32" s="281">
        <f>COUNTIFS(CampList[[#All],[Status]],"open",CampList[[#All],[Township]],"Mogaung")</f>
        <v>4</v>
      </c>
    </row>
    <row r="33" spans="1:2" x14ac:dyDescent="0.25">
      <c r="A33" s="280" t="s">
        <v>180</v>
      </c>
      <c r="B33" s="281">
        <f>COUNTIFS(CampList[[#All],[Status]],"open",CampList[[#All],[Township]],"Mohnyin")</f>
        <v>4</v>
      </c>
    </row>
    <row r="34" spans="1:2" x14ac:dyDescent="0.25">
      <c r="A34" s="280" t="s">
        <v>185</v>
      </c>
      <c r="B34" s="281">
        <f>COUNTIFS(CampList[[#All],[Status]],"open",CampList[[#All],[Township]],"Momauk")</f>
        <v>15</v>
      </c>
    </row>
    <row r="35" spans="1:2" x14ac:dyDescent="0.25">
      <c r="A35" s="280" t="s">
        <v>237</v>
      </c>
      <c r="B35" s="281">
        <f>COUNTIFS(CampList[[#All],[Status]],"open",CampList[[#All],[Township]],"Myitkyina")</f>
        <v>22</v>
      </c>
    </row>
    <row r="36" spans="1:2" x14ac:dyDescent="0.25">
      <c r="A36" s="280" t="s">
        <v>299</v>
      </c>
      <c r="B36" s="281">
        <f>COUNTIFS(CampList[[#All],[Status]],"open",CampList[[#All],[Township]],"Puta-O")</f>
        <v>3</v>
      </c>
    </row>
    <row r="37" spans="1:2" x14ac:dyDescent="0.25">
      <c r="A37" s="280" t="s">
        <v>301</v>
      </c>
      <c r="B37" s="281">
        <f>COUNTIFS(CampList[[#All],[Status]],"open",CampList[[#All],[Township]],"Shwegu")</f>
        <v>3</v>
      </c>
    </row>
    <row r="38" spans="1:2" x14ac:dyDescent="0.25">
      <c r="A38" s="280" t="s">
        <v>747</v>
      </c>
      <c r="B38" s="281">
        <f>COUNTIFS(CampList[[#All],[Status]],"open",CampList[[#All],[Township]],"Sumprabum")</f>
        <v>3</v>
      </c>
    </row>
    <row r="39" spans="1:2" x14ac:dyDescent="0.25">
      <c r="A39" s="280" t="s">
        <v>1140</v>
      </c>
      <c r="B39" s="281">
        <f>COUNTIFS(CampList[[#All],[Status]],"open",CampList[[#All],[Township]],"Tanai")</f>
        <v>4</v>
      </c>
    </row>
    <row r="40" spans="1:2" x14ac:dyDescent="0.25">
      <c r="A40" s="280" t="s">
        <v>309</v>
      </c>
      <c r="B40" s="281">
        <f>COUNTIFS(CampList[[#All],[Status]],"open",CampList[[#All],[Township]],"Waingmaw")</f>
        <v>24</v>
      </c>
    </row>
    <row r="41" spans="1:2" x14ac:dyDescent="0.25">
      <c r="A41" s="282" t="s">
        <v>780</v>
      </c>
      <c r="B41" s="283">
        <f>SUM(B25:B40)</f>
        <v>130</v>
      </c>
    </row>
    <row r="42" spans="1:2" x14ac:dyDescent="0.25">
      <c r="A42" s="278" t="s">
        <v>1154</v>
      </c>
      <c r="B42" s="279"/>
    </row>
    <row r="43" spans="1:2" x14ac:dyDescent="0.25">
      <c r="A43" s="284" t="s">
        <v>719</v>
      </c>
      <c r="B43" s="281">
        <f>COUNTIFS(CampList[[#All],[Status]],"open",CampList[[#All],[Township]],"Hseni")</f>
        <v>2</v>
      </c>
    </row>
    <row r="44" spans="1:2" x14ac:dyDescent="0.25">
      <c r="A44" s="284" t="s">
        <v>146</v>
      </c>
      <c r="B44" s="281">
        <f>COUNTIFS(CampList[[#All],[Status]],"open",CampList[[#All],[Township]],"Kutkai")</f>
        <v>14</v>
      </c>
    </row>
    <row r="45" spans="1:2" x14ac:dyDescent="0.25">
      <c r="A45" s="284" t="s">
        <v>166</v>
      </c>
      <c r="B45" s="281">
        <f>COUNTIFS(CampList[[#All],[Status]],"open",CampList[[#All],[Township]],"Manton")</f>
        <v>3</v>
      </c>
    </row>
    <row r="46" spans="1:2" x14ac:dyDescent="0.25">
      <c r="A46" s="280" t="s">
        <v>230</v>
      </c>
      <c r="B46" s="281">
        <f>COUNTIFS(CampList[[#All],[Status]],"open",CampList[[#All],[Township]],"Muse")</f>
        <v>4</v>
      </c>
    </row>
    <row r="47" spans="1:2" x14ac:dyDescent="0.25">
      <c r="A47" s="280" t="s">
        <v>288</v>
      </c>
      <c r="B47" s="281">
        <f>COUNTIFS(CampList[[#All],[Status]],"open",CampList[[#All],[Township]],"Namhkan")</f>
        <v>6</v>
      </c>
    </row>
    <row r="48" spans="1:2" x14ac:dyDescent="0.25">
      <c r="A48" s="280" t="s">
        <v>1204</v>
      </c>
      <c r="B48" s="281">
        <f>COUNTIFS(CampList[[#All],[Status]],"open",CampList[[#All],[Township]],"Hsipaw")</f>
        <v>1</v>
      </c>
    </row>
    <row r="49" spans="1:2" x14ac:dyDescent="0.25">
      <c r="A49" s="280" t="s">
        <v>297</v>
      </c>
      <c r="B49" s="281">
        <f>COUNTIFS(CampList[[#All],[Status]],"open",CampList[[#All],[Township]],"Namtu")</f>
        <v>4</v>
      </c>
    </row>
    <row r="50" spans="1:2" x14ac:dyDescent="0.25">
      <c r="A50" s="285" t="s">
        <v>1155</v>
      </c>
      <c r="B50" s="283">
        <f>SUM(B43:B49)</f>
        <v>34</v>
      </c>
    </row>
    <row r="51" spans="1:2" x14ac:dyDescent="0.25">
      <c r="A51" s="276" t="s">
        <v>411</v>
      </c>
      <c r="B51" s="283">
        <f>SUM(B50+B41)</f>
        <v>164</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67"/>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9" t="s">
        <v>458</v>
      </c>
      <c r="B1" s="323" t="s">
        <v>460</v>
      </c>
    </row>
    <row r="3" spans="1:7" x14ac:dyDescent="0.25">
      <c r="A3" s="139" t="s">
        <v>507</v>
      </c>
      <c r="B3" s="139" t="s">
        <v>946</v>
      </c>
      <c r="C3" s="139" t="s">
        <v>1</v>
      </c>
      <c r="D3" s="139" t="s">
        <v>457</v>
      </c>
      <c r="E3" s="139" t="s">
        <v>947</v>
      </c>
      <c r="F3" s="323" t="s">
        <v>948</v>
      </c>
      <c r="G3" s="323" t="s">
        <v>789</v>
      </c>
    </row>
    <row r="4" spans="1:7" x14ac:dyDescent="0.25">
      <c r="A4" s="323" t="s">
        <v>120</v>
      </c>
      <c r="B4" s="323" t="s">
        <v>119</v>
      </c>
      <c r="C4" s="323">
        <v>96.361609999999999</v>
      </c>
      <c r="D4" s="323" t="s">
        <v>464</v>
      </c>
      <c r="E4" s="323" t="s">
        <v>938</v>
      </c>
      <c r="F4" s="133">
        <v>62</v>
      </c>
      <c r="G4" s="133">
        <v>304</v>
      </c>
    </row>
    <row r="5" spans="1:7" x14ac:dyDescent="0.25">
      <c r="A5" s="323" t="s">
        <v>6</v>
      </c>
      <c r="B5" s="323" t="s">
        <v>4</v>
      </c>
      <c r="C5" s="323">
        <v>97.238829999999993</v>
      </c>
      <c r="D5" s="323" t="s">
        <v>464</v>
      </c>
      <c r="E5" s="323" t="s">
        <v>937</v>
      </c>
      <c r="F5" s="133">
        <v>257</v>
      </c>
      <c r="G5" s="133">
        <v>1278</v>
      </c>
    </row>
    <row r="6" spans="1:7" x14ac:dyDescent="0.25">
      <c r="A6" s="323" t="s">
        <v>41</v>
      </c>
      <c r="B6" s="323" t="s">
        <v>40</v>
      </c>
      <c r="C6" s="323">
        <v>96.345569999999995</v>
      </c>
      <c r="D6" s="323" t="s">
        <v>464</v>
      </c>
      <c r="E6" s="323" t="s">
        <v>462</v>
      </c>
      <c r="F6" s="133">
        <v>65</v>
      </c>
      <c r="G6" s="133">
        <v>353</v>
      </c>
    </row>
    <row r="7" spans="1:7" x14ac:dyDescent="0.25">
      <c r="A7" s="323" t="s">
        <v>43</v>
      </c>
      <c r="B7" s="323" t="s">
        <v>42</v>
      </c>
      <c r="C7" s="323">
        <v>96.317350000000005</v>
      </c>
      <c r="D7" s="323" t="s">
        <v>464</v>
      </c>
      <c r="E7" s="323" t="s">
        <v>462</v>
      </c>
      <c r="F7" s="133">
        <v>14</v>
      </c>
      <c r="G7" s="133">
        <v>81</v>
      </c>
    </row>
    <row r="8" spans="1:7" x14ac:dyDescent="0.25">
      <c r="A8" s="323" t="s">
        <v>465</v>
      </c>
      <c r="B8" s="323" t="s">
        <v>375</v>
      </c>
      <c r="C8" s="323">
        <v>97.252650000000003</v>
      </c>
      <c r="D8" s="323" t="s">
        <v>464</v>
      </c>
      <c r="E8" s="323" t="s">
        <v>424</v>
      </c>
      <c r="F8" s="133">
        <v>12</v>
      </c>
      <c r="G8" s="133">
        <v>52</v>
      </c>
    </row>
    <row r="9" spans="1:7" x14ac:dyDescent="0.25">
      <c r="A9" s="323" t="s">
        <v>52</v>
      </c>
      <c r="B9" s="323" t="s">
        <v>51</v>
      </c>
      <c r="C9" s="323">
        <v>96.346469999999997</v>
      </c>
      <c r="D9" s="323" t="s">
        <v>464</v>
      </c>
      <c r="E9" s="323" t="s">
        <v>424</v>
      </c>
      <c r="F9" s="133">
        <v>36</v>
      </c>
      <c r="G9" s="133">
        <v>228</v>
      </c>
    </row>
    <row r="10" spans="1:7" x14ac:dyDescent="0.25">
      <c r="A10" s="323" t="s">
        <v>333</v>
      </c>
      <c r="B10" s="323" t="s">
        <v>332</v>
      </c>
      <c r="C10" s="323">
        <v>97.915833000000006</v>
      </c>
      <c r="D10" s="323" t="s">
        <v>466</v>
      </c>
      <c r="E10" s="323" t="s">
        <v>938</v>
      </c>
      <c r="F10" s="133">
        <v>125</v>
      </c>
      <c r="G10" s="133">
        <v>483</v>
      </c>
    </row>
    <row r="11" spans="1:7" x14ac:dyDescent="0.25">
      <c r="A11" s="323" t="s">
        <v>188</v>
      </c>
      <c r="B11" s="323" t="s">
        <v>187</v>
      </c>
      <c r="C11" s="323">
        <v>97.609832999999995</v>
      </c>
      <c r="D11" s="323" t="s">
        <v>466</v>
      </c>
      <c r="E11" s="323" t="s">
        <v>937</v>
      </c>
      <c r="F11" s="133">
        <v>365</v>
      </c>
      <c r="G11" s="133">
        <v>1730</v>
      </c>
    </row>
    <row r="12" spans="1:7" x14ac:dyDescent="0.25">
      <c r="A12" s="323" t="s">
        <v>72</v>
      </c>
      <c r="B12" s="323" t="s">
        <v>71</v>
      </c>
      <c r="C12" s="323">
        <v>96.283377000000002</v>
      </c>
      <c r="D12" s="323" t="s">
        <v>464</v>
      </c>
      <c r="E12" s="323" t="s">
        <v>1327</v>
      </c>
      <c r="F12" s="133">
        <v>5</v>
      </c>
      <c r="G12" s="133">
        <v>27</v>
      </c>
    </row>
    <row r="13" spans="1:7" x14ac:dyDescent="0.25">
      <c r="A13" s="323" t="s">
        <v>28</v>
      </c>
      <c r="B13" s="323" t="s">
        <v>30</v>
      </c>
      <c r="C13" s="323">
        <v>98.131550000000004</v>
      </c>
      <c r="D13" s="323" t="s">
        <v>464</v>
      </c>
      <c r="E13" s="323" t="s">
        <v>462</v>
      </c>
      <c r="F13" s="133">
        <v>107</v>
      </c>
      <c r="G13" s="133">
        <v>559</v>
      </c>
    </row>
    <row r="14" spans="1:7" x14ac:dyDescent="0.25">
      <c r="A14" s="323" t="s">
        <v>76</v>
      </c>
      <c r="B14" s="323" t="s">
        <v>75</v>
      </c>
      <c r="C14" s="323">
        <v>96.35257</v>
      </c>
      <c r="D14" s="323" t="s">
        <v>464</v>
      </c>
      <c r="E14" s="323" t="s">
        <v>462</v>
      </c>
      <c r="F14" s="133">
        <v>70</v>
      </c>
      <c r="G14" s="133">
        <v>375</v>
      </c>
    </row>
    <row r="15" spans="1:7" x14ac:dyDescent="0.25">
      <c r="A15" s="323" t="s">
        <v>192</v>
      </c>
      <c r="B15" s="323" t="s">
        <v>191</v>
      </c>
      <c r="C15" s="323">
        <v>97.537099999999995</v>
      </c>
      <c r="D15" s="323" t="s">
        <v>466</v>
      </c>
      <c r="E15" s="323" t="s">
        <v>938</v>
      </c>
      <c r="F15" s="133">
        <v>93</v>
      </c>
      <c r="G15" s="133">
        <v>428</v>
      </c>
    </row>
    <row r="16" spans="1:7" x14ac:dyDescent="0.25">
      <c r="A16" s="323" t="s">
        <v>312</v>
      </c>
      <c r="B16" s="323" t="s">
        <v>311</v>
      </c>
      <c r="C16" s="323">
        <v>97.404195925926004</v>
      </c>
      <c r="D16" s="323" t="s">
        <v>464</v>
      </c>
      <c r="E16" s="323" t="s">
        <v>462</v>
      </c>
      <c r="F16" s="133">
        <v>103</v>
      </c>
      <c r="G16" s="133">
        <v>504</v>
      </c>
    </row>
    <row r="17" spans="1:7" x14ac:dyDescent="0.25">
      <c r="A17" s="323" t="s">
        <v>335</v>
      </c>
      <c r="B17" s="323" t="s">
        <v>334</v>
      </c>
      <c r="C17" s="323">
        <v>97.807182999999995</v>
      </c>
      <c r="D17" s="323" t="s">
        <v>466</v>
      </c>
      <c r="E17" s="323" t="s">
        <v>424</v>
      </c>
      <c r="F17" s="133">
        <v>154</v>
      </c>
      <c r="G17" s="133">
        <v>919</v>
      </c>
    </row>
    <row r="18" spans="1:7" x14ac:dyDescent="0.25">
      <c r="A18" s="323" t="s">
        <v>88</v>
      </c>
      <c r="B18" s="323" t="s">
        <v>87</v>
      </c>
      <c r="C18" s="323">
        <v>96.705960000000005</v>
      </c>
      <c r="D18" s="323" t="s">
        <v>464</v>
      </c>
      <c r="E18" s="323" t="s">
        <v>424</v>
      </c>
      <c r="F18" s="133">
        <v>13</v>
      </c>
      <c r="G18" s="133">
        <v>46</v>
      </c>
    </row>
    <row r="19" spans="1:7" x14ac:dyDescent="0.25">
      <c r="A19" s="323" t="s">
        <v>44</v>
      </c>
      <c r="B19" s="323" t="s">
        <v>45</v>
      </c>
      <c r="C19" s="323">
        <v>96.316564</v>
      </c>
      <c r="D19" s="323" t="s">
        <v>464</v>
      </c>
      <c r="E19" s="323" t="s">
        <v>1327</v>
      </c>
      <c r="F19" s="133">
        <v>4</v>
      </c>
      <c r="G19" s="133">
        <v>27</v>
      </c>
    </row>
    <row r="20" spans="1:7" x14ac:dyDescent="0.25">
      <c r="A20" s="323" t="s">
        <v>12</v>
      </c>
      <c r="B20" s="323" t="s">
        <v>11</v>
      </c>
      <c r="C20" s="323">
        <v>97.228835000000004</v>
      </c>
      <c r="D20" s="323" t="s">
        <v>464</v>
      </c>
      <c r="E20" s="323" t="s">
        <v>788</v>
      </c>
      <c r="F20" s="133">
        <v>190</v>
      </c>
      <c r="G20" s="133">
        <v>928</v>
      </c>
    </row>
    <row r="21" spans="1:7" x14ac:dyDescent="0.25">
      <c r="A21" s="323" t="s">
        <v>12</v>
      </c>
      <c r="B21" s="323" t="s">
        <v>388</v>
      </c>
      <c r="C21" s="323">
        <v>97.298055000000005</v>
      </c>
      <c r="D21" s="323" t="s">
        <v>464</v>
      </c>
      <c r="E21" s="323" t="s">
        <v>788</v>
      </c>
      <c r="F21" s="133">
        <v>80</v>
      </c>
      <c r="G21" s="133">
        <v>290</v>
      </c>
    </row>
    <row r="22" spans="1:7" x14ac:dyDescent="0.25">
      <c r="A22" s="323" t="s">
        <v>12</v>
      </c>
      <c r="B22" s="323" t="s">
        <v>389</v>
      </c>
      <c r="C22" s="323">
        <v>97.348405</v>
      </c>
      <c r="D22" s="323" t="s">
        <v>464</v>
      </c>
      <c r="E22" s="323" t="s">
        <v>788</v>
      </c>
      <c r="F22" s="133">
        <v>223</v>
      </c>
      <c r="G22" s="133">
        <v>1067</v>
      </c>
    </row>
    <row r="23" spans="1:7" x14ac:dyDescent="0.25">
      <c r="A23" s="323" t="s">
        <v>231</v>
      </c>
      <c r="B23" s="323" t="s">
        <v>386</v>
      </c>
      <c r="C23" s="323">
        <v>98.115809999999996</v>
      </c>
      <c r="D23" s="323" t="s">
        <v>464</v>
      </c>
      <c r="E23" s="323" t="s">
        <v>788</v>
      </c>
      <c r="F23" s="133">
        <v>32</v>
      </c>
      <c r="G23" s="133">
        <v>187</v>
      </c>
    </row>
    <row r="24" spans="1:7" x14ac:dyDescent="0.25">
      <c r="A24" s="323" t="s">
        <v>917</v>
      </c>
      <c r="B24" s="323" t="s">
        <v>918</v>
      </c>
      <c r="C24" s="323">
        <v>96.312790000000007</v>
      </c>
      <c r="D24" s="323" t="s">
        <v>464</v>
      </c>
      <c r="E24" s="323" t="s">
        <v>424</v>
      </c>
      <c r="F24" s="133">
        <v>104</v>
      </c>
      <c r="G24" s="133">
        <v>510</v>
      </c>
    </row>
    <row r="25" spans="1:7" x14ac:dyDescent="0.25">
      <c r="A25" s="323" t="s">
        <v>362</v>
      </c>
      <c r="B25" s="323" t="s">
        <v>29</v>
      </c>
      <c r="C25" s="323">
        <v>98.475719999999995</v>
      </c>
      <c r="D25" s="323" t="s">
        <v>466</v>
      </c>
      <c r="E25" s="323" t="s">
        <v>424</v>
      </c>
      <c r="F25" s="133">
        <v>160</v>
      </c>
      <c r="G25" s="133">
        <v>830</v>
      </c>
    </row>
    <row r="26" spans="1:7" x14ac:dyDescent="0.25">
      <c r="A26" s="323" t="s">
        <v>194</v>
      </c>
      <c r="B26" s="323" t="s">
        <v>193</v>
      </c>
      <c r="C26" s="323">
        <v>97.573126000000002</v>
      </c>
      <c r="D26" s="323" t="s">
        <v>466</v>
      </c>
      <c r="E26" s="323" t="s">
        <v>938</v>
      </c>
      <c r="F26" s="133">
        <v>719</v>
      </c>
      <c r="G26" s="133">
        <v>3659</v>
      </c>
    </row>
    <row r="27" spans="1:7" x14ac:dyDescent="0.25">
      <c r="A27" s="323" t="s">
        <v>14</v>
      </c>
      <c r="B27" s="323" t="s">
        <v>13</v>
      </c>
      <c r="C27" s="323">
        <v>97.236919999999998</v>
      </c>
      <c r="D27" s="323" t="s">
        <v>464</v>
      </c>
      <c r="E27" s="323" t="s">
        <v>424</v>
      </c>
      <c r="F27" s="133">
        <v>41</v>
      </c>
      <c r="G27" s="133">
        <v>227</v>
      </c>
    </row>
    <row r="28" spans="1:7" x14ac:dyDescent="0.25">
      <c r="A28" s="323" t="s">
        <v>752</v>
      </c>
      <c r="B28" s="323" t="s">
        <v>753</v>
      </c>
      <c r="C28" s="323">
        <v>97.541793999999996</v>
      </c>
      <c r="D28" s="323" t="s">
        <v>466</v>
      </c>
      <c r="E28" s="323" t="s">
        <v>788</v>
      </c>
      <c r="F28" s="133"/>
      <c r="G28" s="133">
        <v>872</v>
      </c>
    </row>
    <row r="29" spans="1:7" x14ac:dyDescent="0.25">
      <c r="A29" s="323" t="s">
        <v>894</v>
      </c>
      <c r="B29" s="323" t="s">
        <v>895</v>
      </c>
      <c r="C29" s="323">
        <v>97.561105999999995</v>
      </c>
      <c r="D29" s="323" t="s">
        <v>464</v>
      </c>
      <c r="E29" s="323" t="s">
        <v>788</v>
      </c>
      <c r="F29" s="133">
        <v>10</v>
      </c>
      <c r="G29" s="133">
        <v>56</v>
      </c>
    </row>
    <row r="30" spans="1:7" x14ac:dyDescent="0.25">
      <c r="A30" s="323" t="s">
        <v>252</v>
      </c>
      <c r="B30" s="323" t="s">
        <v>251</v>
      </c>
      <c r="C30" s="323">
        <v>97.373361000000003</v>
      </c>
      <c r="D30" s="323" t="s">
        <v>464</v>
      </c>
      <c r="E30" s="323" t="s">
        <v>424</v>
      </c>
      <c r="F30" s="133">
        <v>199</v>
      </c>
      <c r="G30" s="133">
        <v>1118</v>
      </c>
    </row>
    <row r="31" spans="1:7" x14ac:dyDescent="0.25">
      <c r="A31" s="323" t="s">
        <v>254</v>
      </c>
      <c r="B31" s="323" t="s">
        <v>253</v>
      </c>
      <c r="C31" s="323">
        <v>97.379594999999995</v>
      </c>
      <c r="D31" s="323" t="s">
        <v>464</v>
      </c>
      <c r="E31" s="323" t="s">
        <v>938</v>
      </c>
      <c r="F31" s="133">
        <v>115</v>
      </c>
      <c r="G31" s="133">
        <v>562</v>
      </c>
    </row>
    <row r="32" spans="1:7" x14ac:dyDescent="0.25">
      <c r="A32" s="323" t="s">
        <v>196</v>
      </c>
      <c r="B32" s="323" t="s">
        <v>195</v>
      </c>
      <c r="C32" s="323">
        <v>97.568331999999998</v>
      </c>
      <c r="D32" s="323" t="s">
        <v>466</v>
      </c>
      <c r="E32" s="323" t="s">
        <v>938</v>
      </c>
      <c r="F32" s="133">
        <v>1497</v>
      </c>
      <c r="G32" s="133">
        <v>8461</v>
      </c>
    </row>
    <row r="33" spans="1:7" x14ac:dyDescent="0.25">
      <c r="A33" s="323" t="s">
        <v>474</v>
      </c>
      <c r="B33" s="323" t="s">
        <v>475</v>
      </c>
      <c r="C33" s="323">
        <v>97.343406999999999</v>
      </c>
      <c r="D33" s="323" t="s">
        <v>464</v>
      </c>
      <c r="E33" s="323" t="s">
        <v>788</v>
      </c>
      <c r="F33" s="133">
        <v>3</v>
      </c>
      <c r="G33" s="133">
        <v>18</v>
      </c>
    </row>
    <row r="34" spans="1:7" x14ac:dyDescent="0.25">
      <c r="A34" s="323" t="s">
        <v>367</v>
      </c>
      <c r="B34" s="323" t="s">
        <v>381</v>
      </c>
      <c r="C34" s="323">
        <v>97.926813999999993</v>
      </c>
      <c r="D34" s="323" t="s">
        <v>464</v>
      </c>
      <c r="E34" s="323" t="s">
        <v>424</v>
      </c>
      <c r="F34" s="133">
        <v>56</v>
      </c>
      <c r="G34" s="133">
        <v>264</v>
      </c>
    </row>
    <row r="35" spans="1:7" x14ac:dyDescent="0.25">
      <c r="A35" s="323" t="s">
        <v>368</v>
      </c>
      <c r="B35" s="323" t="s">
        <v>382</v>
      </c>
      <c r="C35" s="323">
        <v>97.947360000000003</v>
      </c>
      <c r="D35" s="323" t="s">
        <v>464</v>
      </c>
      <c r="E35" s="323" t="s">
        <v>1050</v>
      </c>
      <c r="F35" s="133">
        <v>29</v>
      </c>
      <c r="G35" s="133">
        <v>138</v>
      </c>
    </row>
    <row r="36" spans="1:7" x14ac:dyDescent="0.25">
      <c r="A36" s="323" t="s">
        <v>256</v>
      </c>
      <c r="B36" s="323" t="s">
        <v>255</v>
      </c>
      <c r="C36" s="323">
        <v>97.405202777777802</v>
      </c>
      <c r="D36" s="323" t="s">
        <v>464</v>
      </c>
      <c r="E36" s="323" t="s">
        <v>424</v>
      </c>
      <c r="F36" s="133">
        <v>44</v>
      </c>
      <c r="G36" s="133">
        <v>197</v>
      </c>
    </row>
    <row r="37" spans="1:7" x14ac:dyDescent="0.25">
      <c r="A37" s="323" t="s">
        <v>174</v>
      </c>
      <c r="B37" s="323" t="s">
        <v>172</v>
      </c>
      <c r="C37" s="323">
        <v>96.922619999999995</v>
      </c>
      <c r="D37" s="323" t="s">
        <v>464</v>
      </c>
      <c r="E37" s="323" t="s">
        <v>424</v>
      </c>
      <c r="F37" s="133">
        <v>13</v>
      </c>
      <c r="G37" s="133">
        <v>70</v>
      </c>
    </row>
    <row r="38" spans="1:7" x14ac:dyDescent="0.25">
      <c r="A38" s="323" t="s">
        <v>198</v>
      </c>
      <c r="B38" s="323" t="s">
        <v>197</v>
      </c>
      <c r="C38" s="323">
        <v>97.625617000000005</v>
      </c>
      <c r="D38" s="323" t="s">
        <v>466</v>
      </c>
      <c r="E38" s="323" t="s">
        <v>937</v>
      </c>
      <c r="F38" s="133">
        <v>547</v>
      </c>
      <c r="G38" s="133">
        <v>2368</v>
      </c>
    </row>
    <row r="39" spans="1:7" x14ac:dyDescent="0.25">
      <c r="A39" s="323" t="s">
        <v>303</v>
      </c>
      <c r="B39" s="323" t="s">
        <v>302</v>
      </c>
      <c r="C39" s="323" t="s">
        <v>788</v>
      </c>
      <c r="D39" s="323" t="s">
        <v>464</v>
      </c>
      <c r="E39" s="323" t="s">
        <v>788</v>
      </c>
      <c r="F39" s="133">
        <v>375</v>
      </c>
      <c r="G39" s="133">
        <v>1691</v>
      </c>
    </row>
    <row r="40" spans="1:7" x14ac:dyDescent="0.25">
      <c r="A40" s="323" t="s">
        <v>240</v>
      </c>
      <c r="B40" s="323" t="s">
        <v>239</v>
      </c>
      <c r="C40" s="323">
        <v>97.409035000000003</v>
      </c>
      <c r="D40" s="323" t="s">
        <v>464</v>
      </c>
      <c r="E40" s="323" t="s">
        <v>424</v>
      </c>
      <c r="F40" s="133">
        <v>102</v>
      </c>
      <c r="G40" s="133">
        <v>546</v>
      </c>
    </row>
    <row r="41" spans="1:7" x14ac:dyDescent="0.25">
      <c r="A41" s="323" t="s">
        <v>284</v>
      </c>
      <c r="B41" s="323" t="s">
        <v>283</v>
      </c>
      <c r="C41" s="323">
        <v>97.403402307692303</v>
      </c>
      <c r="D41" s="323" t="s">
        <v>464</v>
      </c>
      <c r="E41" s="323" t="s">
        <v>424</v>
      </c>
      <c r="F41" s="133">
        <v>138</v>
      </c>
      <c r="G41" s="133">
        <v>703</v>
      </c>
    </row>
    <row r="42" spans="1:7" x14ac:dyDescent="0.25">
      <c r="A42" s="323" t="s">
        <v>363</v>
      </c>
      <c r="B42" s="323" t="s">
        <v>376</v>
      </c>
      <c r="C42" s="323">
        <v>98.129990000000006</v>
      </c>
      <c r="D42" s="323" t="s">
        <v>464</v>
      </c>
      <c r="E42" s="323" t="s">
        <v>462</v>
      </c>
      <c r="F42" s="133">
        <v>143</v>
      </c>
      <c r="G42" s="133">
        <v>640</v>
      </c>
    </row>
    <row r="43" spans="1:7" x14ac:dyDescent="0.25">
      <c r="A43" s="323" t="s">
        <v>90</v>
      </c>
      <c r="B43" s="323" t="s">
        <v>89</v>
      </c>
      <c r="C43" s="323">
        <v>96.269199999999998</v>
      </c>
      <c r="D43" s="323" t="s">
        <v>464</v>
      </c>
      <c r="E43" s="323" t="s">
        <v>462</v>
      </c>
      <c r="F43" s="133">
        <v>19</v>
      </c>
      <c r="G43" s="133">
        <v>102</v>
      </c>
    </row>
    <row r="44" spans="1:7" x14ac:dyDescent="0.25">
      <c r="A44" s="323" t="s">
        <v>92</v>
      </c>
      <c r="B44" s="323" t="s">
        <v>91</v>
      </c>
      <c r="C44" s="323">
        <v>96.316400000000002</v>
      </c>
      <c r="D44" s="323" t="s">
        <v>464</v>
      </c>
      <c r="E44" s="323" t="s">
        <v>462</v>
      </c>
      <c r="F44" s="133">
        <v>12</v>
      </c>
      <c r="G44" s="133">
        <v>61</v>
      </c>
    </row>
    <row r="45" spans="1:7" x14ac:dyDescent="0.25">
      <c r="A45" s="323" t="s">
        <v>18</v>
      </c>
      <c r="B45" s="323" t="s">
        <v>17</v>
      </c>
      <c r="C45" s="323">
        <v>97.240183461538507</v>
      </c>
      <c r="D45" s="323" t="s">
        <v>464</v>
      </c>
      <c r="E45" s="323" t="s">
        <v>462</v>
      </c>
      <c r="F45" s="133">
        <v>129</v>
      </c>
      <c r="G45" s="133">
        <v>742</v>
      </c>
    </row>
    <row r="46" spans="1:7" x14ac:dyDescent="0.25">
      <c r="A46" s="323" t="s">
        <v>186</v>
      </c>
      <c r="B46" s="323" t="s">
        <v>184</v>
      </c>
      <c r="C46" s="323">
        <v>97.718582999999995</v>
      </c>
      <c r="D46" s="323" t="s">
        <v>464</v>
      </c>
      <c r="E46" s="323" t="s">
        <v>424</v>
      </c>
      <c r="F46" s="133">
        <v>40</v>
      </c>
      <c r="G46" s="133">
        <v>240</v>
      </c>
    </row>
    <row r="47" spans="1:7" x14ac:dyDescent="0.25">
      <c r="A47" s="323" t="s">
        <v>223</v>
      </c>
      <c r="B47" s="323" t="s">
        <v>222</v>
      </c>
      <c r="C47" s="323">
        <v>97.724566999999993</v>
      </c>
      <c r="D47" s="323" t="s">
        <v>464</v>
      </c>
      <c r="E47" s="323" t="s">
        <v>937</v>
      </c>
      <c r="F47" s="133">
        <v>129</v>
      </c>
      <c r="G47" s="133">
        <v>640</v>
      </c>
    </row>
    <row r="48" spans="1:7" x14ac:dyDescent="0.25">
      <c r="A48" s="323" t="s">
        <v>190</v>
      </c>
      <c r="B48" s="323" t="s">
        <v>189</v>
      </c>
      <c r="C48" s="323">
        <v>97.717133000000004</v>
      </c>
      <c r="D48" s="323" t="s">
        <v>464</v>
      </c>
      <c r="E48" s="323" t="s">
        <v>424</v>
      </c>
      <c r="F48" s="133">
        <v>203</v>
      </c>
      <c r="G48" s="133">
        <v>1138</v>
      </c>
    </row>
    <row r="49" spans="1:7" x14ac:dyDescent="0.25">
      <c r="A49" s="323" t="s">
        <v>319</v>
      </c>
      <c r="B49" s="323" t="s">
        <v>318</v>
      </c>
      <c r="C49" s="323">
        <v>97.451965000000001</v>
      </c>
      <c r="D49" s="323" t="s">
        <v>464</v>
      </c>
      <c r="E49" s="323" t="s">
        <v>424</v>
      </c>
      <c r="F49" s="133">
        <v>30</v>
      </c>
      <c r="G49" s="133">
        <v>176</v>
      </c>
    </row>
    <row r="50" spans="1:7" x14ac:dyDescent="0.25">
      <c r="A50" s="323" t="s">
        <v>321</v>
      </c>
      <c r="B50" s="323" t="s">
        <v>320</v>
      </c>
      <c r="C50" s="323">
        <v>97.715230000000005</v>
      </c>
      <c r="D50" s="323" t="s">
        <v>466</v>
      </c>
      <c r="E50" s="323" t="s">
        <v>938</v>
      </c>
      <c r="F50" s="133">
        <v>418</v>
      </c>
      <c r="G50" s="133">
        <v>1554</v>
      </c>
    </row>
    <row r="51" spans="1:7" x14ac:dyDescent="0.25">
      <c r="A51" s="323" t="s">
        <v>327</v>
      </c>
      <c r="B51" s="323" t="s">
        <v>326</v>
      </c>
      <c r="C51" s="323">
        <v>97.433419259259296</v>
      </c>
      <c r="D51" s="323" t="s">
        <v>464</v>
      </c>
      <c r="E51" s="323" t="s">
        <v>462</v>
      </c>
      <c r="F51" s="133">
        <v>339</v>
      </c>
      <c r="G51" s="133">
        <v>1975</v>
      </c>
    </row>
    <row r="52" spans="1:7" x14ac:dyDescent="0.25">
      <c r="A52" s="323" t="s">
        <v>329</v>
      </c>
      <c r="B52" s="323" t="s">
        <v>328</v>
      </c>
      <c r="C52" s="323">
        <v>97.437782499999997</v>
      </c>
      <c r="D52" s="323" t="s">
        <v>464</v>
      </c>
      <c r="E52" s="323" t="s">
        <v>938</v>
      </c>
      <c r="F52" s="133">
        <v>284</v>
      </c>
      <c r="G52" s="133">
        <v>1499</v>
      </c>
    </row>
    <row r="53" spans="1:7" x14ac:dyDescent="0.25">
      <c r="A53" s="323" t="s">
        <v>323</v>
      </c>
      <c r="B53" s="323" t="s">
        <v>322</v>
      </c>
      <c r="C53" s="323">
        <v>97.434855869565197</v>
      </c>
      <c r="D53" s="323" t="s">
        <v>464</v>
      </c>
      <c r="E53" s="323" t="s">
        <v>424</v>
      </c>
      <c r="F53" s="133">
        <v>510</v>
      </c>
      <c r="G53" s="133">
        <v>2680</v>
      </c>
    </row>
    <row r="54" spans="1:7" x14ac:dyDescent="0.25">
      <c r="A54" s="323" t="s">
        <v>325</v>
      </c>
      <c r="B54" s="323" t="s">
        <v>324</v>
      </c>
      <c r="C54" s="323">
        <v>97.426536944444507</v>
      </c>
      <c r="D54" s="323" t="s">
        <v>464</v>
      </c>
      <c r="E54" s="323" t="s">
        <v>424</v>
      </c>
      <c r="F54" s="133">
        <v>47</v>
      </c>
      <c r="G54" s="133">
        <v>208</v>
      </c>
    </row>
    <row r="55" spans="1:7" x14ac:dyDescent="0.25">
      <c r="A55" s="323" t="s">
        <v>812</v>
      </c>
      <c r="B55" s="323" t="s">
        <v>813</v>
      </c>
      <c r="C55" s="323">
        <v>97.225881000000001</v>
      </c>
      <c r="D55" s="323" t="s">
        <v>464</v>
      </c>
      <c r="E55" s="323" t="s">
        <v>424</v>
      </c>
      <c r="F55" s="133">
        <v>432</v>
      </c>
      <c r="G55" s="133">
        <v>2149</v>
      </c>
    </row>
    <row r="56" spans="1:7" x14ac:dyDescent="0.25">
      <c r="A56" s="323" t="s">
        <v>849</v>
      </c>
      <c r="B56" s="323" t="s">
        <v>848</v>
      </c>
      <c r="C56" s="323">
        <v>97.227057000000002</v>
      </c>
      <c r="D56" s="323" t="s">
        <v>464</v>
      </c>
      <c r="E56" s="323" t="s">
        <v>937</v>
      </c>
      <c r="F56" s="133">
        <v>172</v>
      </c>
      <c r="G56" s="133">
        <v>783</v>
      </c>
    </row>
    <row r="57" spans="1:7" x14ac:dyDescent="0.25">
      <c r="A57" s="323" t="s">
        <v>258</v>
      </c>
      <c r="B57" s="323" t="s">
        <v>257</v>
      </c>
      <c r="C57" s="323">
        <v>97.4113064583333</v>
      </c>
      <c r="D57" s="323" t="s">
        <v>464</v>
      </c>
      <c r="E57" s="323" t="s">
        <v>424</v>
      </c>
      <c r="F57" s="133">
        <v>61</v>
      </c>
      <c r="G57" s="133">
        <v>302</v>
      </c>
    </row>
    <row r="58" spans="1:7" x14ac:dyDescent="0.25">
      <c r="A58" s="323" t="s">
        <v>202</v>
      </c>
      <c r="B58" s="323" t="s">
        <v>201</v>
      </c>
      <c r="C58" s="323">
        <v>97.325019999999995</v>
      </c>
      <c r="D58" s="323" t="s">
        <v>464</v>
      </c>
      <c r="E58" s="323" t="s">
        <v>937</v>
      </c>
      <c r="F58" s="133">
        <v>274</v>
      </c>
      <c r="G58" s="133">
        <v>1210</v>
      </c>
    </row>
    <row r="59" spans="1:7" x14ac:dyDescent="0.25">
      <c r="A59" s="323" t="s">
        <v>260</v>
      </c>
      <c r="B59" s="323" t="s">
        <v>259</v>
      </c>
      <c r="C59" s="323">
        <v>97.418694000000002</v>
      </c>
      <c r="D59" s="323" t="s">
        <v>464</v>
      </c>
      <c r="E59" s="323" t="s">
        <v>424</v>
      </c>
      <c r="F59" s="133">
        <v>103</v>
      </c>
      <c r="G59" s="133">
        <v>586</v>
      </c>
    </row>
    <row r="60" spans="1:7" x14ac:dyDescent="0.25">
      <c r="A60" s="323" t="s">
        <v>160</v>
      </c>
      <c r="B60" s="323" t="s">
        <v>159</v>
      </c>
      <c r="C60" s="323">
        <v>97.589979999999997</v>
      </c>
      <c r="D60" s="323" t="s">
        <v>464</v>
      </c>
      <c r="E60" s="323" t="s">
        <v>424</v>
      </c>
      <c r="F60" s="133">
        <v>127</v>
      </c>
      <c r="G60" s="133">
        <v>649</v>
      </c>
    </row>
    <row r="61" spans="1:7" x14ac:dyDescent="0.25">
      <c r="A61" s="323" t="s">
        <v>940</v>
      </c>
      <c r="B61" s="323" t="s">
        <v>941</v>
      </c>
      <c r="C61" s="323">
        <v>97.590767</v>
      </c>
      <c r="D61" s="323" t="s">
        <v>464</v>
      </c>
      <c r="E61" s="323" t="s">
        <v>424</v>
      </c>
      <c r="F61" s="133">
        <v>154</v>
      </c>
      <c r="G61" s="133">
        <v>670</v>
      </c>
    </row>
    <row r="62" spans="1:7" x14ac:dyDescent="0.25">
      <c r="A62" s="323" t="s">
        <v>154</v>
      </c>
      <c r="B62" s="323" t="s">
        <v>153</v>
      </c>
      <c r="C62" s="323">
        <v>97.578490000000002</v>
      </c>
      <c r="D62" s="323" t="s">
        <v>464</v>
      </c>
      <c r="E62" s="323" t="s">
        <v>937</v>
      </c>
      <c r="F62" s="133">
        <v>447</v>
      </c>
      <c r="G62" s="133">
        <v>2332</v>
      </c>
    </row>
    <row r="63" spans="1:7" x14ac:dyDescent="0.25">
      <c r="A63" s="323" t="s">
        <v>913</v>
      </c>
      <c r="B63" s="323" t="s">
        <v>914</v>
      </c>
      <c r="C63" s="323">
        <v>97.578367</v>
      </c>
      <c r="D63" s="323" t="s">
        <v>464</v>
      </c>
      <c r="E63" s="323" t="s">
        <v>937</v>
      </c>
      <c r="F63" s="133">
        <v>156</v>
      </c>
      <c r="G63" s="133">
        <v>711</v>
      </c>
    </row>
    <row r="64" spans="1:7" x14ac:dyDescent="0.25">
      <c r="A64" s="323" t="s">
        <v>156</v>
      </c>
      <c r="B64" s="323" t="s">
        <v>155</v>
      </c>
      <c r="C64" s="323">
        <v>97.588291999999996</v>
      </c>
      <c r="D64" s="323" t="s">
        <v>464</v>
      </c>
      <c r="E64" s="323" t="s">
        <v>788</v>
      </c>
      <c r="F64" s="133">
        <v>175</v>
      </c>
      <c r="G64" s="133">
        <v>834</v>
      </c>
    </row>
    <row r="65" spans="1:7" x14ac:dyDescent="0.25">
      <c r="A65" s="323" t="s">
        <v>167</v>
      </c>
      <c r="B65" s="323" t="s">
        <v>165</v>
      </c>
      <c r="C65" s="323">
        <v>97.124403000000001</v>
      </c>
      <c r="D65" s="323" t="s">
        <v>464</v>
      </c>
      <c r="E65" s="323" t="s">
        <v>424</v>
      </c>
      <c r="F65" s="133">
        <v>33</v>
      </c>
      <c r="G65" s="133">
        <v>182</v>
      </c>
    </row>
    <row r="66" spans="1:7" x14ac:dyDescent="0.25">
      <c r="A66" s="323" t="s">
        <v>761</v>
      </c>
      <c r="B66" s="323" t="s">
        <v>762</v>
      </c>
      <c r="C66" s="323">
        <v>97.116680000000002</v>
      </c>
      <c r="D66" s="323" t="s">
        <v>464</v>
      </c>
      <c r="E66" s="323" t="s">
        <v>1050</v>
      </c>
      <c r="F66" s="133">
        <v>29</v>
      </c>
      <c r="G66" s="133">
        <v>171</v>
      </c>
    </row>
    <row r="67" spans="1:7" x14ac:dyDescent="0.25">
      <c r="A67" s="323" t="s">
        <v>152</v>
      </c>
      <c r="B67" s="323" t="s">
        <v>150</v>
      </c>
      <c r="C67" s="323">
        <v>97.291820000000001</v>
      </c>
      <c r="D67" s="323" t="s">
        <v>464</v>
      </c>
      <c r="E67" s="323" t="s">
        <v>424</v>
      </c>
      <c r="F67" s="133">
        <v>185</v>
      </c>
      <c r="G67" s="133">
        <v>830</v>
      </c>
    </row>
    <row r="68" spans="1:7" x14ac:dyDescent="0.25">
      <c r="A68" s="323" t="s">
        <v>262</v>
      </c>
      <c r="B68" s="323" t="s">
        <v>261</v>
      </c>
      <c r="C68" s="323">
        <v>97.2843958974359</v>
      </c>
      <c r="D68" s="323" t="s">
        <v>464</v>
      </c>
      <c r="E68" s="323" t="s">
        <v>462</v>
      </c>
      <c r="F68" s="133">
        <v>24</v>
      </c>
      <c r="G68" s="133">
        <v>97</v>
      </c>
    </row>
    <row r="69" spans="1:7" x14ac:dyDescent="0.25">
      <c r="A69" s="323" t="s">
        <v>264</v>
      </c>
      <c r="B69" s="323" t="s">
        <v>263</v>
      </c>
      <c r="C69" s="323">
        <v>97.290952037037002</v>
      </c>
      <c r="D69" s="323" t="s">
        <v>464</v>
      </c>
      <c r="E69" s="323" t="s">
        <v>462</v>
      </c>
      <c r="F69" s="133">
        <v>14</v>
      </c>
      <c r="G69" s="133">
        <v>76</v>
      </c>
    </row>
    <row r="70" spans="1:7" x14ac:dyDescent="0.25">
      <c r="A70" s="323" t="s">
        <v>100</v>
      </c>
      <c r="B70" s="323" t="s">
        <v>99</v>
      </c>
      <c r="C70" s="323">
        <v>96.319829999999996</v>
      </c>
      <c r="D70" s="323" t="s">
        <v>464</v>
      </c>
      <c r="E70" s="323" t="s">
        <v>1327</v>
      </c>
      <c r="F70" s="133">
        <v>4</v>
      </c>
      <c r="G70" s="133">
        <v>15</v>
      </c>
    </row>
    <row r="71" spans="1:7" x14ac:dyDescent="0.25">
      <c r="A71" s="323" t="s">
        <v>209</v>
      </c>
      <c r="B71" s="323" t="s">
        <v>208</v>
      </c>
      <c r="C71" s="323">
        <v>97.344359999999995</v>
      </c>
      <c r="D71" s="323" t="s">
        <v>464</v>
      </c>
      <c r="E71" s="323" t="s">
        <v>424</v>
      </c>
      <c r="F71" s="133">
        <v>415</v>
      </c>
      <c r="G71" s="133">
        <v>1898</v>
      </c>
    </row>
    <row r="72" spans="1:7" x14ac:dyDescent="0.25">
      <c r="A72" s="323" t="s">
        <v>369</v>
      </c>
      <c r="B72" s="323" t="s">
        <v>147</v>
      </c>
      <c r="C72" s="323">
        <v>98.220614999999995</v>
      </c>
      <c r="D72" s="323" t="s">
        <v>464</v>
      </c>
      <c r="E72" s="323" t="s">
        <v>424</v>
      </c>
      <c r="F72" s="133">
        <v>42</v>
      </c>
      <c r="G72" s="133">
        <v>234</v>
      </c>
    </row>
    <row r="73" spans="1:7" x14ac:dyDescent="0.25">
      <c r="A73" s="323" t="s">
        <v>945</v>
      </c>
      <c r="B73" s="323" t="s">
        <v>944</v>
      </c>
      <c r="C73" s="323">
        <v>98.248999999999995</v>
      </c>
      <c r="D73" s="323" t="s">
        <v>464</v>
      </c>
      <c r="E73" s="323" t="s">
        <v>1050</v>
      </c>
      <c r="F73" s="133">
        <v>22</v>
      </c>
      <c r="G73" s="133">
        <v>105</v>
      </c>
    </row>
    <row r="74" spans="1:7" x14ac:dyDescent="0.25">
      <c r="A74" s="323" t="s">
        <v>905</v>
      </c>
      <c r="B74" s="323" t="s">
        <v>906</v>
      </c>
      <c r="C74" s="323">
        <v>97.909400000000005</v>
      </c>
      <c r="D74" s="323" t="s">
        <v>464</v>
      </c>
      <c r="E74" s="323" t="s">
        <v>424</v>
      </c>
      <c r="F74" s="133">
        <v>42</v>
      </c>
      <c r="G74" s="133">
        <v>192</v>
      </c>
    </row>
    <row r="75" spans="1:7" x14ac:dyDescent="0.25">
      <c r="A75" s="323" t="s">
        <v>915</v>
      </c>
      <c r="B75" s="323" t="s">
        <v>916</v>
      </c>
      <c r="C75" s="323">
        <v>97.911647000000002</v>
      </c>
      <c r="D75" s="323" t="s">
        <v>464</v>
      </c>
      <c r="E75" s="323" t="s">
        <v>1050</v>
      </c>
      <c r="F75" s="133">
        <v>22</v>
      </c>
      <c r="G75" s="133">
        <v>107</v>
      </c>
    </row>
    <row r="76" spans="1:7" x14ac:dyDescent="0.25">
      <c r="A76" s="323" t="s">
        <v>8</v>
      </c>
      <c r="B76" s="323" t="s">
        <v>7</v>
      </c>
      <c r="C76" s="323">
        <v>97.234200000000001</v>
      </c>
      <c r="D76" s="323" t="s">
        <v>464</v>
      </c>
      <c r="E76" s="323" t="s">
        <v>462</v>
      </c>
      <c r="F76" s="133">
        <v>14</v>
      </c>
      <c r="G76" s="133">
        <v>59</v>
      </c>
    </row>
    <row r="77" spans="1:7" x14ac:dyDescent="0.25">
      <c r="A77" s="323" t="s">
        <v>213</v>
      </c>
      <c r="B77" s="323" t="s">
        <v>212</v>
      </c>
      <c r="C77" s="323">
        <v>97.407787999999996</v>
      </c>
      <c r="D77" s="323" t="s">
        <v>464</v>
      </c>
      <c r="E77" s="323" t="s">
        <v>788</v>
      </c>
      <c r="F77" s="133">
        <v>47</v>
      </c>
      <c r="G77" s="133">
        <v>153</v>
      </c>
    </row>
    <row r="78" spans="1:7" x14ac:dyDescent="0.25">
      <c r="A78" s="323" t="s">
        <v>291</v>
      </c>
      <c r="B78" s="323" t="s">
        <v>290</v>
      </c>
      <c r="C78" s="323">
        <v>97.681970000000007</v>
      </c>
      <c r="D78" s="323" t="s">
        <v>464</v>
      </c>
      <c r="E78" s="323" t="s">
        <v>424</v>
      </c>
      <c r="F78" s="133">
        <v>75</v>
      </c>
      <c r="G78" s="133">
        <v>367</v>
      </c>
    </row>
    <row r="79" spans="1:7" x14ac:dyDescent="0.25">
      <c r="A79" s="323" t="s">
        <v>289</v>
      </c>
      <c r="B79" s="323" t="s">
        <v>287</v>
      </c>
      <c r="C79" s="323">
        <v>97.669557999999995</v>
      </c>
      <c r="D79" s="323" t="s">
        <v>464</v>
      </c>
      <c r="E79" s="323" t="s">
        <v>424</v>
      </c>
      <c r="F79" s="133">
        <v>66</v>
      </c>
      <c r="G79" s="133">
        <v>336</v>
      </c>
    </row>
    <row r="80" spans="1:7" x14ac:dyDescent="0.25">
      <c r="A80" s="323" t="s">
        <v>907</v>
      </c>
      <c r="B80" s="323" t="s">
        <v>908</v>
      </c>
      <c r="C80" s="323">
        <v>97.700940000000003</v>
      </c>
      <c r="D80" s="323" t="s">
        <v>464</v>
      </c>
      <c r="E80" s="323" t="s">
        <v>424</v>
      </c>
      <c r="F80" s="133">
        <v>38</v>
      </c>
      <c r="G80" s="133">
        <v>200</v>
      </c>
    </row>
    <row r="81" spans="1:7" x14ac:dyDescent="0.25">
      <c r="A81" s="323" t="s">
        <v>372</v>
      </c>
      <c r="B81" s="323" t="s">
        <v>294</v>
      </c>
      <c r="C81" s="323">
        <v>97.670360000000002</v>
      </c>
      <c r="D81" s="323" t="s">
        <v>464</v>
      </c>
      <c r="E81" s="323" t="s">
        <v>1050</v>
      </c>
      <c r="F81" s="133">
        <v>43</v>
      </c>
      <c r="G81" s="133">
        <v>222</v>
      </c>
    </row>
    <row r="82" spans="1:7" x14ac:dyDescent="0.25">
      <c r="A82" s="323" t="s">
        <v>149</v>
      </c>
      <c r="B82" s="323" t="s">
        <v>148</v>
      </c>
      <c r="C82" s="323">
        <v>97.818979999999996</v>
      </c>
      <c r="D82" s="323" t="s">
        <v>464</v>
      </c>
      <c r="E82" s="323" t="s">
        <v>424</v>
      </c>
      <c r="F82" s="133">
        <v>58</v>
      </c>
      <c r="G82" s="133">
        <v>273</v>
      </c>
    </row>
    <row r="83" spans="1:7" x14ac:dyDescent="0.25">
      <c r="A83" s="323" t="s">
        <v>551</v>
      </c>
      <c r="B83" s="323" t="s">
        <v>46</v>
      </c>
      <c r="C83" s="323">
        <v>96.339590000000001</v>
      </c>
      <c r="D83" s="323" t="s">
        <v>464</v>
      </c>
      <c r="E83" s="323" t="s">
        <v>1327</v>
      </c>
      <c r="F83" s="133">
        <v>11</v>
      </c>
      <c r="G83" s="133">
        <v>46</v>
      </c>
    </row>
    <row r="84" spans="1:7" x14ac:dyDescent="0.25">
      <c r="A84" s="323" t="s">
        <v>760</v>
      </c>
      <c r="B84" s="323" t="s">
        <v>296</v>
      </c>
      <c r="C84" s="323">
        <v>97.404089999999997</v>
      </c>
      <c r="D84" s="323" t="s">
        <v>464</v>
      </c>
      <c r="E84" s="323" t="s">
        <v>424</v>
      </c>
      <c r="F84" s="133">
        <v>41</v>
      </c>
      <c r="G84" s="133">
        <v>179</v>
      </c>
    </row>
    <row r="85" spans="1:7" x14ac:dyDescent="0.25">
      <c r="A85" s="323" t="s">
        <v>919</v>
      </c>
      <c r="B85" s="323" t="s">
        <v>912</v>
      </c>
      <c r="C85" s="323">
        <v>97.709879999999998</v>
      </c>
      <c r="D85" s="323" t="s">
        <v>464</v>
      </c>
      <c r="E85" s="323" t="s">
        <v>424</v>
      </c>
      <c r="F85" s="133">
        <v>126</v>
      </c>
      <c r="G85" s="133">
        <v>575</v>
      </c>
    </row>
    <row r="86" spans="1:7" x14ac:dyDescent="0.25">
      <c r="A86" s="323" t="s">
        <v>270</v>
      </c>
      <c r="B86" s="323" t="s">
        <v>269</v>
      </c>
      <c r="C86" s="323">
        <v>97.359320179999997</v>
      </c>
      <c r="D86" s="323" t="s">
        <v>464</v>
      </c>
      <c r="E86" s="323" t="s">
        <v>938</v>
      </c>
      <c r="F86" s="133">
        <v>58</v>
      </c>
      <c r="G86" s="133">
        <v>308</v>
      </c>
    </row>
    <row r="87" spans="1:7" x14ac:dyDescent="0.25">
      <c r="A87" s="323" t="s">
        <v>20</v>
      </c>
      <c r="B87" s="323" t="s">
        <v>19</v>
      </c>
      <c r="C87" s="323">
        <v>97.315860000000001</v>
      </c>
      <c r="D87" s="323" t="s">
        <v>464</v>
      </c>
      <c r="E87" s="323" t="s">
        <v>937</v>
      </c>
      <c r="F87" s="133">
        <v>21</v>
      </c>
      <c r="G87" s="133">
        <v>112</v>
      </c>
    </row>
    <row r="88" spans="1:7" x14ac:dyDescent="0.25">
      <c r="A88" s="323" t="s">
        <v>108</v>
      </c>
      <c r="B88" s="323" t="s">
        <v>107</v>
      </c>
      <c r="C88" s="323">
        <v>96.341352999999998</v>
      </c>
      <c r="D88" s="323" t="s">
        <v>464</v>
      </c>
      <c r="E88" s="323" t="s">
        <v>938</v>
      </c>
      <c r="F88" s="133">
        <v>48</v>
      </c>
      <c r="G88" s="133">
        <v>225</v>
      </c>
    </row>
    <row r="89" spans="1:7" x14ac:dyDescent="0.25">
      <c r="A89" s="323" t="s">
        <v>535</v>
      </c>
      <c r="B89" s="323" t="s">
        <v>773</v>
      </c>
      <c r="C89" s="323">
        <v>98.352670000000003</v>
      </c>
      <c r="D89" s="323" t="s">
        <v>466</v>
      </c>
      <c r="E89" s="323" t="s">
        <v>788</v>
      </c>
      <c r="F89" s="133">
        <v>67</v>
      </c>
      <c r="G89" s="133">
        <v>392</v>
      </c>
    </row>
    <row r="90" spans="1:7" x14ac:dyDescent="0.25">
      <c r="A90" s="323" t="s">
        <v>178</v>
      </c>
      <c r="B90" s="323" t="s">
        <v>177</v>
      </c>
      <c r="C90" s="323">
        <v>96.948740000000001</v>
      </c>
      <c r="D90" s="323" t="s">
        <v>464</v>
      </c>
      <c r="E90" s="323" t="s">
        <v>424</v>
      </c>
      <c r="F90" s="133">
        <v>10</v>
      </c>
      <c r="G90" s="133">
        <v>41</v>
      </c>
    </row>
    <row r="91" spans="1:7" x14ac:dyDescent="0.25">
      <c r="A91" s="323" t="s">
        <v>342</v>
      </c>
      <c r="B91" s="323" t="s">
        <v>341</v>
      </c>
      <c r="C91" s="323">
        <v>97.345039</v>
      </c>
      <c r="D91" s="323" t="s">
        <v>464</v>
      </c>
      <c r="E91" s="323" t="s">
        <v>462</v>
      </c>
      <c r="F91" s="133">
        <v>20</v>
      </c>
      <c r="G91" s="133">
        <v>86</v>
      </c>
    </row>
    <row r="92" spans="1:7" x14ac:dyDescent="0.25">
      <c r="A92" s="323" t="s">
        <v>286</v>
      </c>
      <c r="B92" s="323" t="s">
        <v>285</v>
      </c>
      <c r="C92" s="323">
        <v>96.364949999999993</v>
      </c>
      <c r="D92" s="323" t="s">
        <v>464</v>
      </c>
      <c r="E92" s="323" t="s">
        <v>424</v>
      </c>
      <c r="F92" s="133">
        <v>24</v>
      </c>
      <c r="G92" s="133">
        <v>115</v>
      </c>
    </row>
    <row r="93" spans="1:7" x14ac:dyDescent="0.25">
      <c r="A93" s="323" t="s">
        <v>215</v>
      </c>
      <c r="B93" s="323" t="s">
        <v>214</v>
      </c>
      <c r="C93" s="323">
        <v>97.669366999999994</v>
      </c>
      <c r="D93" s="323" t="s">
        <v>466</v>
      </c>
      <c r="E93" s="323" t="s">
        <v>937</v>
      </c>
      <c r="F93" s="133">
        <v>356</v>
      </c>
      <c r="G93" s="133">
        <v>1787</v>
      </c>
    </row>
    <row r="94" spans="1:7" x14ac:dyDescent="0.25">
      <c r="A94" s="323" t="s">
        <v>268</v>
      </c>
      <c r="B94" s="323" t="s">
        <v>267</v>
      </c>
      <c r="C94" s="323">
        <v>97.394547000000003</v>
      </c>
      <c r="D94" s="323" t="s">
        <v>464</v>
      </c>
      <c r="E94" s="323" t="s">
        <v>424</v>
      </c>
      <c r="F94" s="133">
        <v>67</v>
      </c>
      <c r="G94" s="133">
        <v>296</v>
      </c>
    </row>
    <row r="95" spans="1:7" x14ac:dyDescent="0.25">
      <c r="A95" s="323" t="s">
        <v>229</v>
      </c>
      <c r="B95" s="323" t="s">
        <v>228</v>
      </c>
      <c r="C95" s="323">
        <v>97.724483000000006</v>
      </c>
      <c r="D95" s="323" t="s">
        <v>464</v>
      </c>
      <c r="E95" s="323" t="s">
        <v>424</v>
      </c>
      <c r="F95" s="133">
        <v>48</v>
      </c>
      <c r="G95" s="133">
        <v>293</v>
      </c>
    </row>
    <row r="96" spans="1:7" x14ac:dyDescent="0.25">
      <c r="A96" s="323" t="s">
        <v>272</v>
      </c>
      <c r="B96" s="323" t="s">
        <v>271</v>
      </c>
      <c r="C96" s="323">
        <v>97.4345</v>
      </c>
      <c r="D96" s="323" t="s">
        <v>464</v>
      </c>
      <c r="E96" s="323" t="s">
        <v>938</v>
      </c>
      <c r="F96" s="133">
        <v>64</v>
      </c>
      <c r="G96" s="133">
        <v>362</v>
      </c>
    </row>
    <row r="97" spans="1:7" x14ac:dyDescent="0.25">
      <c r="A97" s="323" t="s">
        <v>219</v>
      </c>
      <c r="B97" s="323" t="s">
        <v>218</v>
      </c>
      <c r="C97" s="323">
        <v>97.752667000000002</v>
      </c>
      <c r="D97" s="323" t="s">
        <v>466</v>
      </c>
      <c r="E97" s="323" t="s">
        <v>937</v>
      </c>
      <c r="F97" s="133">
        <v>651</v>
      </c>
      <c r="G97" s="133">
        <v>3631</v>
      </c>
    </row>
    <row r="98" spans="1:7" x14ac:dyDescent="0.25">
      <c r="A98" s="323" t="s">
        <v>791</v>
      </c>
      <c r="B98" s="323" t="s">
        <v>790</v>
      </c>
      <c r="C98" s="323">
        <v>98.377780000000001</v>
      </c>
      <c r="D98" s="323" t="s">
        <v>464</v>
      </c>
      <c r="E98" s="323" t="s">
        <v>938</v>
      </c>
      <c r="F98" s="133">
        <v>57</v>
      </c>
      <c r="G98" s="133">
        <v>270</v>
      </c>
    </row>
    <row r="99" spans="1:7" x14ac:dyDescent="0.25">
      <c r="A99" s="323" t="s">
        <v>364</v>
      </c>
      <c r="B99" s="323" t="s">
        <v>374</v>
      </c>
      <c r="C99" s="323">
        <v>97.252650000000003</v>
      </c>
      <c r="D99" s="323" t="s">
        <v>464</v>
      </c>
      <c r="E99" s="323" t="s">
        <v>424</v>
      </c>
      <c r="F99" s="133">
        <v>147</v>
      </c>
      <c r="G99" s="133">
        <v>771</v>
      </c>
    </row>
    <row r="100" spans="1:7" x14ac:dyDescent="0.25">
      <c r="A100" s="323" t="s">
        <v>353</v>
      </c>
      <c r="B100" s="323" t="s">
        <v>352</v>
      </c>
      <c r="C100" s="323">
        <v>97.990555999999998</v>
      </c>
      <c r="D100" s="323" t="s">
        <v>466</v>
      </c>
      <c r="E100" s="323" t="s">
        <v>938</v>
      </c>
      <c r="F100" s="133">
        <v>88</v>
      </c>
      <c r="G100" s="133">
        <v>558</v>
      </c>
    </row>
    <row r="101" spans="1:7" x14ac:dyDescent="0.25">
      <c r="A101" s="323" t="s">
        <v>317</v>
      </c>
      <c r="B101" s="323" t="s">
        <v>316</v>
      </c>
      <c r="C101" s="323">
        <v>97.441166388888902</v>
      </c>
      <c r="D101" s="323" t="s">
        <v>464</v>
      </c>
      <c r="E101" s="323" t="s">
        <v>462</v>
      </c>
      <c r="F101" s="133">
        <v>117</v>
      </c>
      <c r="G101" s="133">
        <v>459</v>
      </c>
    </row>
    <row r="102" spans="1:7" x14ac:dyDescent="0.25">
      <c r="A102" s="323" t="s">
        <v>340</v>
      </c>
      <c r="B102" s="323" t="s">
        <v>339</v>
      </c>
      <c r="C102" s="323">
        <v>97.438432380952406</v>
      </c>
      <c r="D102" s="323" t="s">
        <v>464</v>
      </c>
      <c r="E102" s="323" t="s">
        <v>424</v>
      </c>
      <c r="F102" s="133">
        <v>63</v>
      </c>
      <c r="G102" s="133">
        <v>321</v>
      </c>
    </row>
    <row r="103" spans="1:7" x14ac:dyDescent="0.25">
      <c r="A103" s="323" t="s">
        <v>337</v>
      </c>
      <c r="B103" s="323" t="s">
        <v>336</v>
      </c>
      <c r="C103" s="323">
        <v>97.437472666666693</v>
      </c>
      <c r="D103" s="323" t="s">
        <v>464</v>
      </c>
      <c r="E103" s="323" t="s">
        <v>462</v>
      </c>
      <c r="F103" s="133">
        <v>29</v>
      </c>
      <c r="G103" s="133">
        <v>160</v>
      </c>
    </row>
    <row r="104" spans="1:7" x14ac:dyDescent="0.25">
      <c r="A104" s="323" t="s">
        <v>349</v>
      </c>
      <c r="B104" s="323" t="s">
        <v>348</v>
      </c>
      <c r="C104" s="323">
        <v>97.432495000000003</v>
      </c>
      <c r="D104" s="323" t="s">
        <v>464</v>
      </c>
      <c r="E104" s="323" t="s">
        <v>462</v>
      </c>
      <c r="F104" s="133">
        <v>92</v>
      </c>
      <c r="G104" s="133">
        <v>499</v>
      </c>
    </row>
    <row r="105" spans="1:7" x14ac:dyDescent="0.25">
      <c r="A105" s="323" t="s">
        <v>118</v>
      </c>
      <c r="B105" s="323" t="s">
        <v>117</v>
      </c>
      <c r="C105" s="323">
        <v>96.279200000000003</v>
      </c>
      <c r="D105" s="323" t="s">
        <v>464</v>
      </c>
      <c r="E105" s="323" t="s">
        <v>1327</v>
      </c>
      <c r="F105" s="133">
        <v>10</v>
      </c>
      <c r="G105" s="133">
        <v>39</v>
      </c>
    </row>
    <row r="106" spans="1:7" x14ac:dyDescent="0.25">
      <c r="A106" s="323" t="s">
        <v>22</v>
      </c>
      <c r="B106" s="323" t="s">
        <v>21</v>
      </c>
      <c r="C106" s="323">
        <v>97.229116811594196</v>
      </c>
      <c r="D106" s="323" t="s">
        <v>464</v>
      </c>
      <c r="E106" s="323" t="s">
        <v>424</v>
      </c>
      <c r="F106" s="133">
        <v>641</v>
      </c>
      <c r="G106" s="133">
        <v>4010</v>
      </c>
    </row>
    <row r="107" spans="1:7" x14ac:dyDescent="0.25">
      <c r="A107" s="323" t="s">
        <v>877</v>
      </c>
      <c r="B107" s="323" t="s">
        <v>878</v>
      </c>
      <c r="C107" s="323">
        <v>98.356260000000006</v>
      </c>
      <c r="D107" s="323" t="s">
        <v>464</v>
      </c>
      <c r="E107" s="323" t="s">
        <v>938</v>
      </c>
      <c r="F107" s="133">
        <v>30</v>
      </c>
      <c r="G107" s="133">
        <v>172</v>
      </c>
    </row>
    <row r="108" spans="1:7" x14ac:dyDescent="0.25">
      <c r="A108" s="323" t="s">
        <v>225</v>
      </c>
      <c r="B108" s="323" t="s">
        <v>224</v>
      </c>
      <c r="C108" s="323">
        <v>97.710864000000001</v>
      </c>
      <c r="D108" s="323" t="s">
        <v>464</v>
      </c>
      <c r="E108" s="323" t="s">
        <v>424</v>
      </c>
      <c r="F108" s="133">
        <v>43</v>
      </c>
      <c r="G108" s="133">
        <v>269</v>
      </c>
    </row>
    <row r="109" spans="1:7" x14ac:dyDescent="0.25">
      <c r="A109" s="323" t="s">
        <v>276</v>
      </c>
      <c r="B109" s="323" t="s">
        <v>275</v>
      </c>
      <c r="C109" s="323">
        <v>97.399628000000007</v>
      </c>
      <c r="D109" s="323" t="s">
        <v>464</v>
      </c>
      <c r="E109" s="323" t="s">
        <v>424</v>
      </c>
      <c r="F109" s="133">
        <v>118</v>
      </c>
      <c r="G109" s="133">
        <v>569</v>
      </c>
    </row>
    <row r="110" spans="1:7" x14ac:dyDescent="0.25">
      <c r="A110" s="323" t="s">
        <v>278</v>
      </c>
      <c r="B110" s="323" t="s">
        <v>277</v>
      </c>
      <c r="C110" s="323">
        <v>97.418004999999994</v>
      </c>
      <c r="D110" s="323" t="s">
        <v>464</v>
      </c>
      <c r="E110" s="323" t="s">
        <v>462</v>
      </c>
      <c r="F110" s="133">
        <v>23</v>
      </c>
      <c r="G110" s="133">
        <v>114</v>
      </c>
    </row>
    <row r="111" spans="1:7" x14ac:dyDescent="0.25">
      <c r="A111" s="323" t="s">
        <v>345</v>
      </c>
      <c r="B111" s="323" t="s">
        <v>344</v>
      </c>
      <c r="C111" s="323">
        <v>98.025662999999994</v>
      </c>
      <c r="D111" s="323" t="s">
        <v>464</v>
      </c>
      <c r="E111" s="323" t="s">
        <v>424</v>
      </c>
      <c r="F111" s="133">
        <v>181</v>
      </c>
      <c r="G111" s="133">
        <v>1001</v>
      </c>
    </row>
    <row r="112" spans="1:7" x14ac:dyDescent="0.25">
      <c r="A112" s="323" t="s">
        <v>305</v>
      </c>
      <c r="B112" s="323" t="s">
        <v>304</v>
      </c>
      <c r="C112" s="323">
        <v>96.807353000000006</v>
      </c>
      <c r="D112" s="323" t="s">
        <v>464</v>
      </c>
      <c r="E112" s="323" t="s">
        <v>424</v>
      </c>
      <c r="F112" s="133">
        <v>88</v>
      </c>
      <c r="G112" s="133">
        <v>330</v>
      </c>
    </row>
    <row r="113" spans="1:7" x14ac:dyDescent="0.25">
      <c r="A113" s="323" t="s">
        <v>307</v>
      </c>
      <c r="B113" s="323" t="s">
        <v>306</v>
      </c>
      <c r="C113" s="323">
        <v>96.807353000000006</v>
      </c>
      <c r="D113" s="323" t="s">
        <v>464</v>
      </c>
      <c r="E113" s="323" t="s">
        <v>937</v>
      </c>
      <c r="F113" s="133">
        <v>46</v>
      </c>
      <c r="G113" s="133">
        <v>199</v>
      </c>
    </row>
    <row r="114" spans="1:7" x14ac:dyDescent="0.25">
      <c r="A114" s="323" t="s">
        <v>280</v>
      </c>
      <c r="B114" s="323" t="s">
        <v>279</v>
      </c>
      <c r="C114" s="323">
        <v>97.419403000000003</v>
      </c>
      <c r="D114" s="323" t="s">
        <v>464</v>
      </c>
      <c r="E114" s="323" t="s">
        <v>424</v>
      </c>
      <c r="F114" s="133">
        <v>91</v>
      </c>
      <c r="G114" s="133">
        <v>511</v>
      </c>
    </row>
    <row r="115" spans="1:7" x14ac:dyDescent="0.25">
      <c r="A115" s="323" t="s">
        <v>181</v>
      </c>
      <c r="B115" s="323" t="s">
        <v>179</v>
      </c>
      <c r="C115" s="323">
        <v>96.367059999999995</v>
      </c>
      <c r="D115" s="323" t="s">
        <v>464</v>
      </c>
      <c r="E115" s="323" t="s">
        <v>938</v>
      </c>
      <c r="F115" s="133">
        <v>11</v>
      </c>
      <c r="G115" s="133">
        <v>50</v>
      </c>
    </row>
    <row r="116" spans="1:7" x14ac:dyDescent="0.25">
      <c r="A116" s="323" t="s">
        <v>747</v>
      </c>
      <c r="B116" s="323" t="s">
        <v>751</v>
      </c>
      <c r="C116" s="323">
        <v>97.568836000000005</v>
      </c>
      <c r="D116" s="323" t="s">
        <v>464</v>
      </c>
      <c r="E116" s="323" t="s">
        <v>788</v>
      </c>
      <c r="F116" s="133">
        <v>5</v>
      </c>
      <c r="G116" s="133">
        <v>32</v>
      </c>
    </row>
    <row r="117" spans="1:7" x14ac:dyDescent="0.25">
      <c r="A117" s="323" t="s">
        <v>24</v>
      </c>
      <c r="B117" s="323" t="s">
        <v>23</v>
      </c>
      <c r="C117" s="323">
        <v>97.227789999999999</v>
      </c>
      <c r="D117" s="323" t="s">
        <v>464</v>
      </c>
      <c r="E117" s="323" t="s">
        <v>462</v>
      </c>
      <c r="F117" s="133">
        <v>20</v>
      </c>
      <c r="G117" s="133">
        <v>95</v>
      </c>
    </row>
    <row r="118" spans="1:7" x14ac:dyDescent="0.25">
      <c r="A118" s="323" t="s">
        <v>238</v>
      </c>
      <c r="B118" s="323" t="s">
        <v>236</v>
      </c>
      <c r="C118" s="323">
        <v>97.386718999999999</v>
      </c>
      <c r="D118" s="323" t="s">
        <v>464</v>
      </c>
      <c r="E118" s="323" t="s">
        <v>424</v>
      </c>
      <c r="F118" s="133">
        <v>73</v>
      </c>
      <c r="G118" s="133">
        <v>406</v>
      </c>
    </row>
    <row r="119" spans="1:7" x14ac:dyDescent="0.25">
      <c r="A119" s="323" t="s">
        <v>248</v>
      </c>
      <c r="B119" s="323" t="s">
        <v>247</v>
      </c>
      <c r="C119" s="323">
        <v>97.389778000000007</v>
      </c>
      <c r="D119" s="323" t="s">
        <v>464</v>
      </c>
      <c r="E119" s="323" t="s">
        <v>1327</v>
      </c>
      <c r="F119" s="133">
        <v>7</v>
      </c>
      <c r="G119" s="133">
        <v>31</v>
      </c>
    </row>
    <row r="120" spans="1:7" x14ac:dyDescent="0.25">
      <c r="A120" s="323" t="s">
        <v>250</v>
      </c>
      <c r="B120" s="323" t="s">
        <v>249</v>
      </c>
      <c r="C120" s="323">
        <v>97.377662999999998</v>
      </c>
      <c r="D120" s="323" t="s">
        <v>464</v>
      </c>
      <c r="E120" s="323" t="s">
        <v>424</v>
      </c>
      <c r="F120" s="133">
        <v>32</v>
      </c>
      <c r="G120" s="133">
        <v>174</v>
      </c>
    </row>
    <row r="121" spans="1:7" x14ac:dyDescent="0.25">
      <c r="A121" s="323" t="s">
        <v>274</v>
      </c>
      <c r="B121" s="323" t="s">
        <v>273</v>
      </c>
      <c r="C121" s="323">
        <v>97.382192000000003</v>
      </c>
      <c r="D121" s="323" t="s">
        <v>464</v>
      </c>
      <c r="E121" s="323" t="s">
        <v>424</v>
      </c>
      <c r="F121" s="133">
        <v>46</v>
      </c>
      <c r="G121" s="133">
        <v>241</v>
      </c>
    </row>
    <row r="122" spans="1:7" x14ac:dyDescent="0.25">
      <c r="A122" s="323" t="s">
        <v>347</v>
      </c>
      <c r="B122" s="323" t="s">
        <v>346</v>
      </c>
      <c r="C122" s="323">
        <v>97.428251153846105</v>
      </c>
      <c r="D122" s="323" t="s">
        <v>464</v>
      </c>
      <c r="E122" s="323" t="s">
        <v>462</v>
      </c>
      <c r="F122" s="133">
        <v>46</v>
      </c>
      <c r="G122" s="133">
        <v>192</v>
      </c>
    </row>
    <row r="123" spans="1:7" x14ac:dyDescent="0.25">
      <c r="A123" s="323" t="s">
        <v>300</v>
      </c>
      <c r="B123" s="323" t="s">
        <v>298</v>
      </c>
      <c r="C123" s="323">
        <v>97.415289999999999</v>
      </c>
      <c r="D123" s="323" t="s">
        <v>464</v>
      </c>
      <c r="E123" s="323" t="s">
        <v>788</v>
      </c>
      <c r="F123" s="133">
        <v>14</v>
      </c>
      <c r="G123" s="133">
        <v>75</v>
      </c>
    </row>
    <row r="124" spans="1:7" x14ac:dyDescent="0.25">
      <c r="A124" s="323" t="s">
        <v>315</v>
      </c>
      <c r="B124" s="323" t="s">
        <v>314</v>
      </c>
      <c r="C124" s="323">
        <v>97.444283730158702</v>
      </c>
      <c r="D124" s="323" t="s">
        <v>464</v>
      </c>
      <c r="E124" s="323" t="s">
        <v>462</v>
      </c>
      <c r="F124" s="133">
        <v>69</v>
      </c>
      <c r="G124" s="133">
        <v>290</v>
      </c>
    </row>
    <row r="125" spans="1:7" x14ac:dyDescent="0.25">
      <c r="A125" s="323" t="s">
        <v>126</v>
      </c>
      <c r="B125" s="323" t="s">
        <v>125</v>
      </c>
      <c r="C125" s="323">
        <v>96.286680000000004</v>
      </c>
      <c r="D125" s="323" t="s">
        <v>464</v>
      </c>
      <c r="E125" s="323" t="s">
        <v>424</v>
      </c>
      <c r="F125" s="133">
        <v>32</v>
      </c>
      <c r="G125" s="133">
        <v>180</v>
      </c>
    </row>
    <row r="126" spans="1:7" x14ac:dyDescent="0.25">
      <c r="A126" s="323" t="s">
        <v>351</v>
      </c>
      <c r="B126" s="323" t="s">
        <v>350</v>
      </c>
      <c r="C126" s="323">
        <v>97.546893999999995</v>
      </c>
      <c r="D126" s="323" t="s">
        <v>466</v>
      </c>
      <c r="E126" s="323" t="s">
        <v>938</v>
      </c>
      <c r="F126" s="133">
        <v>1425</v>
      </c>
      <c r="G126" s="133">
        <v>7038</v>
      </c>
    </row>
    <row r="127" spans="1:7" x14ac:dyDescent="0.25">
      <c r="A127" s="323" t="s">
        <v>26</v>
      </c>
      <c r="B127" s="323" t="s">
        <v>25</v>
      </c>
      <c r="C127" s="323">
        <v>97.240639999999999</v>
      </c>
      <c r="D127" s="323" t="s">
        <v>464</v>
      </c>
      <c r="E127" s="323" t="s">
        <v>462</v>
      </c>
      <c r="F127" s="133">
        <v>14</v>
      </c>
      <c r="G127" s="133">
        <v>77</v>
      </c>
    </row>
    <row r="128" spans="1:7" x14ac:dyDescent="0.25">
      <c r="A128" s="323" t="s">
        <v>140</v>
      </c>
      <c r="B128" s="323" t="s">
        <v>139</v>
      </c>
      <c r="C128" s="323">
        <v>96.306910999999999</v>
      </c>
      <c r="D128" s="323" t="s">
        <v>464</v>
      </c>
      <c r="E128" s="323" t="s">
        <v>424</v>
      </c>
      <c r="F128" s="133">
        <v>16</v>
      </c>
      <c r="G128" s="133">
        <v>66</v>
      </c>
    </row>
    <row r="129" spans="1:7" x14ac:dyDescent="0.25">
      <c r="A129" s="323" t="s">
        <v>371</v>
      </c>
      <c r="B129" s="323" t="s">
        <v>385</v>
      </c>
      <c r="C129" s="323">
        <v>97.837040000000002</v>
      </c>
      <c r="D129" s="323" t="s">
        <v>464</v>
      </c>
      <c r="E129" s="323" t="s">
        <v>424</v>
      </c>
      <c r="F129" s="133">
        <v>196</v>
      </c>
      <c r="G129" s="133">
        <v>1008</v>
      </c>
    </row>
    <row r="130" spans="1:7" x14ac:dyDescent="0.25">
      <c r="A130" s="323" t="s">
        <v>986</v>
      </c>
      <c r="B130" s="323" t="s">
        <v>988</v>
      </c>
      <c r="C130" s="323">
        <v>96.52534</v>
      </c>
      <c r="D130" s="323" t="s">
        <v>464</v>
      </c>
      <c r="E130" s="323" t="s">
        <v>788</v>
      </c>
      <c r="F130" s="133">
        <v>27</v>
      </c>
      <c r="G130" s="133">
        <v>121</v>
      </c>
    </row>
    <row r="131" spans="1:7" x14ac:dyDescent="0.25">
      <c r="A131" s="323" t="s">
        <v>987</v>
      </c>
      <c r="B131" s="323" t="s">
        <v>989</v>
      </c>
      <c r="C131" s="323">
        <v>96.366919999999993</v>
      </c>
      <c r="D131" s="323" t="s">
        <v>464</v>
      </c>
      <c r="E131" s="323" t="s">
        <v>788</v>
      </c>
      <c r="F131" s="133">
        <v>14</v>
      </c>
      <c r="G131" s="133">
        <v>63</v>
      </c>
    </row>
    <row r="132" spans="1:7" x14ac:dyDescent="0.25">
      <c r="A132" s="323" t="s">
        <v>1032</v>
      </c>
      <c r="B132" s="323" t="s">
        <v>343</v>
      </c>
      <c r="C132" s="323">
        <v>97.751389000000003</v>
      </c>
      <c r="D132" s="323" t="s">
        <v>466</v>
      </c>
      <c r="E132" s="323" t="s">
        <v>424</v>
      </c>
      <c r="F132" s="133">
        <v>163</v>
      </c>
      <c r="G132" s="133">
        <v>909</v>
      </c>
    </row>
    <row r="133" spans="1:7" x14ac:dyDescent="0.25">
      <c r="A133" s="323" t="s">
        <v>1033</v>
      </c>
      <c r="B133" s="323" t="s">
        <v>241</v>
      </c>
      <c r="C133" s="323">
        <v>97.379987</v>
      </c>
      <c r="D133" s="323" t="s">
        <v>464</v>
      </c>
      <c r="E133" s="323" t="s">
        <v>462</v>
      </c>
      <c r="F133" s="133">
        <v>54</v>
      </c>
      <c r="G133" s="133">
        <v>267</v>
      </c>
    </row>
    <row r="134" spans="1:7" x14ac:dyDescent="0.25">
      <c r="A134" s="323" t="s">
        <v>1048</v>
      </c>
      <c r="B134" s="323" t="s">
        <v>1047</v>
      </c>
      <c r="C134" s="323">
        <v>97.416121000000004</v>
      </c>
      <c r="D134" s="323" t="s">
        <v>464</v>
      </c>
      <c r="E134" s="323" t="s">
        <v>424</v>
      </c>
      <c r="F134" s="133">
        <v>61</v>
      </c>
      <c r="G134" s="133">
        <v>281</v>
      </c>
    </row>
    <row r="135" spans="1:7" x14ac:dyDescent="0.25">
      <c r="A135" s="323" t="s">
        <v>1062</v>
      </c>
      <c r="B135" s="323" t="s">
        <v>1046</v>
      </c>
      <c r="C135" s="323">
        <v>98.218626999999998</v>
      </c>
      <c r="D135" s="323" t="s">
        <v>464</v>
      </c>
      <c r="E135" s="323" t="s">
        <v>424</v>
      </c>
      <c r="F135" s="133">
        <v>32</v>
      </c>
      <c r="G135" s="133">
        <v>167</v>
      </c>
    </row>
    <row r="136" spans="1:7" x14ac:dyDescent="0.25">
      <c r="A136" s="323" t="s">
        <v>1064</v>
      </c>
      <c r="B136" s="323" t="s">
        <v>1058</v>
      </c>
      <c r="C136" s="323">
        <v>96.793999999999997</v>
      </c>
      <c r="D136" s="323" t="s">
        <v>464</v>
      </c>
      <c r="E136" s="323" t="s">
        <v>424</v>
      </c>
      <c r="F136" s="133">
        <v>27</v>
      </c>
      <c r="G136" s="133">
        <v>135</v>
      </c>
    </row>
    <row r="137" spans="1:7" x14ac:dyDescent="0.25">
      <c r="A137" s="323" t="s">
        <v>1068</v>
      </c>
      <c r="B137" s="323" t="s">
        <v>1069</v>
      </c>
      <c r="C137" s="323">
        <v>97.745480999999998</v>
      </c>
      <c r="D137" s="323" t="s">
        <v>466</v>
      </c>
      <c r="E137" s="323" t="s">
        <v>424</v>
      </c>
      <c r="F137" s="133">
        <v>126</v>
      </c>
      <c r="G137" s="133">
        <v>779</v>
      </c>
    </row>
    <row r="138" spans="1:7" x14ac:dyDescent="0.25">
      <c r="A138" s="323" t="s">
        <v>1070</v>
      </c>
      <c r="B138" s="323" t="s">
        <v>1071</v>
      </c>
      <c r="C138" s="323">
        <v>97.75609</v>
      </c>
      <c r="D138" s="323" t="s">
        <v>466</v>
      </c>
      <c r="E138" s="323" t="s">
        <v>424</v>
      </c>
      <c r="F138" s="133">
        <v>67</v>
      </c>
      <c r="G138" s="133">
        <v>332</v>
      </c>
    </row>
    <row r="139" spans="1:7" x14ac:dyDescent="0.25">
      <c r="A139" s="323" t="s">
        <v>1084</v>
      </c>
      <c r="B139" s="323" t="s">
        <v>1085</v>
      </c>
      <c r="C139" s="323">
        <v>97.868876999999998</v>
      </c>
      <c r="D139" s="323" t="s">
        <v>464</v>
      </c>
      <c r="E139" s="323" t="s">
        <v>788</v>
      </c>
      <c r="F139" s="133">
        <v>105</v>
      </c>
      <c r="G139" s="133">
        <v>568</v>
      </c>
    </row>
    <row r="140" spans="1:7" x14ac:dyDescent="0.25">
      <c r="A140" s="323" t="s">
        <v>1134</v>
      </c>
      <c r="B140" s="323" t="s">
        <v>1128</v>
      </c>
      <c r="C140" s="323">
        <v>97.506</v>
      </c>
      <c r="D140" s="323" t="s">
        <v>464</v>
      </c>
      <c r="E140" s="323" t="s">
        <v>788</v>
      </c>
      <c r="F140" s="133">
        <v>61</v>
      </c>
      <c r="G140" s="133">
        <v>276</v>
      </c>
    </row>
    <row r="141" spans="1:7" x14ac:dyDescent="0.25">
      <c r="A141" s="323" t="s">
        <v>1141</v>
      </c>
      <c r="B141" s="323" t="s">
        <v>1125</v>
      </c>
      <c r="C141" s="323">
        <v>97.358999999999995</v>
      </c>
      <c r="D141" s="323" t="s">
        <v>464</v>
      </c>
      <c r="E141" s="323" t="s">
        <v>788</v>
      </c>
      <c r="F141" s="133">
        <v>19</v>
      </c>
      <c r="G141" s="133">
        <v>82</v>
      </c>
    </row>
    <row r="142" spans="1:7" x14ac:dyDescent="0.25">
      <c r="A142" s="323" t="s">
        <v>1144</v>
      </c>
      <c r="B142" s="323" t="s">
        <v>1126</v>
      </c>
      <c r="C142" s="323" t="s">
        <v>788</v>
      </c>
      <c r="D142" s="323" t="s">
        <v>464</v>
      </c>
      <c r="E142" s="323" t="s">
        <v>788</v>
      </c>
      <c r="F142" s="133">
        <v>36</v>
      </c>
      <c r="G142" s="133">
        <v>188</v>
      </c>
    </row>
    <row r="143" spans="1:7" x14ac:dyDescent="0.25">
      <c r="A143" s="323" t="s">
        <v>1150</v>
      </c>
      <c r="B143" s="323" t="s">
        <v>1131</v>
      </c>
      <c r="C143" s="323">
        <v>98.337999999999994</v>
      </c>
      <c r="D143" s="323" t="s">
        <v>464</v>
      </c>
      <c r="E143" s="323" t="s">
        <v>788</v>
      </c>
      <c r="F143" s="133">
        <v>30</v>
      </c>
      <c r="G143" s="133">
        <v>170</v>
      </c>
    </row>
    <row r="144" spans="1:7" x14ac:dyDescent="0.25">
      <c r="A144" s="323" t="s">
        <v>1162</v>
      </c>
      <c r="B144" s="323" t="s">
        <v>1165</v>
      </c>
      <c r="C144" s="323">
        <v>96.662092000000001</v>
      </c>
      <c r="D144" s="323" t="s">
        <v>464</v>
      </c>
      <c r="E144" s="323" t="s">
        <v>424</v>
      </c>
      <c r="F144" s="133">
        <v>29</v>
      </c>
      <c r="G144" s="133">
        <v>118</v>
      </c>
    </row>
    <row r="145" spans="1:7" x14ac:dyDescent="0.25">
      <c r="A145" s="323" t="s">
        <v>1161</v>
      </c>
      <c r="B145" s="323" t="s">
        <v>1167</v>
      </c>
      <c r="C145" s="323">
        <v>96.662092000000001</v>
      </c>
      <c r="D145" s="323" t="s">
        <v>464</v>
      </c>
      <c r="E145" s="323" t="s">
        <v>1327</v>
      </c>
      <c r="F145" s="133">
        <v>5</v>
      </c>
      <c r="G145" s="133">
        <v>13</v>
      </c>
    </row>
    <row r="146" spans="1:7" x14ac:dyDescent="0.25">
      <c r="A146" s="323" t="s">
        <v>1160</v>
      </c>
      <c r="B146" s="323" t="s">
        <v>1168</v>
      </c>
      <c r="C146" s="323">
        <v>96.662092000000001</v>
      </c>
      <c r="D146" s="323" t="s">
        <v>464</v>
      </c>
      <c r="E146" s="323" t="s">
        <v>938</v>
      </c>
      <c r="F146" s="133">
        <v>19</v>
      </c>
      <c r="G146" s="133">
        <v>82</v>
      </c>
    </row>
    <row r="147" spans="1:7" x14ac:dyDescent="0.25">
      <c r="A147" s="323" t="s">
        <v>1195</v>
      </c>
      <c r="B147" s="323" t="s">
        <v>1177</v>
      </c>
      <c r="C147" s="323" t="s">
        <v>788</v>
      </c>
      <c r="D147" s="323" t="s">
        <v>464</v>
      </c>
      <c r="E147" s="323" t="s">
        <v>1050</v>
      </c>
      <c r="F147" s="133">
        <v>43</v>
      </c>
      <c r="G147" s="133">
        <v>223</v>
      </c>
    </row>
    <row r="148" spans="1:7" x14ac:dyDescent="0.25">
      <c r="A148" s="323" t="s">
        <v>1201</v>
      </c>
      <c r="B148" s="323" t="s">
        <v>1189</v>
      </c>
      <c r="C148" s="323">
        <v>97.314762999999999</v>
      </c>
      <c r="D148" s="323" t="s">
        <v>464</v>
      </c>
      <c r="E148" s="323" t="s">
        <v>788</v>
      </c>
      <c r="F148" s="133">
        <v>37</v>
      </c>
      <c r="G148" s="133">
        <v>120</v>
      </c>
    </row>
    <row r="149" spans="1:7" x14ac:dyDescent="0.25">
      <c r="A149" s="323" t="s">
        <v>1236</v>
      </c>
      <c r="B149" s="323" t="s">
        <v>1235</v>
      </c>
      <c r="C149" s="323">
        <v>97.947360000000003</v>
      </c>
      <c r="D149" s="323" t="s">
        <v>464</v>
      </c>
      <c r="E149" s="323" t="s">
        <v>424</v>
      </c>
      <c r="F149" s="133">
        <v>39</v>
      </c>
      <c r="G149" s="133">
        <v>145</v>
      </c>
    </row>
    <row r="150" spans="1:7" x14ac:dyDescent="0.25">
      <c r="A150" s="323" t="s">
        <v>1245</v>
      </c>
      <c r="B150" s="323" t="s">
        <v>1246</v>
      </c>
      <c r="C150" s="323" t="s">
        <v>788</v>
      </c>
      <c r="D150" s="323" t="s">
        <v>464</v>
      </c>
      <c r="E150" s="323" t="s">
        <v>788</v>
      </c>
      <c r="F150" s="133">
        <v>24</v>
      </c>
      <c r="G150" s="133">
        <v>84</v>
      </c>
    </row>
    <row r="151" spans="1:7" x14ac:dyDescent="0.25">
      <c r="A151" s="323" t="s">
        <v>716</v>
      </c>
      <c r="B151" s="323" t="s">
        <v>1250</v>
      </c>
      <c r="C151" s="323">
        <v>98.115809999999996</v>
      </c>
      <c r="D151" s="323" t="s">
        <v>464</v>
      </c>
      <c r="E151" s="323" t="s">
        <v>424</v>
      </c>
      <c r="F151" s="133">
        <v>152</v>
      </c>
      <c r="G151" s="133">
        <v>779</v>
      </c>
    </row>
    <row r="152" spans="1:7" x14ac:dyDescent="0.25">
      <c r="A152" s="323" t="s">
        <v>1262</v>
      </c>
      <c r="B152" s="323" t="s">
        <v>1259</v>
      </c>
      <c r="C152" s="323">
        <v>97.430321000000006</v>
      </c>
      <c r="D152" s="323" t="s">
        <v>464</v>
      </c>
      <c r="E152" s="323" t="s">
        <v>788</v>
      </c>
      <c r="F152" s="133">
        <v>62</v>
      </c>
      <c r="G152" s="133">
        <v>410</v>
      </c>
    </row>
    <row r="153" spans="1:7" x14ac:dyDescent="0.25">
      <c r="A153" s="323" t="s">
        <v>1273</v>
      </c>
      <c r="B153" s="323" t="s">
        <v>1271</v>
      </c>
      <c r="C153" s="323" t="s">
        <v>788</v>
      </c>
      <c r="D153" s="323" t="s">
        <v>466</v>
      </c>
      <c r="E153" s="323" t="s">
        <v>424</v>
      </c>
      <c r="F153" s="133">
        <v>413</v>
      </c>
      <c r="G153" s="133">
        <v>1913</v>
      </c>
    </row>
    <row r="154" spans="1:7" x14ac:dyDescent="0.25">
      <c r="A154" s="323" t="s">
        <v>1286</v>
      </c>
      <c r="B154" s="323" t="s">
        <v>1277</v>
      </c>
      <c r="C154" s="323" t="s">
        <v>788</v>
      </c>
      <c r="D154" s="323" t="s">
        <v>464</v>
      </c>
      <c r="E154" s="323" t="s">
        <v>424</v>
      </c>
      <c r="F154" s="133">
        <v>123</v>
      </c>
      <c r="G154" s="133">
        <v>656</v>
      </c>
    </row>
    <row r="155" spans="1:7" x14ac:dyDescent="0.25">
      <c r="A155" s="323" t="s">
        <v>1285</v>
      </c>
      <c r="B155" s="323" t="s">
        <v>1284</v>
      </c>
      <c r="C155" s="323">
        <v>97.400671000000003</v>
      </c>
      <c r="D155" s="323" t="s">
        <v>464</v>
      </c>
      <c r="E155" s="323" t="s">
        <v>1050</v>
      </c>
      <c r="F155" s="133">
        <v>59</v>
      </c>
      <c r="G155" s="133">
        <v>275</v>
      </c>
    </row>
    <row r="156" spans="1:7" x14ac:dyDescent="0.25">
      <c r="A156" s="323" t="s">
        <v>1412</v>
      </c>
      <c r="B156" s="323" t="s">
        <v>1425</v>
      </c>
      <c r="C156" s="323" t="s">
        <v>788</v>
      </c>
      <c r="D156" s="323" t="s">
        <v>464</v>
      </c>
      <c r="E156" s="323" t="s">
        <v>788</v>
      </c>
      <c r="F156" s="133">
        <v>42</v>
      </c>
      <c r="G156" s="133">
        <v>190</v>
      </c>
    </row>
    <row r="157" spans="1:7" x14ac:dyDescent="0.25">
      <c r="A157" s="323" t="s">
        <v>1413</v>
      </c>
      <c r="B157" s="323" t="s">
        <v>1426</v>
      </c>
      <c r="C157" s="323" t="s">
        <v>788</v>
      </c>
      <c r="D157" s="323" t="s">
        <v>464</v>
      </c>
      <c r="E157" s="323" t="s">
        <v>788</v>
      </c>
      <c r="F157" s="133">
        <v>127</v>
      </c>
      <c r="G157" s="133">
        <v>450</v>
      </c>
    </row>
    <row r="158" spans="1:7" x14ac:dyDescent="0.25">
      <c r="A158" s="323" t="s">
        <v>1414</v>
      </c>
      <c r="B158" s="323" t="s">
        <v>1427</v>
      </c>
      <c r="C158" s="323" t="s">
        <v>788</v>
      </c>
      <c r="D158" s="323" t="s">
        <v>464</v>
      </c>
      <c r="E158" s="323" t="s">
        <v>788</v>
      </c>
      <c r="F158" s="133">
        <v>36</v>
      </c>
      <c r="G158" s="133">
        <v>145</v>
      </c>
    </row>
    <row r="159" spans="1:7" x14ac:dyDescent="0.25">
      <c r="A159" s="323" t="s">
        <v>1421</v>
      </c>
      <c r="B159" s="323" t="s">
        <v>1424</v>
      </c>
      <c r="C159" s="323" t="s">
        <v>788</v>
      </c>
      <c r="D159" s="323" t="s">
        <v>464</v>
      </c>
      <c r="E159" s="323" t="s">
        <v>788</v>
      </c>
      <c r="F159" s="133">
        <v>30</v>
      </c>
      <c r="G159" s="133">
        <v>130</v>
      </c>
    </row>
    <row r="160" spans="1:7" x14ac:dyDescent="0.25">
      <c r="A160" s="323" t="s">
        <v>1533</v>
      </c>
      <c r="B160" s="323" t="s">
        <v>244</v>
      </c>
      <c r="C160" s="323">
        <v>97.382997575757599</v>
      </c>
      <c r="D160" s="323" t="s">
        <v>464</v>
      </c>
      <c r="E160" s="323" t="s">
        <v>424</v>
      </c>
      <c r="F160" s="133">
        <v>42</v>
      </c>
      <c r="G160" s="133">
        <v>184</v>
      </c>
    </row>
    <row r="161" spans="1:7" x14ac:dyDescent="0.25">
      <c r="A161" s="323" t="s">
        <v>1537</v>
      </c>
      <c r="B161" s="323" t="s">
        <v>1574</v>
      </c>
      <c r="C161" s="323" t="s">
        <v>788</v>
      </c>
      <c r="D161" s="323" t="s">
        <v>464</v>
      </c>
      <c r="E161" s="323" t="s">
        <v>1327</v>
      </c>
      <c r="F161" s="133">
        <v>19</v>
      </c>
      <c r="G161" s="133">
        <v>46</v>
      </c>
    </row>
    <row r="162" spans="1:7" x14ac:dyDescent="0.25">
      <c r="A162" s="323" t="s">
        <v>1510</v>
      </c>
      <c r="B162" s="323" t="s">
        <v>175</v>
      </c>
      <c r="C162" s="323">
        <v>96.942279999999997</v>
      </c>
      <c r="D162" s="323" t="s">
        <v>464</v>
      </c>
      <c r="E162" s="323" t="s">
        <v>424</v>
      </c>
      <c r="F162" s="133">
        <v>16</v>
      </c>
      <c r="G162" s="133">
        <v>79</v>
      </c>
    </row>
    <row r="163" spans="1:7" x14ac:dyDescent="0.25">
      <c r="A163" s="323" t="s">
        <v>1555</v>
      </c>
      <c r="B163" s="323" t="s">
        <v>1577</v>
      </c>
      <c r="C163" s="323" t="s">
        <v>788</v>
      </c>
      <c r="D163" s="323" t="s">
        <v>464</v>
      </c>
      <c r="E163" s="323" t="s">
        <v>788</v>
      </c>
      <c r="F163" s="133">
        <v>39</v>
      </c>
      <c r="G163" s="133">
        <v>202</v>
      </c>
    </row>
    <row r="164" spans="1:7" x14ac:dyDescent="0.25">
      <c r="A164" s="323" t="s">
        <v>1267</v>
      </c>
      <c r="B164" s="323" t="s">
        <v>1576</v>
      </c>
      <c r="C164" s="323" t="s">
        <v>788</v>
      </c>
      <c r="D164" s="323" t="s">
        <v>464</v>
      </c>
      <c r="E164" s="323" t="s">
        <v>788</v>
      </c>
      <c r="F164" s="133">
        <v>80</v>
      </c>
      <c r="G164" s="133">
        <v>449</v>
      </c>
    </row>
    <row r="165" spans="1:7" x14ac:dyDescent="0.25">
      <c r="A165" s="323" t="s">
        <v>1605</v>
      </c>
      <c r="B165" s="323" t="s">
        <v>1129</v>
      </c>
      <c r="C165" s="323">
        <v>97.810101000000003</v>
      </c>
      <c r="D165" s="323" t="s">
        <v>464</v>
      </c>
      <c r="E165" s="323" t="s">
        <v>1050</v>
      </c>
      <c r="F165" s="133">
        <v>39</v>
      </c>
      <c r="G165" s="133">
        <v>159</v>
      </c>
    </row>
    <row r="166" spans="1:7" x14ac:dyDescent="0.25">
      <c r="A166" s="323" t="s">
        <v>1660</v>
      </c>
      <c r="B166" s="323" t="s">
        <v>383</v>
      </c>
      <c r="C166" s="323">
        <v>97.793019999999999</v>
      </c>
      <c r="D166" s="323" t="s">
        <v>464</v>
      </c>
      <c r="E166" s="323" t="s">
        <v>424</v>
      </c>
      <c r="F166" s="133">
        <v>76</v>
      </c>
      <c r="G166" s="133">
        <v>338</v>
      </c>
    </row>
    <row r="167" spans="1:7" x14ac:dyDescent="0.25">
      <c r="A167" s="323" t="s">
        <v>1661</v>
      </c>
      <c r="B167" s="323" t="s">
        <v>1124</v>
      </c>
      <c r="C167" s="323">
        <v>97.796999999999997</v>
      </c>
      <c r="D167" s="323" t="s">
        <v>464</v>
      </c>
      <c r="E167" s="323" t="s">
        <v>424</v>
      </c>
      <c r="F167" s="133">
        <v>108</v>
      </c>
      <c r="G167" s="133">
        <v>527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9" t="s">
        <v>458</v>
      </c>
      <c r="B1" s="323" t="s">
        <v>460</v>
      </c>
    </row>
    <row r="2" spans="1:4" hidden="1" x14ac:dyDescent="0.25"/>
    <row r="3" spans="1:4" x14ac:dyDescent="0.25">
      <c r="A3" s="139" t="s">
        <v>399</v>
      </c>
      <c r="B3" s="139" t="s">
        <v>0</v>
      </c>
      <c r="C3" s="139" t="s">
        <v>463</v>
      </c>
      <c r="D3" s="139" t="s">
        <v>511</v>
      </c>
    </row>
    <row r="4" spans="1:4" x14ac:dyDescent="0.25">
      <c r="A4" s="323" t="s">
        <v>779</v>
      </c>
      <c r="B4" s="323" t="s">
        <v>5</v>
      </c>
      <c r="C4" s="323" t="s">
        <v>14</v>
      </c>
      <c r="D4" s="323" t="s">
        <v>13</v>
      </c>
    </row>
    <row r="5" spans="1:4" x14ac:dyDescent="0.25">
      <c r="C5" s="323" t="s">
        <v>18</v>
      </c>
      <c r="D5" s="323" t="s">
        <v>17</v>
      </c>
    </row>
    <row r="6" spans="1:4" x14ac:dyDescent="0.25">
      <c r="C6" s="323" t="s">
        <v>364</v>
      </c>
      <c r="D6" s="323" t="s">
        <v>374</v>
      </c>
    </row>
    <row r="7" spans="1:4" x14ac:dyDescent="0.25">
      <c r="C7" s="323" t="s">
        <v>22</v>
      </c>
      <c r="D7" s="323" t="s">
        <v>21</v>
      </c>
    </row>
    <row r="8" spans="1:4" x14ac:dyDescent="0.25">
      <c r="C8" s="323" t="s">
        <v>26</v>
      </c>
      <c r="D8" s="323" t="s">
        <v>25</v>
      </c>
    </row>
    <row r="9" spans="1:4" x14ac:dyDescent="0.25">
      <c r="B9" s="323" t="s">
        <v>146</v>
      </c>
      <c r="C9" s="323" t="s">
        <v>367</v>
      </c>
      <c r="D9" s="323" t="s">
        <v>381</v>
      </c>
    </row>
    <row r="10" spans="1:4" x14ac:dyDescent="0.25">
      <c r="C10" s="323" t="s">
        <v>368</v>
      </c>
      <c r="D10" s="323" t="s">
        <v>382</v>
      </c>
    </row>
    <row r="11" spans="1:4" x14ac:dyDescent="0.25">
      <c r="C11" s="323" t="s">
        <v>371</v>
      </c>
      <c r="D11" s="323" t="s">
        <v>385</v>
      </c>
    </row>
    <row r="12" spans="1:4" x14ac:dyDescent="0.25">
      <c r="B12" s="323" t="s">
        <v>151</v>
      </c>
      <c r="C12" s="323" t="s">
        <v>160</v>
      </c>
      <c r="D12" s="323" t="s">
        <v>159</v>
      </c>
    </row>
    <row r="13" spans="1:4" x14ac:dyDescent="0.25">
      <c r="C13" s="323" t="s">
        <v>152</v>
      </c>
      <c r="D13" s="323" t="s">
        <v>150</v>
      </c>
    </row>
    <row r="14" spans="1:4" x14ac:dyDescent="0.25">
      <c r="B14" s="323" t="s">
        <v>185</v>
      </c>
      <c r="C14" s="323" t="s">
        <v>202</v>
      </c>
      <c r="D14" s="323" t="s">
        <v>201</v>
      </c>
    </row>
    <row r="15" spans="1:4" x14ac:dyDescent="0.25">
      <c r="C15" s="323" t="s">
        <v>209</v>
      </c>
      <c r="D15" s="323" t="s">
        <v>208</v>
      </c>
    </row>
    <row r="16" spans="1:4" x14ac:dyDescent="0.25">
      <c r="B16" s="323" t="s">
        <v>230</v>
      </c>
      <c r="C16" s="323" t="s">
        <v>905</v>
      </c>
      <c r="D16" s="323" t="s">
        <v>906</v>
      </c>
    </row>
    <row r="17" spans="2:4" x14ac:dyDescent="0.25">
      <c r="C17" s="323" t="s">
        <v>915</v>
      </c>
      <c r="D17" s="323" t="s">
        <v>916</v>
      </c>
    </row>
    <row r="18" spans="2:4" x14ac:dyDescent="0.25">
      <c r="C18" s="323" t="s">
        <v>359</v>
      </c>
      <c r="D18" s="323" t="s">
        <v>772</v>
      </c>
    </row>
    <row r="19" spans="2:4" x14ac:dyDescent="0.25">
      <c r="B19" s="323" t="s">
        <v>288</v>
      </c>
      <c r="C19" s="323" t="s">
        <v>907</v>
      </c>
      <c r="D19" s="323" t="s">
        <v>908</v>
      </c>
    </row>
    <row r="20" spans="2:4" x14ac:dyDescent="0.25">
      <c r="C20" s="323" t="s">
        <v>919</v>
      </c>
      <c r="D20" s="323" t="s">
        <v>912</v>
      </c>
    </row>
    <row r="21" spans="2:4" x14ac:dyDescent="0.25">
      <c r="B21" s="323" t="s">
        <v>301</v>
      </c>
      <c r="C21" s="323" t="s">
        <v>305</v>
      </c>
      <c r="D21" s="323" t="s">
        <v>304</v>
      </c>
    </row>
    <row r="22" spans="2:4" x14ac:dyDescent="0.25">
      <c r="B22" s="323" t="s">
        <v>309</v>
      </c>
      <c r="C22" s="323" t="s">
        <v>351</v>
      </c>
      <c r="D22" s="323" t="s">
        <v>350</v>
      </c>
    </row>
    <row r="23" spans="2:4" x14ac:dyDescent="0.25">
      <c r="B23" s="323" t="s">
        <v>719</v>
      </c>
      <c r="C23" s="323" t="s">
        <v>1062</v>
      </c>
      <c r="D23" s="323" t="s">
        <v>1046</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A23" sqref="A23"/>
    </sheetView>
  </sheetViews>
  <sheetFormatPr defaultColWidth="9.140625" defaultRowHeight="15" x14ac:dyDescent="0.25"/>
  <cols>
    <col min="1" max="1" width="1.7109375" style="195" customWidth="1"/>
    <col min="2" max="2" width="11.28515625" style="195" customWidth="1"/>
    <col min="3" max="3" width="12.7109375" style="195" customWidth="1"/>
    <col min="4" max="4" width="47" style="195" bestFit="1" customWidth="1"/>
    <col min="5" max="5" width="19.140625" style="195" customWidth="1"/>
    <col min="6" max="6" width="18.5703125" style="195" customWidth="1"/>
    <col min="7" max="7" width="12" style="195" customWidth="1"/>
    <col min="8" max="8" width="10.7109375" style="268" customWidth="1"/>
    <col min="9" max="9" width="11.28515625" style="268" customWidth="1"/>
    <col min="10" max="10" width="12.28515625" style="195" customWidth="1"/>
    <col min="11" max="16384" width="9.140625" style="195"/>
  </cols>
  <sheetData>
    <row r="1" spans="2:12" ht="10.9" customHeight="1" x14ac:dyDescent="0.25"/>
    <row r="2" spans="2:12" ht="21.75" customHeight="1" x14ac:dyDescent="0.25">
      <c r="B2" s="259"/>
      <c r="C2" s="189"/>
      <c r="D2" s="189"/>
      <c r="E2" s="189"/>
      <c r="F2" s="189"/>
      <c r="G2" s="189"/>
      <c r="H2" s="189"/>
      <c r="I2" s="190"/>
      <c r="J2" s="325"/>
      <c r="K2" s="325"/>
      <c r="L2" s="194"/>
    </row>
    <row r="3" spans="2:12" ht="28.5" x14ac:dyDescent="0.25">
      <c r="B3" s="260" t="s">
        <v>787</v>
      </c>
      <c r="C3" s="261"/>
      <c r="D3" s="261"/>
      <c r="E3" s="261"/>
      <c r="F3" s="261"/>
      <c r="G3" s="261"/>
      <c r="H3" s="261"/>
      <c r="I3" s="262"/>
      <c r="J3" s="41"/>
      <c r="K3" s="41"/>
      <c r="L3" s="41"/>
    </row>
    <row r="4" spans="2:12" ht="28.5" x14ac:dyDescent="0.25">
      <c r="B4" s="768">
        <f>Definition!B23</f>
        <v>43160</v>
      </c>
      <c r="C4" s="769"/>
      <c r="D4" s="264"/>
      <c r="E4" s="264"/>
      <c r="F4" s="264"/>
      <c r="G4" s="264"/>
      <c r="H4" s="264"/>
      <c r="I4" s="265"/>
      <c r="J4" s="263"/>
      <c r="K4" s="263"/>
      <c r="L4" s="263"/>
    </row>
    <row r="5" spans="2:12" ht="17.25" customHeight="1" x14ac:dyDescent="0.25">
      <c r="B5" s="266" t="s">
        <v>458</v>
      </c>
      <c r="C5" s="267" t="s">
        <v>460</v>
      </c>
      <c r="D5" s="263"/>
      <c r="E5" s="263"/>
      <c r="F5" s="263"/>
      <c r="G5" s="263"/>
      <c r="H5" s="263"/>
      <c r="I5" s="263"/>
      <c r="J5" s="263"/>
      <c r="K5" s="42"/>
      <c r="L5" s="263"/>
    </row>
    <row r="6" spans="2:12" x14ac:dyDescent="0.25">
      <c r="B6" s="266" t="s">
        <v>1038</v>
      </c>
      <c r="C6" s="267" t="s">
        <v>997</v>
      </c>
    </row>
    <row r="7" spans="2:12" ht="6.75" customHeight="1" x14ac:dyDescent="0.25"/>
    <row r="8" spans="2:12" s="309" customFormat="1" ht="30" x14ac:dyDescent="0.25">
      <c r="B8" s="304" t="s">
        <v>392</v>
      </c>
      <c r="C8" s="305" t="s">
        <v>0</v>
      </c>
      <c r="D8" s="305" t="s">
        <v>507</v>
      </c>
      <c r="E8" s="305" t="s">
        <v>834</v>
      </c>
      <c r="F8" s="306" t="s">
        <v>835</v>
      </c>
      <c r="G8" s="706" t="s">
        <v>457</v>
      </c>
      <c r="H8" s="307" t="s">
        <v>1428</v>
      </c>
      <c r="I8" s="484" t="s">
        <v>789</v>
      </c>
      <c r="J8"/>
      <c r="K8"/>
      <c r="L8" s="308"/>
    </row>
    <row r="9" spans="2:12" ht="12.75" customHeight="1" x14ac:dyDescent="0.25">
      <c r="B9" s="269" t="s">
        <v>378</v>
      </c>
      <c r="C9" s="191" t="s">
        <v>5</v>
      </c>
      <c r="D9" s="191" t="s">
        <v>465</v>
      </c>
      <c r="E9" s="191" t="s">
        <v>375</v>
      </c>
      <c r="F9" s="191" t="s">
        <v>424</v>
      </c>
      <c r="G9" s="191" t="s">
        <v>464</v>
      </c>
      <c r="H9" s="270">
        <v>12</v>
      </c>
      <c r="I9" s="271">
        <v>52</v>
      </c>
      <c r="J9"/>
      <c r="K9"/>
    </row>
    <row r="10" spans="2:12" ht="12.75" customHeight="1" x14ac:dyDescent="0.25">
      <c r="B10" s="269"/>
      <c r="C10" s="191"/>
      <c r="D10" s="191" t="s">
        <v>14</v>
      </c>
      <c r="E10" s="191" t="s">
        <v>13</v>
      </c>
      <c r="F10" s="191" t="s">
        <v>424</v>
      </c>
      <c r="G10" s="191" t="s">
        <v>464</v>
      </c>
      <c r="H10" s="270">
        <v>41</v>
      </c>
      <c r="I10" s="271">
        <v>227</v>
      </c>
      <c r="J10"/>
      <c r="K10"/>
    </row>
    <row r="11" spans="2:12" ht="12.75" customHeight="1" x14ac:dyDescent="0.25">
      <c r="B11" s="269"/>
      <c r="C11" s="191"/>
      <c r="D11" s="324" t="s">
        <v>364</v>
      </c>
      <c r="E11" s="191" t="s">
        <v>374</v>
      </c>
      <c r="F11" s="191" t="s">
        <v>424</v>
      </c>
      <c r="G11" s="191" t="s">
        <v>464</v>
      </c>
      <c r="H11" s="270">
        <v>147</v>
      </c>
      <c r="I11" s="271">
        <v>771</v>
      </c>
      <c r="J11"/>
      <c r="K11"/>
    </row>
    <row r="12" spans="2:12" ht="12.75" customHeight="1" x14ac:dyDescent="0.25">
      <c r="B12" s="269"/>
      <c r="C12" s="191"/>
      <c r="D12" s="324" t="s">
        <v>22</v>
      </c>
      <c r="E12" s="191" t="s">
        <v>21</v>
      </c>
      <c r="F12" s="191" t="s">
        <v>424</v>
      </c>
      <c r="G12" s="191" t="s">
        <v>464</v>
      </c>
      <c r="H12" s="270">
        <v>641</v>
      </c>
      <c r="I12" s="271">
        <v>4010</v>
      </c>
      <c r="J12"/>
      <c r="K12"/>
    </row>
    <row r="13" spans="2:12" ht="12.75" customHeight="1" x14ac:dyDescent="0.25">
      <c r="B13" s="269"/>
      <c r="C13" s="191" t="s">
        <v>1641</v>
      </c>
      <c r="D13" s="191"/>
      <c r="E13" s="191"/>
      <c r="F13" s="191"/>
      <c r="G13" s="191"/>
      <c r="H13" s="270">
        <v>841</v>
      </c>
      <c r="I13" s="271">
        <v>5060</v>
      </c>
      <c r="J13"/>
      <c r="K13"/>
    </row>
    <row r="14" spans="2:12" ht="12.75" customHeight="1" x14ac:dyDescent="0.25">
      <c r="B14" s="269"/>
      <c r="C14" s="191" t="s">
        <v>27</v>
      </c>
      <c r="D14" s="191" t="s">
        <v>362</v>
      </c>
      <c r="E14" s="191" t="s">
        <v>29</v>
      </c>
      <c r="F14" s="191" t="s">
        <v>424</v>
      </c>
      <c r="G14" s="191" t="s">
        <v>466</v>
      </c>
      <c r="H14" s="270">
        <v>160</v>
      </c>
      <c r="I14" s="271">
        <v>830</v>
      </c>
      <c r="J14"/>
      <c r="K14"/>
    </row>
    <row r="15" spans="2:12" ht="12.75" customHeight="1" x14ac:dyDescent="0.25">
      <c r="B15" s="269"/>
      <c r="C15" s="191" t="s">
        <v>955</v>
      </c>
      <c r="D15" s="191"/>
      <c r="E15" s="191"/>
      <c r="F15" s="191"/>
      <c r="G15" s="191"/>
      <c r="H15" s="270">
        <v>160</v>
      </c>
      <c r="I15" s="271">
        <v>830</v>
      </c>
      <c r="J15"/>
      <c r="K15"/>
    </row>
    <row r="16" spans="2:12" ht="12.75" customHeight="1" x14ac:dyDescent="0.25">
      <c r="B16" s="269"/>
      <c r="C16" s="191" t="s">
        <v>480</v>
      </c>
      <c r="D16" s="191" t="s">
        <v>52</v>
      </c>
      <c r="E16" s="191" t="s">
        <v>51</v>
      </c>
      <c r="F16" s="191" t="s">
        <v>424</v>
      </c>
      <c r="G16" s="191" t="s">
        <v>464</v>
      </c>
      <c r="H16" s="270">
        <v>36</v>
      </c>
      <c r="I16" s="271">
        <v>228</v>
      </c>
      <c r="J16"/>
      <c r="K16"/>
    </row>
    <row r="17" spans="2:11" ht="12.75" customHeight="1" x14ac:dyDescent="0.25">
      <c r="B17" s="269"/>
      <c r="C17" s="191"/>
      <c r="D17" s="191" t="s">
        <v>88</v>
      </c>
      <c r="E17" s="191" t="s">
        <v>87</v>
      </c>
      <c r="F17" s="191" t="s">
        <v>424</v>
      </c>
      <c r="G17" s="191" t="s">
        <v>464</v>
      </c>
      <c r="H17" s="270">
        <v>13</v>
      </c>
      <c r="I17" s="271">
        <v>46</v>
      </c>
      <c r="J17"/>
      <c r="K17"/>
    </row>
    <row r="18" spans="2:11" ht="12.75" customHeight="1" x14ac:dyDescent="0.25">
      <c r="B18" s="269"/>
      <c r="C18" s="191"/>
      <c r="D18" s="191" t="s">
        <v>126</v>
      </c>
      <c r="E18" s="191" t="s">
        <v>125</v>
      </c>
      <c r="F18" s="191" t="s">
        <v>424</v>
      </c>
      <c r="G18" s="191" t="s">
        <v>464</v>
      </c>
      <c r="H18" s="270">
        <v>32</v>
      </c>
      <c r="I18" s="271">
        <v>180</v>
      </c>
      <c r="J18"/>
      <c r="K18"/>
    </row>
    <row r="19" spans="2:11" ht="12.75" customHeight="1" x14ac:dyDescent="0.25">
      <c r="B19" s="269"/>
      <c r="C19" s="191"/>
      <c r="D19" s="191" t="s">
        <v>140</v>
      </c>
      <c r="E19" s="191" t="s">
        <v>139</v>
      </c>
      <c r="F19" s="191" t="s">
        <v>424</v>
      </c>
      <c r="G19" s="191" t="s">
        <v>464</v>
      </c>
      <c r="H19" s="270">
        <v>16</v>
      </c>
      <c r="I19" s="271">
        <v>66</v>
      </c>
      <c r="J19"/>
      <c r="K19"/>
    </row>
    <row r="20" spans="2:11" ht="12.75" customHeight="1" x14ac:dyDescent="0.25">
      <c r="B20" s="269"/>
      <c r="C20" s="191"/>
      <c r="D20" s="191" t="s">
        <v>917</v>
      </c>
      <c r="E20" s="191" t="s">
        <v>918</v>
      </c>
      <c r="F20" s="191" t="s">
        <v>424</v>
      </c>
      <c r="G20" s="191" t="s">
        <v>464</v>
      </c>
      <c r="H20" s="270">
        <v>104</v>
      </c>
      <c r="I20" s="271">
        <v>510</v>
      </c>
      <c r="J20"/>
      <c r="K20"/>
    </row>
    <row r="21" spans="2:11" ht="12.75" customHeight="1" x14ac:dyDescent="0.25">
      <c r="B21" s="269"/>
      <c r="C21" s="191"/>
      <c r="D21" s="191" t="s">
        <v>1162</v>
      </c>
      <c r="E21" s="191" t="s">
        <v>1165</v>
      </c>
      <c r="F21" s="191" t="s">
        <v>424</v>
      </c>
      <c r="G21" s="191" t="s">
        <v>464</v>
      </c>
      <c r="H21" s="270">
        <v>29</v>
      </c>
      <c r="I21" s="271">
        <v>118</v>
      </c>
      <c r="J21"/>
      <c r="K21"/>
    </row>
    <row r="22" spans="2:11" ht="12.75" customHeight="1" x14ac:dyDescent="0.25">
      <c r="B22" s="269"/>
      <c r="C22" s="191"/>
      <c r="D22" s="191" t="s">
        <v>1286</v>
      </c>
      <c r="E22" s="191" t="s">
        <v>1277</v>
      </c>
      <c r="F22" s="191" t="s">
        <v>424</v>
      </c>
      <c r="G22" s="191" t="s">
        <v>464</v>
      </c>
      <c r="H22" s="270">
        <v>123</v>
      </c>
      <c r="I22" s="271">
        <v>656</v>
      </c>
      <c r="J22"/>
      <c r="K22"/>
    </row>
    <row r="23" spans="2:11" ht="12.75" customHeight="1" x14ac:dyDescent="0.25">
      <c r="B23" s="269"/>
      <c r="C23" s="191" t="s">
        <v>990</v>
      </c>
      <c r="D23" s="191"/>
      <c r="E23" s="191"/>
      <c r="F23" s="191"/>
      <c r="G23" s="191"/>
      <c r="H23" s="270">
        <v>353</v>
      </c>
      <c r="I23" s="271">
        <v>1804</v>
      </c>
      <c r="J23"/>
      <c r="K23"/>
    </row>
    <row r="24" spans="2:11" ht="12.75" customHeight="1" x14ac:dyDescent="0.25">
      <c r="B24" s="269"/>
      <c r="C24" s="191" t="s">
        <v>151</v>
      </c>
      <c r="D24" s="191" t="s">
        <v>812</v>
      </c>
      <c r="E24" s="191" t="s">
        <v>813</v>
      </c>
      <c r="F24" s="191" t="s">
        <v>424</v>
      </c>
      <c r="G24" s="191" t="s">
        <v>464</v>
      </c>
      <c r="H24" s="270">
        <v>432</v>
      </c>
      <c r="I24" s="271">
        <v>2149</v>
      </c>
      <c r="J24"/>
      <c r="K24"/>
    </row>
    <row r="25" spans="2:11" ht="12.75" customHeight="1" x14ac:dyDescent="0.25">
      <c r="B25" s="269"/>
      <c r="C25" s="191"/>
      <c r="D25" s="191" t="s">
        <v>160</v>
      </c>
      <c r="E25" s="191" t="s">
        <v>159</v>
      </c>
      <c r="F25" s="191" t="s">
        <v>424</v>
      </c>
      <c r="G25" s="191" t="s">
        <v>464</v>
      </c>
      <c r="H25" s="270">
        <v>127</v>
      </c>
      <c r="I25" s="271">
        <v>649</v>
      </c>
      <c r="J25"/>
      <c r="K25"/>
    </row>
    <row r="26" spans="2:11" x14ac:dyDescent="0.25">
      <c r="B26" s="269"/>
      <c r="C26" s="191"/>
      <c r="D26" s="191" t="s">
        <v>152</v>
      </c>
      <c r="E26" s="191" t="s">
        <v>150</v>
      </c>
      <c r="F26" s="191" t="s">
        <v>424</v>
      </c>
      <c r="G26" s="191" t="s">
        <v>464</v>
      </c>
      <c r="H26" s="270">
        <v>185</v>
      </c>
      <c r="I26" s="271">
        <v>830</v>
      </c>
      <c r="J26"/>
      <c r="K26"/>
    </row>
    <row r="27" spans="2:11" ht="12.75" customHeight="1" x14ac:dyDescent="0.25">
      <c r="B27" s="269"/>
      <c r="C27" s="191"/>
      <c r="D27" s="191" t="s">
        <v>940</v>
      </c>
      <c r="E27" s="191" t="s">
        <v>941</v>
      </c>
      <c r="F27" s="191" t="s">
        <v>424</v>
      </c>
      <c r="G27" s="191" t="s">
        <v>464</v>
      </c>
      <c r="H27" s="270">
        <v>154</v>
      </c>
      <c r="I27" s="271">
        <v>670</v>
      </c>
      <c r="J27"/>
      <c r="K27"/>
    </row>
    <row r="28" spans="2:11" ht="12.75" customHeight="1" x14ac:dyDescent="0.25">
      <c r="B28" s="269"/>
      <c r="C28" s="191" t="s">
        <v>1645</v>
      </c>
      <c r="D28" s="191"/>
      <c r="E28" s="191"/>
      <c r="F28" s="191"/>
      <c r="G28" s="191"/>
      <c r="H28" s="270">
        <v>898</v>
      </c>
      <c r="I28" s="271">
        <v>4298</v>
      </c>
      <c r="J28"/>
      <c r="K28"/>
    </row>
    <row r="29" spans="2:11" ht="12.75" customHeight="1" x14ac:dyDescent="0.25">
      <c r="B29" s="269"/>
      <c r="C29" s="191" t="s">
        <v>173</v>
      </c>
      <c r="D29" s="191" t="s">
        <v>174</v>
      </c>
      <c r="E29" s="191" t="s">
        <v>172</v>
      </c>
      <c r="F29" s="191" t="s">
        <v>424</v>
      </c>
      <c r="G29" s="191" t="s">
        <v>464</v>
      </c>
      <c r="H29" s="270">
        <v>13</v>
      </c>
      <c r="I29" s="271">
        <v>70</v>
      </c>
      <c r="J29"/>
      <c r="K29"/>
    </row>
    <row r="30" spans="2:11" ht="12.75" customHeight="1" x14ac:dyDescent="0.25">
      <c r="B30" s="269"/>
      <c r="C30" s="191"/>
      <c r="D30" s="191" t="s">
        <v>178</v>
      </c>
      <c r="E30" s="191" t="s">
        <v>177</v>
      </c>
      <c r="F30" s="191" t="s">
        <v>424</v>
      </c>
      <c r="G30" s="191" t="s">
        <v>464</v>
      </c>
      <c r="H30" s="270">
        <v>10</v>
      </c>
      <c r="I30" s="271">
        <v>41</v>
      </c>
      <c r="J30"/>
      <c r="K30"/>
    </row>
    <row r="31" spans="2:11" ht="12.75" customHeight="1" x14ac:dyDescent="0.25">
      <c r="B31" s="269"/>
      <c r="C31" s="191"/>
      <c r="D31" s="191" t="s">
        <v>1064</v>
      </c>
      <c r="E31" s="191" t="s">
        <v>1058</v>
      </c>
      <c r="F31" s="191" t="s">
        <v>424</v>
      </c>
      <c r="G31" s="191" t="s">
        <v>464</v>
      </c>
      <c r="H31" s="270">
        <v>27</v>
      </c>
      <c r="I31" s="271">
        <v>135</v>
      </c>
      <c r="J31"/>
      <c r="K31"/>
    </row>
    <row r="32" spans="2:11" ht="12.75" customHeight="1" x14ac:dyDescent="0.25">
      <c r="B32" s="269"/>
      <c r="C32" s="191"/>
      <c r="D32" s="191" t="s">
        <v>1510</v>
      </c>
      <c r="E32" s="191" t="s">
        <v>175</v>
      </c>
      <c r="F32" s="191" t="s">
        <v>424</v>
      </c>
      <c r="G32" s="191" t="s">
        <v>464</v>
      </c>
      <c r="H32" s="270">
        <v>16</v>
      </c>
      <c r="I32" s="271">
        <v>79</v>
      </c>
      <c r="J32"/>
      <c r="K32"/>
    </row>
    <row r="33" spans="2:11" x14ac:dyDescent="0.25">
      <c r="B33" s="269"/>
      <c r="C33" s="191" t="s">
        <v>1646</v>
      </c>
      <c r="D33" s="191"/>
      <c r="E33" s="191"/>
      <c r="F33" s="191"/>
      <c r="G33" s="191"/>
      <c r="H33" s="270">
        <v>66</v>
      </c>
      <c r="I33" s="271">
        <v>325</v>
      </c>
      <c r="J33"/>
      <c r="K33"/>
    </row>
    <row r="34" spans="2:11" ht="12.75" customHeight="1" x14ac:dyDescent="0.25">
      <c r="B34" s="269"/>
      <c r="C34" s="191" t="s">
        <v>180</v>
      </c>
      <c r="D34" s="191" t="s">
        <v>286</v>
      </c>
      <c r="E34" s="191" t="s">
        <v>285</v>
      </c>
      <c r="F34" s="191" t="s">
        <v>424</v>
      </c>
      <c r="G34" s="191" t="s">
        <v>464</v>
      </c>
      <c r="H34" s="270">
        <v>24</v>
      </c>
      <c r="I34" s="271">
        <v>115</v>
      </c>
      <c r="J34"/>
      <c r="K34"/>
    </row>
    <row r="35" spans="2:11" ht="12.75" customHeight="1" x14ac:dyDescent="0.25">
      <c r="B35" s="269"/>
      <c r="C35" s="191" t="s">
        <v>1647</v>
      </c>
      <c r="D35" s="191"/>
      <c r="E35" s="191"/>
      <c r="F35" s="191"/>
      <c r="G35" s="191"/>
      <c r="H35" s="270">
        <v>24</v>
      </c>
      <c r="I35" s="271">
        <v>115</v>
      </c>
      <c r="J35"/>
      <c r="K35"/>
    </row>
    <row r="36" spans="2:11" ht="12.75" customHeight="1" x14ac:dyDescent="0.25">
      <c r="B36" s="269"/>
      <c r="C36" s="191" t="s">
        <v>185</v>
      </c>
      <c r="D36" s="191" t="s">
        <v>186</v>
      </c>
      <c r="E36" s="191" t="s">
        <v>184</v>
      </c>
      <c r="F36" s="191" t="s">
        <v>424</v>
      </c>
      <c r="G36" s="191" t="s">
        <v>464</v>
      </c>
      <c r="H36" s="270">
        <v>40</v>
      </c>
      <c r="I36" s="271">
        <v>240</v>
      </c>
      <c r="J36"/>
      <c r="K36"/>
    </row>
    <row r="37" spans="2:11" ht="12.75" customHeight="1" x14ac:dyDescent="0.25">
      <c r="B37" s="269"/>
      <c r="C37" s="191"/>
      <c r="D37" s="191" t="s">
        <v>190</v>
      </c>
      <c r="E37" s="191" t="s">
        <v>189</v>
      </c>
      <c r="F37" s="191" t="s">
        <v>424</v>
      </c>
      <c r="G37" s="191" t="s">
        <v>464</v>
      </c>
      <c r="H37" s="270">
        <v>203</v>
      </c>
      <c r="I37" s="271">
        <v>1138</v>
      </c>
      <c r="J37"/>
      <c r="K37"/>
    </row>
    <row r="38" spans="2:11" x14ac:dyDescent="0.25">
      <c r="B38" s="269"/>
      <c r="C38" s="191"/>
      <c r="D38" s="191" t="s">
        <v>209</v>
      </c>
      <c r="E38" s="191" t="s">
        <v>208</v>
      </c>
      <c r="F38" s="191" t="s">
        <v>424</v>
      </c>
      <c r="G38" s="191" t="s">
        <v>464</v>
      </c>
      <c r="H38" s="270">
        <v>415</v>
      </c>
      <c r="I38" s="271">
        <v>1898</v>
      </c>
      <c r="J38"/>
      <c r="K38"/>
    </row>
    <row r="39" spans="2:11" ht="12.75" customHeight="1" x14ac:dyDescent="0.25">
      <c r="B39" s="269"/>
      <c r="C39" s="191"/>
      <c r="D39" s="191" t="s">
        <v>229</v>
      </c>
      <c r="E39" s="191" t="s">
        <v>228</v>
      </c>
      <c r="F39" s="191" t="s">
        <v>424</v>
      </c>
      <c r="G39" s="191" t="s">
        <v>464</v>
      </c>
      <c r="H39" s="270">
        <v>48</v>
      </c>
      <c r="I39" s="271">
        <v>293</v>
      </c>
      <c r="J39"/>
      <c r="K39"/>
    </row>
    <row r="40" spans="2:11" ht="12.75" customHeight="1" x14ac:dyDescent="0.25">
      <c r="B40" s="269"/>
      <c r="C40" s="191"/>
      <c r="D40" s="191" t="s">
        <v>225</v>
      </c>
      <c r="E40" s="191" t="s">
        <v>224</v>
      </c>
      <c r="F40" s="191" t="s">
        <v>424</v>
      </c>
      <c r="G40" s="191" t="s">
        <v>464</v>
      </c>
      <c r="H40" s="270">
        <v>43</v>
      </c>
      <c r="I40" s="271">
        <v>269</v>
      </c>
      <c r="J40"/>
      <c r="K40"/>
    </row>
    <row r="41" spans="2:11" ht="12.75" customHeight="1" x14ac:dyDescent="0.25">
      <c r="B41" s="269"/>
      <c r="C41" s="191" t="s">
        <v>1648</v>
      </c>
      <c r="D41" s="191"/>
      <c r="E41" s="191"/>
      <c r="F41" s="191"/>
      <c r="G41" s="191"/>
      <c r="H41" s="270">
        <v>749</v>
      </c>
      <c r="I41" s="271">
        <v>3838</v>
      </c>
      <c r="J41"/>
      <c r="K41"/>
    </row>
    <row r="42" spans="2:11" ht="12.75" customHeight="1" x14ac:dyDescent="0.25">
      <c r="B42" s="269"/>
      <c r="C42" s="191" t="s">
        <v>237</v>
      </c>
      <c r="D42" s="324" t="s">
        <v>252</v>
      </c>
      <c r="E42" s="191" t="s">
        <v>251</v>
      </c>
      <c r="F42" s="191" t="s">
        <v>424</v>
      </c>
      <c r="G42" s="191" t="s">
        <v>464</v>
      </c>
      <c r="H42" s="270">
        <v>199</v>
      </c>
      <c r="I42" s="271">
        <v>1118</v>
      </c>
      <c r="J42"/>
      <c r="K42"/>
    </row>
    <row r="43" spans="2:11" ht="12.75" customHeight="1" x14ac:dyDescent="0.25">
      <c r="B43" s="269"/>
      <c r="C43" s="191"/>
      <c r="D43" s="324" t="s">
        <v>256</v>
      </c>
      <c r="E43" s="191" t="s">
        <v>255</v>
      </c>
      <c r="F43" s="191" t="s">
        <v>424</v>
      </c>
      <c r="G43" s="191" t="s">
        <v>464</v>
      </c>
      <c r="H43" s="270">
        <v>44</v>
      </c>
      <c r="I43" s="271">
        <v>197</v>
      </c>
      <c r="J43"/>
      <c r="K43"/>
    </row>
    <row r="44" spans="2:11" ht="12.75" customHeight="1" x14ac:dyDescent="0.25">
      <c r="B44" s="269"/>
      <c r="C44" s="191"/>
      <c r="D44" s="324" t="s">
        <v>240</v>
      </c>
      <c r="E44" s="191" t="s">
        <v>239</v>
      </c>
      <c r="F44" s="191" t="s">
        <v>424</v>
      </c>
      <c r="G44" s="191" t="s">
        <v>464</v>
      </c>
      <c r="H44" s="270">
        <v>102</v>
      </c>
      <c r="I44" s="271">
        <v>546</v>
      </c>
      <c r="J44"/>
      <c r="K44"/>
    </row>
    <row r="45" spans="2:11" ht="12.75" customHeight="1" x14ac:dyDescent="0.25">
      <c r="B45" s="269"/>
      <c r="C45" s="191"/>
      <c r="D45" s="324" t="s">
        <v>284</v>
      </c>
      <c r="E45" s="191" t="s">
        <v>283</v>
      </c>
      <c r="F45" s="191" t="s">
        <v>424</v>
      </c>
      <c r="G45" s="191" t="s">
        <v>464</v>
      </c>
      <c r="H45" s="270">
        <v>138</v>
      </c>
      <c r="I45" s="271">
        <v>703</v>
      </c>
      <c r="J45"/>
      <c r="K45"/>
    </row>
    <row r="46" spans="2:11" ht="12.75" customHeight="1" x14ac:dyDescent="0.25">
      <c r="B46" s="269"/>
      <c r="C46" s="191"/>
      <c r="D46" s="191" t="s">
        <v>258</v>
      </c>
      <c r="E46" s="191" t="s">
        <v>257</v>
      </c>
      <c r="F46" s="191" t="s">
        <v>424</v>
      </c>
      <c r="G46" s="191" t="s">
        <v>464</v>
      </c>
      <c r="H46" s="270">
        <v>61</v>
      </c>
      <c r="I46" s="271">
        <v>302</v>
      </c>
      <c r="J46"/>
      <c r="K46"/>
    </row>
    <row r="47" spans="2:11" ht="12.75" customHeight="1" x14ac:dyDescent="0.25">
      <c r="B47" s="269"/>
      <c r="C47" s="191"/>
      <c r="D47" s="191" t="s">
        <v>260</v>
      </c>
      <c r="E47" s="191" t="s">
        <v>259</v>
      </c>
      <c r="F47" s="191" t="s">
        <v>424</v>
      </c>
      <c r="G47" s="191" t="s">
        <v>464</v>
      </c>
      <c r="H47" s="270">
        <v>103</v>
      </c>
      <c r="I47" s="271">
        <v>586</v>
      </c>
      <c r="J47"/>
      <c r="K47"/>
    </row>
    <row r="48" spans="2:11" ht="12.75" customHeight="1" x14ac:dyDescent="0.25">
      <c r="B48" s="269"/>
      <c r="C48" s="191"/>
      <c r="D48" s="191" t="s">
        <v>268</v>
      </c>
      <c r="E48" s="191" t="s">
        <v>267</v>
      </c>
      <c r="F48" s="191" t="s">
        <v>424</v>
      </c>
      <c r="G48" s="191" t="s">
        <v>464</v>
      </c>
      <c r="H48" s="270">
        <v>67</v>
      </c>
      <c r="I48" s="271">
        <v>296</v>
      </c>
      <c r="J48"/>
      <c r="K48"/>
    </row>
    <row r="49" spans="2:11" ht="12.75" customHeight="1" x14ac:dyDescent="0.25">
      <c r="B49" s="269"/>
      <c r="C49" s="191"/>
      <c r="D49" s="191" t="s">
        <v>276</v>
      </c>
      <c r="E49" s="191" t="s">
        <v>275</v>
      </c>
      <c r="F49" s="191" t="s">
        <v>424</v>
      </c>
      <c r="G49" s="191" t="s">
        <v>464</v>
      </c>
      <c r="H49" s="270">
        <v>118</v>
      </c>
      <c r="I49" s="271">
        <v>569</v>
      </c>
      <c r="J49"/>
      <c r="K49"/>
    </row>
    <row r="50" spans="2:11" ht="12.75" customHeight="1" x14ac:dyDescent="0.25">
      <c r="B50" s="269"/>
      <c r="C50" s="191"/>
      <c r="D50" s="191" t="s">
        <v>280</v>
      </c>
      <c r="E50" s="191" t="s">
        <v>279</v>
      </c>
      <c r="F50" s="191" t="s">
        <v>424</v>
      </c>
      <c r="G50" s="191" t="s">
        <v>464</v>
      </c>
      <c r="H50" s="270">
        <v>91</v>
      </c>
      <c r="I50" s="271">
        <v>511</v>
      </c>
      <c r="J50"/>
      <c r="K50"/>
    </row>
    <row r="51" spans="2:11" ht="12.75" customHeight="1" x14ac:dyDescent="0.25">
      <c r="B51" s="269"/>
      <c r="C51" s="191"/>
      <c r="D51" s="191" t="s">
        <v>238</v>
      </c>
      <c r="E51" s="191" t="s">
        <v>236</v>
      </c>
      <c r="F51" s="191" t="s">
        <v>424</v>
      </c>
      <c r="G51" s="191" t="s">
        <v>464</v>
      </c>
      <c r="H51" s="270">
        <v>73</v>
      </c>
      <c r="I51" s="271">
        <v>406</v>
      </c>
      <c r="J51"/>
      <c r="K51"/>
    </row>
    <row r="52" spans="2:11" ht="12.75" customHeight="1" x14ac:dyDescent="0.25">
      <c r="B52" s="269"/>
      <c r="C52" s="191"/>
      <c r="D52" s="191" t="s">
        <v>250</v>
      </c>
      <c r="E52" s="191" t="s">
        <v>249</v>
      </c>
      <c r="F52" s="191" t="s">
        <v>424</v>
      </c>
      <c r="G52" s="191" t="s">
        <v>464</v>
      </c>
      <c r="H52" s="270">
        <v>32</v>
      </c>
      <c r="I52" s="271">
        <v>174</v>
      </c>
      <c r="J52"/>
      <c r="K52"/>
    </row>
    <row r="53" spans="2:11" ht="12.75" customHeight="1" x14ac:dyDescent="0.25">
      <c r="B53" s="269"/>
      <c r="C53" s="191"/>
      <c r="D53" s="191" t="s">
        <v>274</v>
      </c>
      <c r="E53" s="191" t="s">
        <v>273</v>
      </c>
      <c r="F53" s="191" t="s">
        <v>424</v>
      </c>
      <c r="G53" s="191" t="s">
        <v>464</v>
      </c>
      <c r="H53" s="270">
        <v>46</v>
      </c>
      <c r="I53" s="271">
        <v>241</v>
      </c>
      <c r="J53"/>
      <c r="K53"/>
    </row>
    <row r="54" spans="2:11" ht="12.75" customHeight="1" x14ac:dyDescent="0.25">
      <c r="B54" s="269"/>
      <c r="C54" s="191"/>
      <c r="D54" s="191" t="s">
        <v>1533</v>
      </c>
      <c r="E54" s="191" t="s">
        <v>244</v>
      </c>
      <c r="F54" s="191" t="s">
        <v>424</v>
      </c>
      <c r="G54" s="191" t="s">
        <v>464</v>
      </c>
      <c r="H54" s="270">
        <v>42</v>
      </c>
      <c r="I54" s="271">
        <v>184</v>
      </c>
      <c r="J54"/>
      <c r="K54"/>
    </row>
    <row r="55" spans="2:11" ht="12.75" customHeight="1" x14ac:dyDescent="0.25">
      <c r="B55" s="269"/>
      <c r="C55" s="191" t="s">
        <v>991</v>
      </c>
      <c r="D55" s="191"/>
      <c r="E55" s="191"/>
      <c r="F55" s="191"/>
      <c r="G55" s="191"/>
      <c r="H55" s="270">
        <v>1116</v>
      </c>
      <c r="I55" s="271">
        <v>5833</v>
      </c>
      <c r="J55"/>
      <c r="K55"/>
    </row>
    <row r="56" spans="2:11" ht="12.75" customHeight="1" x14ac:dyDescent="0.25">
      <c r="B56" s="269"/>
      <c r="C56" s="191" t="s">
        <v>299</v>
      </c>
      <c r="D56" s="191" t="s">
        <v>1048</v>
      </c>
      <c r="E56" s="191" t="s">
        <v>1047</v>
      </c>
      <c r="F56" s="191" t="s">
        <v>424</v>
      </c>
      <c r="G56" s="191" t="s">
        <v>464</v>
      </c>
      <c r="H56" s="270">
        <v>61</v>
      </c>
      <c r="I56" s="271">
        <v>281</v>
      </c>
      <c r="J56"/>
      <c r="K56"/>
    </row>
    <row r="57" spans="2:11" ht="12.75" customHeight="1" x14ac:dyDescent="0.25">
      <c r="B57" s="269"/>
      <c r="C57" s="191" t="s">
        <v>1649</v>
      </c>
      <c r="D57" s="191"/>
      <c r="E57" s="191"/>
      <c r="F57" s="191"/>
      <c r="G57" s="191"/>
      <c r="H57" s="270">
        <v>61</v>
      </c>
      <c r="I57" s="271">
        <v>281</v>
      </c>
      <c r="J57"/>
      <c r="K57"/>
    </row>
    <row r="58" spans="2:11" ht="12.75" customHeight="1" x14ac:dyDescent="0.25">
      <c r="B58" s="269"/>
      <c r="C58" s="191" t="s">
        <v>301</v>
      </c>
      <c r="D58" s="191" t="s">
        <v>305</v>
      </c>
      <c r="E58" s="191" t="s">
        <v>304</v>
      </c>
      <c r="F58" s="191" t="s">
        <v>424</v>
      </c>
      <c r="G58" s="191" t="s">
        <v>464</v>
      </c>
      <c r="H58" s="270">
        <v>88</v>
      </c>
      <c r="I58" s="271">
        <v>330</v>
      </c>
      <c r="J58"/>
      <c r="K58"/>
    </row>
    <row r="59" spans="2:11" ht="12.75" customHeight="1" x14ac:dyDescent="0.25">
      <c r="B59" s="269"/>
      <c r="C59" s="191" t="s">
        <v>1650</v>
      </c>
      <c r="D59" s="191"/>
      <c r="E59" s="191"/>
      <c r="F59" s="191"/>
      <c r="G59" s="191"/>
      <c r="H59" s="270">
        <v>88</v>
      </c>
      <c r="I59" s="271">
        <v>330</v>
      </c>
      <c r="J59"/>
      <c r="K59"/>
    </row>
    <row r="60" spans="2:11" ht="12.75" customHeight="1" x14ac:dyDescent="0.25">
      <c r="B60" s="269"/>
      <c r="C60" s="191" t="s">
        <v>747</v>
      </c>
      <c r="D60" s="191" t="s">
        <v>1068</v>
      </c>
      <c r="E60" s="191" t="s">
        <v>1069</v>
      </c>
      <c r="F60" s="191" t="s">
        <v>424</v>
      </c>
      <c r="G60" s="191" t="s">
        <v>466</v>
      </c>
      <c r="H60" s="270">
        <v>126</v>
      </c>
      <c r="I60" s="271">
        <v>779</v>
      </c>
      <c r="J60"/>
      <c r="K60"/>
    </row>
    <row r="61" spans="2:11" ht="12.75" customHeight="1" x14ac:dyDescent="0.25">
      <c r="B61" s="269"/>
      <c r="C61" s="191"/>
      <c r="D61" s="191" t="s">
        <v>1070</v>
      </c>
      <c r="E61" s="191" t="s">
        <v>1071</v>
      </c>
      <c r="F61" s="191" t="s">
        <v>424</v>
      </c>
      <c r="G61" s="191" t="s">
        <v>466</v>
      </c>
      <c r="H61" s="270">
        <v>67</v>
      </c>
      <c r="I61" s="271">
        <v>332</v>
      </c>
      <c r="J61"/>
      <c r="K61"/>
    </row>
    <row r="62" spans="2:11" ht="12.75" customHeight="1" x14ac:dyDescent="0.25">
      <c r="B62" s="269"/>
      <c r="C62" s="191" t="s">
        <v>1651</v>
      </c>
      <c r="D62" s="191"/>
      <c r="E62" s="191"/>
      <c r="F62" s="191"/>
      <c r="G62" s="191"/>
      <c r="H62" s="270">
        <v>193</v>
      </c>
      <c r="I62" s="271">
        <v>1111</v>
      </c>
      <c r="J62"/>
      <c r="K62"/>
    </row>
    <row r="63" spans="2:11" ht="12.75" customHeight="1" x14ac:dyDescent="0.25">
      <c r="B63" s="269"/>
      <c r="C63" s="191" t="s">
        <v>309</v>
      </c>
      <c r="D63" s="191" t="s">
        <v>335</v>
      </c>
      <c r="E63" s="191" t="s">
        <v>334</v>
      </c>
      <c r="F63" s="191" t="s">
        <v>424</v>
      </c>
      <c r="G63" s="191" t="s">
        <v>466</v>
      </c>
      <c r="H63" s="270">
        <v>154</v>
      </c>
      <c r="I63" s="271">
        <v>919</v>
      </c>
      <c r="J63"/>
      <c r="K63"/>
    </row>
    <row r="64" spans="2:11" ht="12.75" customHeight="1" x14ac:dyDescent="0.25">
      <c r="B64" s="269"/>
      <c r="C64" s="191"/>
      <c r="D64" s="324" t="s">
        <v>319</v>
      </c>
      <c r="E64" s="191" t="s">
        <v>318</v>
      </c>
      <c r="F64" s="191" t="s">
        <v>424</v>
      </c>
      <c r="G64" s="191" t="s">
        <v>464</v>
      </c>
      <c r="H64" s="270">
        <v>30</v>
      </c>
      <c r="I64" s="271">
        <v>176</v>
      </c>
      <c r="J64"/>
      <c r="K64"/>
    </row>
    <row r="65" spans="2:11" ht="12.75" customHeight="1" x14ac:dyDescent="0.25">
      <c r="B65" s="269"/>
      <c r="C65" s="191"/>
      <c r="D65" s="324" t="s">
        <v>323</v>
      </c>
      <c r="E65" s="191" t="s">
        <v>322</v>
      </c>
      <c r="F65" s="191" t="s">
        <v>424</v>
      </c>
      <c r="G65" s="191" t="s">
        <v>464</v>
      </c>
      <c r="H65" s="270">
        <v>510</v>
      </c>
      <c r="I65" s="271">
        <v>2680</v>
      </c>
      <c r="J65"/>
      <c r="K65"/>
    </row>
    <row r="66" spans="2:11" ht="12.75" customHeight="1" x14ac:dyDescent="0.25">
      <c r="B66" s="269"/>
      <c r="C66" s="191"/>
      <c r="D66" s="324" t="s">
        <v>325</v>
      </c>
      <c r="E66" s="191" t="s">
        <v>324</v>
      </c>
      <c r="F66" s="191" t="s">
        <v>424</v>
      </c>
      <c r="G66" s="191" t="s">
        <v>464</v>
      </c>
      <c r="H66" s="270">
        <v>47</v>
      </c>
      <c r="I66" s="271">
        <v>208</v>
      </c>
      <c r="J66"/>
      <c r="K66"/>
    </row>
    <row r="67" spans="2:11" ht="12.75" customHeight="1" x14ac:dyDescent="0.25">
      <c r="B67" s="269"/>
      <c r="C67" s="191"/>
      <c r="D67" s="324" t="s">
        <v>340</v>
      </c>
      <c r="E67" s="191" t="s">
        <v>339</v>
      </c>
      <c r="F67" s="191" t="s">
        <v>424</v>
      </c>
      <c r="G67" s="191" t="s">
        <v>464</v>
      </c>
      <c r="H67" s="270">
        <v>63</v>
      </c>
      <c r="I67" s="271">
        <v>321</v>
      </c>
      <c r="J67"/>
      <c r="K67"/>
    </row>
    <row r="68" spans="2:11" ht="12.75" customHeight="1" x14ac:dyDescent="0.25">
      <c r="B68" s="269"/>
      <c r="C68" s="191"/>
      <c r="D68" s="324" t="s">
        <v>345</v>
      </c>
      <c r="E68" s="191" t="s">
        <v>344</v>
      </c>
      <c r="F68" s="191" t="s">
        <v>424</v>
      </c>
      <c r="G68" s="191" t="s">
        <v>464</v>
      </c>
      <c r="H68" s="270">
        <v>181</v>
      </c>
      <c r="I68" s="271">
        <v>1001</v>
      </c>
      <c r="J68"/>
      <c r="K68"/>
    </row>
    <row r="69" spans="2:11" ht="12.75" customHeight="1" x14ac:dyDescent="0.25">
      <c r="B69" s="269"/>
      <c r="C69" s="191"/>
      <c r="D69" s="191" t="s">
        <v>1032</v>
      </c>
      <c r="E69" s="191" t="s">
        <v>343</v>
      </c>
      <c r="F69" s="191" t="s">
        <v>424</v>
      </c>
      <c r="G69" s="191" t="s">
        <v>466</v>
      </c>
      <c r="H69" s="270">
        <v>163</v>
      </c>
      <c r="I69" s="271">
        <v>909</v>
      </c>
      <c r="J69"/>
      <c r="K69"/>
    </row>
    <row r="70" spans="2:11" ht="12.75" customHeight="1" x14ac:dyDescent="0.25">
      <c r="B70" s="269"/>
      <c r="C70" s="191"/>
      <c r="D70" s="191" t="s">
        <v>1273</v>
      </c>
      <c r="E70" s="191" t="s">
        <v>1271</v>
      </c>
      <c r="F70" s="191" t="s">
        <v>424</v>
      </c>
      <c r="G70" s="191" t="s">
        <v>466</v>
      </c>
      <c r="H70" s="270">
        <v>413</v>
      </c>
      <c r="I70" s="271">
        <v>1913</v>
      </c>
      <c r="J70"/>
      <c r="K70"/>
    </row>
    <row r="71" spans="2:11" ht="12.75" customHeight="1" x14ac:dyDescent="0.25">
      <c r="B71" s="269"/>
      <c r="C71" s="191" t="s">
        <v>956</v>
      </c>
      <c r="D71" s="191"/>
      <c r="E71" s="191"/>
      <c r="F71" s="191"/>
      <c r="G71" s="191"/>
      <c r="H71" s="270">
        <v>1561</v>
      </c>
      <c r="I71" s="271">
        <v>8127</v>
      </c>
      <c r="J71"/>
      <c r="K71"/>
    </row>
    <row r="72" spans="2:11" ht="12.75" customHeight="1" x14ac:dyDescent="0.25">
      <c r="B72" s="269" t="s">
        <v>780</v>
      </c>
      <c r="C72" s="191"/>
      <c r="D72" s="191"/>
      <c r="E72" s="191"/>
      <c r="F72" s="191"/>
      <c r="G72" s="191"/>
      <c r="H72" s="270">
        <v>6110</v>
      </c>
      <c r="I72" s="271">
        <v>31952</v>
      </c>
      <c r="J72"/>
      <c r="K72"/>
    </row>
    <row r="73" spans="2:11" ht="12.75" customHeight="1" x14ac:dyDescent="0.25">
      <c r="B73" s="269" t="s">
        <v>506</v>
      </c>
      <c r="C73" s="191" t="s">
        <v>719</v>
      </c>
      <c r="D73" s="191" t="s">
        <v>1062</v>
      </c>
      <c r="E73" s="191" t="s">
        <v>1046</v>
      </c>
      <c r="F73" s="191" t="s">
        <v>424</v>
      </c>
      <c r="G73" s="191" t="s">
        <v>464</v>
      </c>
      <c r="H73" s="270">
        <v>32</v>
      </c>
      <c r="I73" s="271">
        <v>167</v>
      </c>
      <c r="J73"/>
      <c r="K73"/>
    </row>
    <row r="74" spans="2:11" ht="12.75" customHeight="1" x14ac:dyDescent="0.25">
      <c r="B74" s="269"/>
      <c r="C74" s="191" t="s">
        <v>1652</v>
      </c>
      <c r="D74" s="191"/>
      <c r="E74" s="191"/>
      <c r="F74" s="191"/>
      <c r="G74" s="191"/>
      <c r="H74" s="270">
        <v>32</v>
      </c>
      <c r="I74" s="271">
        <v>167</v>
      </c>
      <c r="J74"/>
      <c r="K74"/>
    </row>
    <row r="75" spans="2:11" ht="12.75" customHeight="1" x14ac:dyDescent="0.25">
      <c r="B75" s="269"/>
      <c r="C75" s="191" t="s">
        <v>146</v>
      </c>
      <c r="D75" s="191" t="s">
        <v>367</v>
      </c>
      <c r="E75" s="191" t="s">
        <v>381</v>
      </c>
      <c r="F75" s="191" t="s">
        <v>424</v>
      </c>
      <c r="G75" s="191" t="s">
        <v>464</v>
      </c>
      <c r="H75" s="270">
        <v>56</v>
      </c>
      <c r="I75" s="271">
        <v>264</v>
      </c>
      <c r="J75"/>
      <c r="K75"/>
    </row>
    <row r="76" spans="2:11" ht="12.75" customHeight="1" x14ac:dyDescent="0.25">
      <c r="B76" s="269"/>
      <c r="C76" s="191"/>
      <c r="D76" s="191" t="s">
        <v>369</v>
      </c>
      <c r="E76" s="191" t="s">
        <v>147</v>
      </c>
      <c r="F76" s="191" t="s">
        <v>424</v>
      </c>
      <c r="G76" s="191" t="s">
        <v>464</v>
      </c>
      <c r="H76" s="270">
        <v>42</v>
      </c>
      <c r="I76" s="271">
        <v>234</v>
      </c>
      <c r="J76"/>
      <c r="K76"/>
    </row>
    <row r="77" spans="2:11" ht="12.75" customHeight="1" x14ac:dyDescent="0.25">
      <c r="B77" s="269"/>
      <c r="C77" s="191"/>
      <c r="D77" s="191" t="s">
        <v>149</v>
      </c>
      <c r="E77" s="191" t="s">
        <v>148</v>
      </c>
      <c r="F77" s="191" t="s">
        <v>424</v>
      </c>
      <c r="G77" s="191" t="s">
        <v>464</v>
      </c>
      <c r="H77" s="270">
        <v>58</v>
      </c>
      <c r="I77" s="271">
        <v>273</v>
      </c>
      <c r="J77"/>
      <c r="K77"/>
    </row>
    <row r="78" spans="2:11" ht="12.75" customHeight="1" x14ac:dyDescent="0.25">
      <c r="B78" s="269"/>
      <c r="C78" s="191"/>
      <c r="D78" s="191" t="s">
        <v>371</v>
      </c>
      <c r="E78" s="191" t="s">
        <v>385</v>
      </c>
      <c r="F78" s="191" t="s">
        <v>424</v>
      </c>
      <c r="G78" s="191" t="s">
        <v>464</v>
      </c>
      <c r="H78" s="270">
        <v>196</v>
      </c>
      <c r="I78" s="271">
        <v>1008</v>
      </c>
      <c r="J78"/>
      <c r="K78"/>
    </row>
    <row r="79" spans="2:11" ht="12.75" customHeight="1" x14ac:dyDescent="0.25">
      <c r="B79" s="269"/>
      <c r="C79" s="191"/>
      <c r="D79" s="191" t="s">
        <v>1236</v>
      </c>
      <c r="E79" s="191" t="s">
        <v>1235</v>
      </c>
      <c r="F79" s="191" t="s">
        <v>424</v>
      </c>
      <c r="G79" s="191" t="s">
        <v>464</v>
      </c>
      <c r="H79" s="270">
        <v>39</v>
      </c>
      <c r="I79" s="271">
        <v>145</v>
      </c>
      <c r="J79"/>
      <c r="K79"/>
    </row>
    <row r="80" spans="2:11" ht="12.75" customHeight="1" x14ac:dyDescent="0.25">
      <c r="B80" s="269"/>
      <c r="C80" s="191"/>
      <c r="D80" s="191" t="s">
        <v>1660</v>
      </c>
      <c r="E80" s="191" t="s">
        <v>383</v>
      </c>
      <c r="F80" s="191" t="s">
        <v>424</v>
      </c>
      <c r="G80" s="191" t="s">
        <v>464</v>
      </c>
      <c r="H80" s="270">
        <v>76</v>
      </c>
      <c r="I80" s="271">
        <v>338</v>
      </c>
      <c r="J80"/>
      <c r="K80"/>
    </row>
    <row r="81" spans="2:11" ht="12.75" customHeight="1" x14ac:dyDescent="0.25">
      <c r="B81" s="269"/>
      <c r="C81" s="191"/>
      <c r="D81" s="191" t="s">
        <v>1661</v>
      </c>
      <c r="E81" s="191" t="s">
        <v>1124</v>
      </c>
      <c r="F81" s="191" t="s">
        <v>424</v>
      </c>
      <c r="G81" s="191" t="s">
        <v>464</v>
      </c>
      <c r="H81" s="270">
        <v>108</v>
      </c>
      <c r="I81" s="271">
        <v>527</v>
      </c>
      <c r="J81"/>
      <c r="K81"/>
    </row>
    <row r="82" spans="2:11" ht="12.75" customHeight="1" x14ac:dyDescent="0.25">
      <c r="B82" s="269"/>
      <c r="C82" s="191" t="s">
        <v>1653</v>
      </c>
      <c r="D82" s="191"/>
      <c r="E82" s="191"/>
      <c r="F82" s="191"/>
      <c r="G82" s="191"/>
      <c r="H82" s="270">
        <v>575</v>
      </c>
      <c r="I82" s="271">
        <v>2789</v>
      </c>
      <c r="J82"/>
      <c r="K82"/>
    </row>
    <row r="83" spans="2:11" ht="12.75" customHeight="1" x14ac:dyDescent="0.25">
      <c r="B83" s="269"/>
      <c r="C83" s="191" t="s">
        <v>166</v>
      </c>
      <c r="D83" s="191" t="s">
        <v>167</v>
      </c>
      <c r="E83" s="191" t="s">
        <v>165</v>
      </c>
      <c r="F83" s="191" t="s">
        <v>424</v>
      </c>
      <c r="G83" s="191" t="s">
        <v>464</v>
      </c>
      <c r="H83" s="270">
        <v>33</v>
      </c>
      <c r="I83" s="271">
        <v>182</v>
      </c>
      <c r="J83"/>
      <c r="K83"/>
    </row>
    <row r="84" spans="2:11" ht="12.75" customHeight="1" x14ac:dyDescent="0.25">
      <c r="B84" s="269"/>
      <c r="C84" s="191" t="s">
        <v>1654</v>
      </c>
      <c r="D84" s="191"/>
      <c r="E84" s="191"/>
      <c r="F84" s="191"/>
      <c r="G84" s="191"/>
      <c r="H84" s="270">
        <v>33</v>
      </c>
      <c r="I84" s="271">
        <v>182</v>
      </c>
      <c r="J84"/>
      <c r="K84"/>
    </row>
    <row r="85" spans="2:11" ht="12.75" customHeight="1" x14ac:dyDescent="0.25">
      <c r="B85" s="269"/>
      <c r="C85" s="191" t="s">
        <v>230</v>
      </c>
      <c r="D85" s="191" t="s">
        <v>905</v>
      </c>
      <c r="E85" s="191" t="s">
        <v>906</v>
      </c>
      <c r="F85" s="191" t="s">
        <v>424</v>
      </c>
      <c r="G85" s="191" t="s">
        <v>464</v>
      </c>
      <c r="H85" s="270">
        <v>42</v>
      </c>
      <c r="I85" s="271">
        <v>192</v>
      </c>
      <c r="J85"/>
      <c r="K85"/>
    </row>
    <row r="86" spans="2:11" ht="12.75" customHeight="1" x14ac:dyDescent="0.25">
      <c r="B86" s="269"/>
      <c r="C86" s="191"/>
      <c r="D86" s="191" t="s">
        <v>716</v>
      </c>
      <c r="E86" s="191" t="s">
        <v>1250</v>
      </c>
      <c r="F86" s="191" t="s">
        <v>424</v>
      </c>
      <c r="G86" s="191" t="s">
        <v>464</v>
      </c>
      <c r="H86" s="270">
        <v>152</v>
      </c>
      <c r="I86" s="271">
        <v>779</v>
      </c>
      <c r="J86"/>
      <c r="K86"/>
    </row>
    <row r="87" spans="2:11" ht="12.75" customHeight="1" x14ac:dyDescent="0.25">
      <c r="B87" s="269"/>
      <c r="C87" s="191" t="s">
        <v>1655</v>
      </c>
      <c r="D87" s="191"/>
      <c r="E87" s="191"/>
      <c r="F87" s="191"/>
      <c r="G87" s="191"/>
      <c r="H87" s="270">
        <v>194</v>
      </c>
      <c r="I87" s="271">
        <v>971</v>
      </c>
      <c r="J87"/>
      <c r="K87"/>
    </row>
    <row r="88" spans="2:11" ht="12.75" customHeight="1" x14ac:dyDescent="0.25">
      <c r="B88" s="269"/>
      <c r="C88" s="191" t="s">
        <v>288</v>
      </c>
      <c r="D88" s="191" t="s">
        <v>291</v>
      </c>
      <c r="E88" s="191" t="s">
        <v>290</v>
      </c>
      <c r="F88" s="191" t="s">
        <v>424</v>
      </c>
      <c r="G88" s="191" t="s">
        <v>464</v>
      </c>
      <c r="H88" s="270">
        <v>75</v>
      </c>
      <c r="I88" s="271">
        <v>367</v>
      </c>
      <c r="J88"/>
      <c r="K88"/>
    </row>
    <row r="89" spans="2:11" ht="12.75" customHeight="1" x14ac:dyDescent="0.25">
      <c r="B89" s="269"/>
      <c r="C89" s="191"/>
      <c r="D89" s="191" t="s">
        <v>289</v>
      </c>
      <c r="E89" s="191" t="s">
        <v>287</v>
      </c>
      <c r="F89" s="191" t="s">
        <v>424</v>
      </c>
      <c r="G89" s="191" t="s">
        <v>464</v>
      </c>
      <c r="H89" s="270">
        <v>66</v>
      </c>
      <c r="I89" s="271">
        <v>336</v>
      </c>
      <c r="J89"/>
      <c r="K89"/>
    </row>
    <row r="90" spans="2:11" ht="12.75" customHeight="1" x14ac:dyDescent="0.25">
      <c r="B90" s="269"/>
      <c r="C90" s="191"/>
      <c r="D90" s="191" t="s">
        <v>907</v>
      </c>
      <c r="E90" s="191" t="s">
        <v>908</v>
      </c>
      <c r="F90" s="191" t="s">
        <v>424</v>
      </c>
      <c r="G90" s="191" t="s">
        <v>464</v>
      </c>
      <c r="H90" s="270">
        <v>38</v>
      </c>
      <c r="I90" s="271">
        <v>200</v>
      </c>
      <c r="J90"/>
      <c r="K90"/>
    </row>
    <row r="91" spans="2:11" ht="12.75" customHeight="1" x14ac:dyDescent="0.25">
      <c r="B91" s="269"/>
      <c r="C91" s="191"/>
      <c r="D91" s="191" t="s">
        <v>919</v>
      </c>
      <c r="E91" s="191" t="s">
        <v>912</v>
      </c>
      <c r="F91" s="191" t="s">
        <v>424</v>
      </c>
      <c r="G91" s="191" t="s">
        <v>464</v>
      </c>
      <c r="H91" s="270">
        <v>126</v>
      </c>
      <c r="I91" s="271">
        <v>575</v>
      </c>
      <c r="J91"/>
      <c r="K91"/>
    </row>
    <row r="92" spans="2:11" ht="12.75" customHeight="1" x14ac:dyDescent="0.25">
      <c r="B92" s="269"/>
      <c r="C92" s="191" t="s">
        <v>1656</v>
      </c>
      <c r="D92" s="191"/>
      <c r="E92" s="191"/>
      <c r="F92" s="191"/>
      <c r="G92" s="191"/>
      <c r="H92" s="270">
        <v>305</v>
      </c>
      <c r="I92" s="271">
        <v>1478</v>
      </c>
      <c r="J92"/>
      <c r="K92"/>
    </row>
    <row r="93" spans="2:11" ht="12.75" customHeight="1" x14ac:dyDescent="0.25">
      <c r="B93" s="269"/>
      <c r="C93" s="191" t="s">
        <v>297</v>
      </c>
      <c r="D93" s="191" t="s">
        <v>760</v>
      </c>
      <c r="E93" s="191" t="s">
        <v>296</v>
      </c>
      <c r="F93" s="191" t="s">
        <v>424</v>
      </c>
      <c r="G93" s="191" t="s">
        <v>464</v>
      </c>
      <c r="H93" s="270">
        <v>41</v>
      </c>
      <c r="I93" s="271">
        <v>179</v>
      </c>
      <c r="J93"/>
      <c r="K93"/>
    </row>
    <row r="94" spans="2:11" ht="12.75" customHeight="1" x14ac:dyDescent="0.25">
      <c r="B94" s="269"/>
      <c r="C94" s="191" t="s">
        <v>1657</v>
      </c>
      <c r="D94" s="191"/>
      <c r="E94" s="191"/>
      <c r="F94" s="191"/>
      <c r="G94" s="191"/>
      <c r="H94" s="270">
        <v>41</v>
      </c>
      <c r="I94" s="271">
        <v>179</v>
      </c>
      <c r="J94"/>
      <c r="K94"/>
    </row>
    <row r="95" spans="2:11" ht="12.75" customHeight="1" x14ac:dyDescent="0.25">
      <c r="B95" s="269" t="s">
        <v>1658</v>
      </c>
      <c r="C95" s="191"/>
      <c r="D95" s="191"/>
      <c r="E95" s="191"/>
      <c r="F95" s="191"/>
      <c r="G95" s="191"/>
      <c r="H95" s="270">
        <v>1180</v>
      </c>
      <c r="I95" s="271">
        <v>5766</v>
      </c>
      <c r="J95"/>
      <c r="K95"/>
    </row>
    <row r="96" spans="2:11" x14ac:dyDescent="0.25">
      <c r="B96" s="272" t="s">
        <v>411</v>
      </c>
      <c r="C96" s="273"/>
      <c r="D96" s="273"/>
      <c r="E96" s="273"/>
      <c r="F96" s="273"/>
      <c r="G96" s="273"/>
      <c r="H96" s="274">
        <v>7290</v>
      </c>
      <c r="I96" s="275">
        <v>37718</v>
      </c>
      <c r="J96"/>
      <c r="K96"/>
    </row>
    <row r="97" spans="2:11" ht="12.75" customHeight="1" x14ac:dyDescent="0.25">
      <c r="B97"/>
      <c r="C97"/>
      <c r="D97"/>
      <c r="E97"/>
      <c r="F97"/>
      <c r="G97"/>
      <c r="H97"/>
      <c r="I97"/>
      <c r="J97"/>
      <c r="K97"/>
    </row>
    <row r="98" spans="2:11" ht="12.75" customHeight="1" x14ac:dyDescent="0.25">
      <c r="B98"/>
      <c r="C98"/>
      <c r="D98"/>
      <c r="E98"/>
      <c r="F98"/>
      <c r="G98"/>
      <c r="H98"/>
      <c r="I98"/>
      <c r="J98"/>
      <c r="K98"/>
    </row>
    <row r="99" spans="2:11" ht="12.75" customHeight="1" x14ac:dyDescent="0.25">
      <c r="B99"/>
      <c r="C99"/>
      <c r="D99"/>
      <c r="E99"/>
      <c r="F99"/>
      <c r="G99"/>
      <c r="H99"/>
      <c r="I99"/>
      <c r="J99"/>
      <c r="K99"/>
    </row>
    <row r="100" spans="2:11" ht="12.75" customHeight="1" x14ac:dyDescent="0.25">
      <c r="B100"/>
      <c r="C100"/>
      <c r="D100"/>
      <c r="E100"/>
      <c r="F100"/>
      <c r="G100"/>
      <c r="H100"/>
      <c r="I100"/>
      <c r="J100"/>
      <c r="K100"/>
    </row>
    <row r="101" spans="2:11" ht="12.75" customHeight="1" x14ac:dyDescent="0.25">
      <c r="B101"/>
      <c r="C101"/>
      <c r="D101"/>
      <c r="E101"/>
      <c r="F101"/>
      <c r="G101"/>
      <c r="H101"/>
      <c r="I101"/>
      <c r="J101"/>
      <c r="K101"/>
    </row>
    <row r="102" spans="2:11" ht="12.75" customHeight="1" x14ac:dyDescent="0.25">
      <c r="B102"/>
      <c r="C102"/>
      <c r="D102"/>
      <c r="E102"/>
      <c r="F102"/>
      <c r="G102"/>
      <c r="H102"/>
      <c r="I102"/>
      <c r="J102"/>
      <c r="K102"/>
    </row>
    <row r="103" spans="2:11" ht="12.75" customHeight="1" x14ac:dyDescent="0.25">
      <c r="B103"/>
      <c r="C103"/>
      <c r="D103"/>
      <c r="E103"/>
      <c r="F103"/>
      <c r="G103"/>
      <c r="H103"/>
      <c r="I103"/>
      <c r="J103"/>
      <c r="K103"/>
    </row>
    <row r="104" spans="2:11" ht="12.75" customHeight="1" x14ac:dyDescent="0.25">
      <c r="B104"/>
      <c r="C104"/>
      <c r="D104"/>
      <c r="E104"/>
      <c r="F104"/>
      <c r="G104"/>
      <c r="H104"/>
      <c r="I104"/>
      <c r="J104"/>
      <c r="K104"/>
    </row>
    <row r="105" spans="2:11" ht="12.75" customHeight="1" x14ac:dyDescent="0.25">
      <c r="B105"/>
      <c r="C105"/>
      <c r="D105"/>
      <c r="E105"/>
      <c r="F105"/>
      <c r="G105"/>
      <c r="H105"/>
      <c r="I105"/>
      <c r="J105"/>
      <c r="K105"/>
    </row>
    <row r="106" spans="2:11" ht="12.75" customHeight="1" x14ac:dyDescent="0.25">
      <c r="B106"/>
      <c r="C106"/>
      <c r="D106"/>
      <c r="E106"/>
      <c r="F106"/>
      <c r="G106"/>
      <c r="H106"/>
      <c r="I106"/>
      <c r="J106"/>
      <c r="K106"/>
    </row>
    <row r="107" spans="2:11" ht="12.75" customHeight="1" x14ac:dyDescent="0.25">
      <c r="B107"/>
      <c r="C107"/>
      <c r="D107"/>
      <c r="E107"/>
      <c r="F107"/>
      <c r="G107"/>
      <c r="H107"/>
      <c r="I107"/>
      <c r="J107"/>
      <c r="K107"/>
    </row>
    <row r="108" spans="2:11" ht="12.75" customHeight="1" x14ac:dyDescent="0.25">
      <c r="B108"/>
      <c r="C108"/>
      <c r="D108"/>
      <c r="E108"/>
      <c r="F108"/>
      <c r="G108"/>
      <c r="H108"/>
      <c r="I108"/>
      <c r="J108"/>
      <c r="K108"/>
    </row>
    <row r="109" spans="2:11" ht="12.75" customHeight="1" x14ac:dyDescent="0.25">
      <c r="B109"/>
      <c r="C109"/>
      <c r="D109"/>
      <c r="E109"/>
      <c r="F109"/>
      <c r="G109"/>
      <c r="H109"/>
      <c r="I109"/>
      <c r="J109"/>
      <c r="K109"/>
    </row>
    <row r="110" spans="2:11" ht="12.75" customHeight="1" x14ac:dyDescent="0.25">
      <c r="B110"/>
      <c r="C110"/>
      <c r="D110"/>
      <c r="E110"/>
      <c r="F110"/>
      <c r="G110"/>
      <c r="H110"/>
      <c r="I110"/>
      <c r="J110"/>
      <c r="K110"/>
    </row>
    <row r="111" spans="2:11" ht="12.75" customHeight="1" x14ac:dyDescent="0.25">
      <c r="B111"/>
      <c r="C111"/>
      <c r="D111"/>
      <c r="E111"/>
      <c r="F111"/>
      <c r="G111"/>
      <c r="H111"/>
      <c r="I111"/>
      <c r="J111"/>
      <c r="K111"/>
    </row>
    <row r="112" spans="2:11" ht="12.75" customHeight="1" x14ac:dyDescent="0.25">
      <c r="B112"/>
      <c r="C112"/>
      <c r="D112"/>
      <c r="E112"/>
      <c r="F112"/>
      <c r="G112"/>
      <c r="H112"/>
      <c r="I112"/>
      <c r="J112"/>
      <c r="K112"/>
    </row>
    <row r="113" spans="2:11" ht="12.75" customHeight="1" x14ac:dyDescent="0.25">
      <c r="B113"/>
      <c r="C113"/>
      <c r="D113"/>
      <c r="E113"/>
      <c r="F113"/>
      <c r="G113"/>
      <c r="H113"/>
      <c r="I113"/>
      <c r="J113"/>
      <c r="K113"/>
    </row>
    <row r="114" spans="2:11" ht="12.75" customHeight="1" x14ac:dyDescent="0.25">
      <c r="B114"/>
      <c r="C114"/>
      <c r="D114"/>
      <c r="E114"/>
      <c r="F114"/>
      <c r="G114"/>
      <c r="H114"/>
      <c r="I114"/>
      <c r="J114"/>
      <c r="K114"/>
    </row>
    <row r="115" spans="2:11" ht="12.75" customHeight="1" x14ac:dyDescent="0.25">
      <c r="B115"/>
      <c r="C115"/>
      <c r="D115"/>
      <c r="E115"/>
      <c r="F115"/>
      <c r="G115"/>
      <c r="H115"/>
      <c r="I115"/>
      <c r="J115"/>
      <c r="K115"/>
    </row>
    <row r="116" spans="2:11" ht="12.75" customHeight="1" x14ac:dyDescent="0.25">
      <c r="B116"/>
      <c r="C116"/>
      <c r="D116"/>
      <c r="E116"/>
      <c r="F116"/>
      <c r="G116"/>
      <c r="H116"/>
      <c r="I116"/>
      <c r="J116"/>
      <c r="K116"/>
    </row>
    <row r="117" spans="2:11" ht="12.75" customHeight="1" x14ac:dyDescent="0.25">
      <c r="B117"/>
      <c r="C117"/>
      <c r="D117"/>
      <c r="E117"/>
      <c r="F117"/>
      <c r="G117"/>
      <c r="H117"/>
      <c r="I117"/>
      <c r="J117"/>
      <c r="K117"/>
    </row>
    <row r="118" spans="2:11" ht="12.75" customHeight="1" x14ac:dyDescent="0.25">
      <c r="B118"/>
      <c r="C118"/>
      <c r="D118"/>
      <c r="E118"/>
      <c r="F118"/>
      <c r="G118"/>
      <c r="H118"/>
      <c r="I118"/>
      <c r="J118"/>
      <c r="K118"/>
    </row>
    <row r="119" spans="2:11" ht="12.75" customHeight="1" x14ac:dyDescent="0.25">
      <c r="B119"/>
      <c r="C119"/>
      <c r="D119"/>
      <c r="E119"/>
      <c r="F119"/>
      <c r="G119"/>
      <c r="H119"/>
      <c r="I119"/>
      <c r="J119"/>
      <c r="K119"/>
    </row>
    <row r="120" spans="2:11" ht="12.75" customHeight="1" x14ac:dyDescent="0.25">
      <c r="B120"/>
      <c r="C120"/>
      <c r="D120"/>
      <c r="E120"/>
      <c r="F120"/>
      <c r="G120"/>
      <c r="H120"/>
      <c r="I120"/>
      <c r="J120"/>
      <c r="K120"/>
    </row>
    <row r="121" spans="2:11" ht="12.75" customHeight="1" x14ac:dyDescent="0.25">
      <c r="B121"/>
      <c r="C121"/>
      <c r="D121"/>
      <c r="E121"/>
      <c r="F121"/>
      <c r="G121"/>
      <c r="H121"/>
      <c r="I121"/>
      <c r="J121"/>
      <c r="K121"/>
    </row>
    <row r="122" spans="2:11" ht="12.75" customHeight="1" x14ac:dyDescent="0.25">
      <c r="B122"/>
      <c r="C122"/>
      <c r="D122"/>
      <c r="E122"/>
      <c r="F122"/>
      <c r="G122"/>
      <c r="H122"/>
      <c r="I122"/>
      <c r="J122"/>
      <c r="K122"/>
    </row>
    <row r="123" spans="2:11" ht="12.75" customHeight="1" x14ac:dyDescent="0.25">
      <c r="B123"/>
      <c r="C123"/>
      <c r="D123"/>
      <c r="E123"/>
      <c r="F123"/>
      <c r="G123"/>
      <c r="H123"/>
      <c r="I123"/>
      <c r="J123"/>
      <c r="K123"/>
    </row>
    <row r="124" spans="2:11" ht="12.75" customHeight="1" x14ac:dyDescent="0.25">
      <c r="B124"/>
      <c r="C124"/>
      <c r="D124"/>
      <c r="E124"/>
      <c r="F124"/>
      <c r="G124"/>
      <c r="H124"/>
      <c r="I124"/>
      <c r="J124"/>
      <c r="K124"/>
    </row>
    <row r="125" spans="2:11" ht="12.75" customHeight="1" x14ac:dyDescent="0.25">
      <c r="B125"/>
      <c r="C125"/>
      <c r="D125"/>
      <c r="E125"/>
      <c r="F125"/>
      <c r="G125"/>
      <c r="H125"/>
      <c r="I125"/>
      <c r="J125"/>
      <c r="K125"/>
    </row>
    <row r="126" spans="2:11" ht="12.75" customHeight="1" x14ac:dyDescent="0.25">
      <c r="B126"/>
      <c r="C126"/>
      <c r="D126"/>
      <c r="E126"/>
      <c r="F126"/>
      <c r="G126"/>
      <c r="H126"/>
      <c r="I126"/>
      <c r="J126"/>
      <c r="K126"/>
    </row>
    <row r="127" spans="2:11" ht="12.75" customHeight="1" x14ac:dyDescent="0.25">
      <c r="B127"/>
      <c r="C127"/>
      <c r="D127"/>
      <c r="E127"/>
      <c r="F127"/>
      <c r="G127"/>
      <c r="H127"/>
      <c r="I127"/>
      <c r="J127"/>
      <c r="K127"/>
    </row>
    <row r="128" spans="2:11" ht="12.75" customHeight="1" x14ac:dyDescent="0.25">
      <c r="B128"/>
      <c r="C128"/>
      <c r="D128"/>
      <c r="E128"/>
      <c r="F128"/>
      <c r="G128"/>
      <c r="H128"/>
      <c r="I128"/>
      <c r="J128"/>
      <c r="K128"/>
    </row>
    <row r="129" spans="2:11" ht="12.75" customHeight="1" x14ac:dyDescent="0.25">
      <c r="B129"/>
      <c r="C129"/>
      <c r="D129"/>
      <c r="E129"/>
      <c r="F129"/>
      <c r="G129"/>
      <c r="H129"/>
      <c r="I129"/>
      <c r="J129"/>
      <c r="K129"/>
    </row>
    <row r="130" spans="2:11" ht="12.75" customHeight="1" x14ac:dyDescent="0.25">
      <c r="B130"/>
      <c r="C130"/>
      <c r="D130"/>
      <c r="E130"/>
      <c r="F130"/>
      <c r="G130"/>
      <c r="H130"/>
      <c r="I130"/>
      <c r="J130"/>
      <c r="K130"/>
    </row>
    <row r="131" spans="2:11" ht="12.75" customHeight="1" x14ac:dyDescent="0.25">
      <c r="B131"/>
      <c r="C131"/>
      <c r="D131"/>
      <c r="E131"/>
      <c r="F131"/>
      <c r="G131"/>
      <c r="H131"/>
      <c r="I131"/>
      <c r="J131"/>
      <c r="K131"/>
    </row>
    <row r="132" spans="2:11" ht="12.75" customHeight="1" x14ac:dyDescent="0.25">
      <c r="B132"/>
      <c r="C132"/>
      <c r="D132"/>
      <c r="E132"/>
      <c r="F132"/>
      <c r="G132"/>
      <c r="H132"/>
      <c r="I132"/>
      <c r="J132"/>
      <c r="K132"/>
    </row>
    <row r="133" spans="2:11" ht="12.75" customHeight="1" x14ac:dyDescent="0.25">
      <c r="B133"/>
      <c r="C133"/>
      <c r="D133"/>
      <c r="E133"/>
      <c r="F133"/>
      <c r="G133"/>
      <c r="H133"/>
      <c r="I133"/>
      <c r="J133"/>
      <c r="K133"/>
    </row>
    <row r="134" spans="2:11" ht="12.75" customHeight="1" x14ac:dyDescent="0.25">
      <c r="B134"/>
      <c r="C134"/>
      <c r="D134"/>
      <c r="E134"/>
      <c r="F134"/>
      <c r="G134"/>
      <c r="H134"/>
      <c r="I134"/>
      <c r="J134"/>
      <c r="K134"/>
    </row>
    <row r="135" spans="2:11" ht="12.75" customHeight="1" x14ac:dyDescent="0.25">
      <c r="B135"/>
      <c r="C135"/>
      <c r="D135"/>
      <c r="E135"/>
      <c r="F135"/>
      <c r="G135"/>
      <c r="H135"/>
      <c r="I135"/>
      <c r="J135"/>
      <c r="K135"/>
    </row>
    <row r="136" spans="2:11" ht="12.75" customHeight="1" x14ac:dyDescent="0.25">
      <c r="B136"/>
      <c r="C136"/>
      <c r="D136"/>
      <c r="E136"/>
      <c r="F136"/>
      <c r="G136"/>
      <c r="H136"/>
      <c r="I136"/>
      <c r="J136"/>
      <c r="K136"/>
    </row>
    <row r="137" spans="2:11" ht="12.75" customHeight="1" x14ac:dyDescent="0.25">
      <c r="B137"/>
      <c r="C137"/>
      <c r="D137"/>
      <c r="E137"/>
      <c r="F137"/>
      <c r="G137"/>
      <c r="H137"/>
      <c r="I137"/>
      <c r="J137"/>
      <c r="K137"/>
    </row>
    <row r="138" spans="2:11" ht="12.75" customHeight="1" x14ac:dyDescent="0.25">
      <c r="B138"/>
      <c r="C138"/>
      <c r="D138"/>
      <c r="E138"/>
      <c r="F138"/>
      <c r="G138"/>
      <c r="H138"/>
      <c r="I138"/>
      <c r="J138"/>
      <c r="K138"/>
    </row>
    <row r="139" spans="2:11" ht="12.75" customHeight="1" x14ac:dyDescent="0.25">
      <c r="B139"/>
      <c r="C139"/>
      <c r="D139"/>
      <c r="E139"/>
      <c r="F139"/>
      <c r="G139"/>
      <c r="H139"/>
      <c r="I139"/>
      <c r="J139"/>
      <c r="K139"/>
    </row>
    <row r="140" spans="2:11" ht="12.75" customHeight="1" x14ac:dyDescent="0.25">
      <c r="B140"/>
      <c r="C140"/>
      <c r="D140"/>
      <c r="E140"/>
      <c r="F140"/>
      <c r="G140"/>
      <c r="H140"/>
      <c r="I140"/>
      <c r="J140"/>
      <c r="K140"/>
    </row>
    <row r="141" spans="2:11" ht="12.75" customHeight="1" x14ac:dyDescent="0.25">
      <c r="B141"/>
      <c r="C141"/>
      <c r="D141"/>
      <c r="E141"/>
      <c r="F141"/>
      <c r="G141"/>
      <c r="H141"/>
      <c r="I141"/>
      <c r="J141"/>
      <c r="K141"/>
    </row>
    <row r="142" spans="2:11" ht="12.75" customHeight="1" x14ac:dyDescent="0.25">
      <c r="B142"/>
      <c r="C142"/>
      <c r="D142"/>
      <c r="E142"/>
      <c r="F142"/>
      <c r="G142"/>
      <c r="H142"/>
      <c r="I142"/>
      <c r="J142"/>
      <c r="K142"/>
    </row>
    <row r="143" spans="2:11" ht="12.75" customHeight="1" x14ac:dyDescent="0.25">
      <c r="B143"/>
      <c r="C143"/>
      <c r="D143"/>
      <c r="E143"/>
      <c r="F143"/>
      <c r="G143"/>
      <c r="H143"/>
      <c r="I143"/>
      <c r="J143"/>
      <c r="K143"/>
    </row>
    <row r="144" spans="2:11" ht="12.75" customHeight="1" x14ac:dyDescent="0.25">
      <c r="B144"/>
      <c r="C144"/>
      <c r="D144"/>
      <c r="E144"/>
      <c r="F144"/>
      <c r="G144"/>
      <c r="H144"/>
      <c r="I144"/>
      <c r="J144"/>
      <c r="K144"/>
    </row>
    <row r="145" spans="2:11" ht="12.75" customHeight="1" x14ac:dyDescent="0.25">
      <c r="B145"/>
      <c r="C145"/>
      <c r="D145"/>
      <c r="E145"/>
      <c r="F145"/>
      <c r="G145"/>
      <c r="H145"/>
      <c r="I145"/>
      <c r="J145"/>
      <c r="K145"/>
    </row>
    <row r="146" spans="2:11" ht="12.75" customHeight="1" x14ac:dyDescent="0.25">
      <c r="B146"/>
      <c r="C146"/>
      <c r="D146"/>
      <c r="E146"/>
      <c r="F146"/>
      <c r="G146"/>
      <c r="H146"/>
      <c r="I146"/>
      <c r="J146"/>
      <c r="K146"/>
    </row>
    <row r="147" spans="2:11" ht="12.75" customHeight="1" x14ac:dyDescent="0.25">
      <c r="B147"/>
      <c r="C147"/>
      <c r="D147"/>
      <c r="E147"/>
      <c r="F147"/>
      <c r="G147"/>
      <c r="H147"/>
      <c r="I147"/>
      <c r="J147"/>
      <c r="K147"/>
    </row>
    <row r="148" spans="2:11" ht="12.75" customHeight="1" x14ac:dyDescent="0.25">
      <c r="B148"/>
      <c r="C148"/>
      <c r="D148"/>
      <c r="E148"/>
      <c r="F148"/>
      <c r="G148"/>
      <c r="H148"/>
      <c r="I148"/>
      <c r="J148"/>
      <c r="K148"/>
    </row>
    <row r="149" spans="2:11" ht="12.75" customHeight="1" x14ac:dyDescent="0.25">
      <c r="B149"/>
      <c r="C149"/>
      <c r="D149"/>
      <c r="E149"/>
      <c r="F149"/>
      <c r="G149"/>
      <c r="H149"/>
      <c r="I149"/>
      <c r="J149"/>
      <c r="K149"/>
    </row>
    <row r="150" spans="2:11" ht="12.75" customHeight="1" x14ac:dyDescent="0.25">
      <c r="B150"/>
      <c r="C150"/>
      <c r="D150"/>
      <c r="E150"/>
      <c r="F150"/>
      <c r="G150"/>
      <c r="H150"/>
      <c r="I150"/>
      <c r="J150"/>
      <c r="K150"/>
    </row>
    <row r="151" spans="2:11" ht="12.75" customHeight="1" x14ac:dyDescent="0.25">
      <c r="B151"/>
      <c r="C151"/>
      <c r="D151"/>
      <c r="E151"/>
      <c r="F151"/>
      <c r="G151"/>
      <c r="H151"/>
      <c r="I151"/>
      <c r="J151"/>
      <c r="K151"/>
    </row>
    <row r="152" spans="2:11" ht="12.75" customHeight="1" x14ac:dyDescent="0.25">
      <c r="B152"/>
      <c r="C152"/>
      <c r="D152"/>
      <c r="E152"/>
      <c r="F152"/>
      <c r="G152"/>
      <c r="H152"/>
      <c r="I152"/>
      <c r="J152"/>
      <c r="K152"/>
    </row>
    <row r="153" spans="2:11" ht="12.75" customHeight="1" x14ac:dyDescent="0.25">
      <c r="B153"/>
      <c r="C153"/>
      <c r="D153"/>
      <c r="E153"/>
      <c r="F153"/>
      <c r="G153"/>
      <c r="H153"/>
      <c r="I153"/>
      <c r="J153"/>
      <c r="K153"/>
    </row>
    <row r="154" spans="2:11" ht="12.75" customHeight="1" x14ac:dyDescent="0.25">
      <c r="B154"/>
      <c r="C154"/>
      <c r="D154"/>
      <c r="E154"/>
      <c r="F154"/>
      <c r="G154"/>
      <c r="H154"/>
      <c r="I154"/>
      <c r="J154"/>
      <c r="K154"/>
    </row>
    <row r="155" spans="2:11" ht="12.75" customHeight="1" x14ac:dyDescent="0.25">
      <c r="B155"/>
      <c r="C155"/>
      <c r="D155"/>
      <c r="E155"/>
      <c r="F155"/>
      <c r="G155"/>
      <c r="H155"/>
      <c r="I155"/>
      <c r="J155"/>
      <c r="K155"/>
    </row>
    <row r="156" spans="2:11" ht="12.75" customHeight="1" x14ac:dyDescent="0.25">
      <c r="B156"/>
      <c r="C156"/>
      <c r="D156"/>
      <c r="E156"/>
      <c r="F156"/>
      <c r="G156"/>
      <c r="H156"/>
      <c r="I156"/>
      <c r="J156"/>
      <c r="K156"/>
    </row>
    <row r="157" spans="2:11" ht="12.75" customHeight="1" x14ac:dyDescent="0.25">
      <c r="B157"/>
      <c r="C157"/>
      <c r="D157"/>
      <c r="E157"/>
      <c r="F157"/>
      <c r="G157"/>
      <c r="H157"/>
      <c r="I157"/>
      <c r="J157"/>
      <c r="K157"/>
    </row>
    <row r="158" spans="2:11" ht="12.75" customHeight="1" x14ac:dyDescent="0.25">
      <c r="B158"/>
      <c r="C158"/>
      <c r="D158"/>
      <c r="E158"/>
      <c r="F158"/>
      <c r="G158"/>
      <c r="H158"/>
      <c r="I158"/>
      <c r="J158"/>
      <c r="K158"/>
    </row>
    <row r="159" spans="2:11" ht="12.75" customHeight="1" x14ac:dyDescent="0.25">
      <c r="B159"/>
      <c r="C159"/>
      <c r="D159"/>
      <c r="E159"/>
      <c r="F159"/>
      <c r="G159"/>
      <c r="H159"/>
      <c r="I159"/>
      <c r="J159"/>
      <c r="K159"/>
    </row>
    <row r="160" spans="2:11" ht="12.75" customHeight="1" x14ac:dyDescent="0.25">
      <c r="B160"/>
      <c r="C160"/>
      <c r="D160"/>
      <c r="E160"/>
      <c r="F160"/>
      <c r="G160"/>
      <c r="H160"/>
      <c r="I160"/>
      <c r="J160"/>
      <c r="K160"/>
    </row>
    <row r="161" spans="2:11" ht="12.75" customHeight="1" x14ac:dyDescent="0.25">
      <c r="B161"/>
      <c r="C161"/>
      <c r="D161"/>
      <c r="E161"/>
      <c r="F161"/>
      <c r="G161"/>
      <c r="H161"/>
      <c r="I161"/>
      <c r="J161"/>
      <c r="K161"/>
    </row>
    <row r="162" spans="2:11" ht="12.75" customHeight="1" x14ac:dyDescent="0.25">
      <c r="B162"/>
      <c r="C162"/>
      <c r="D162"/>
      <c r="E162"/>
      <c r="F162"/>
      <c r="G162"/>
      <c r="H162"/>
      <c r="I162"/>
      <c r="J162"/>
      <c r="K162"/>
    </row>
    <row r="163" spans="2:11" ht="12.75" customHeight="1" x14ac:dyDescent="0.25">
      <c r="B163"/>
      <c r="C163"/>
      <c r="D163"/>
      <c r="E163"/>
      <c r="F163"/>
      <c r="G163"/>
      <c r="H163"/>
      <c r="I163"/>
      <c r="J163"/>
      <c r="K163"/>
    </row>
    <row r="164" spans="2:11" ht="12.75" customHeight="1" x14ac:dyDescent="0.25">
      <c r="B164"/>
      <c r="C164"/>
      <c r="D164"/>
      <c r="E164"/>
      <c r="F164"/>
      <c r="G164"/>
      <c r="H164"/>
      <c r="I164"/>
      <c r="J164"/>
      <c r="K164"/>
    </row>
    <row r="165" spans="2:11" ht="12.75" customHeight="1" x14ac:dyDescent="0.25">
      <c r="B165"/>
      <c r="C165"/>
      <c r="D165"/>
      <c r="E165"/>
      <c r="F165"/>
      <c r="G165"/>
      <c r="H165"/>
      <c r="I165"/>
      <c r="J165"/>
      <c r="K165"/>
    </row>
    <row r="166" spans="2:11" ht="12.75" customHeight="1" x14ac:dyDescent="0.25">
      <c r="B166"/>
      <c r="C166"/>
      <c r="D166"/>
      <c r="E166"/>
      <c r="F166"/>
      <c r="G166"/>
      <c r="H166"/>
      <c r="I166"/>
      <c r="J166"/>
      <c r="K166"/>
    </row>
    <row r="167" spans="2:11" ht="12.75" customHeight="1" x14ac:dyDescent="0.25">
      <c r="B167"/>
      <c r="C167"/>
      <c r="D167"/>
      <c r="E167"/>
      <c r="F167"/>
      <c r="G167"/>
      <c r="H167"/>
      <c r="I167"/>
      <c r="J167"/>
      <c r="K167"/>
    </row>
    <row r="168" spans="2:11" ht="12.75" customHeight="1" x14ac:dyDescent="0.25">
      <c r="B168"/>
      <c r="C168"/>
      <c r="D168"/>
      <c r="E168"/>
      <c r="F168"/>
      <c r="G168"/>
      <c r="H168"/>
      <c r="I168"/>
      <c r="J168"/>
      <c r="K168"/>
    </row>
    <row r="169" spans="2:11" ht="12.75" customHeight="1" x14ac:dyDescent="0.25">
      <c r="B169"/>
      <c r="C169"/>
      <c r="D169"/>
      <c r="E169"/>
      <c r="F169"/>
      <c r="G169"/>
      <c r="H169"/>
      <c r="I169"/>
      <c r="J169"/>
      <c r="K169"/>
    </row>
    <row r="170" spans="2:11" ht="12.75" customHeight="1" x14ac:dyDescent="0.25">
      <c r="B170"/>
      <c r="C170"/>
      <c r="D170"/>
      <c r="E170"/>
      <c r="F170"/>
      <c r="G170"/>
      <c r="H170"/>
      <c r="I170"/>
      <c r="J170"/>
      <c r="K170"/>
    </row>
    <row r="171" spans="2:11" ht="12.75" customHeight="1" x14ac:dyDescent="0.25">
      <c r="B171"/>
      <c r="C171"/>
      <c r="D171"/>
      <c r="E171"/>
      <c r="F171"/>
      <c r="G171"/>
      <c r="H171"/>
      <c r="I171"/>
      <c r="J171"/>
      <c r="K171"/>
    </row>
    <row r="172" spans="2:11" ht="12.75" customHeight="1" x14ac:dyDescent="0.25">
      <c r="B172"/>
      <c r="C172"/>
      <c r="D172"/>
      <c r="E172"/>
      <c r="F172"/>
      <c r="G172"/>
      <c r="H172"/>
      <c r="I172"/>
      <c r="J172"/>
      <c r="K172"/>
    </row>
    <row r="173" spans="2:11" ht="12.75" customHeight="1" x14ac:dyDescent="0.25">
      <c r="B173"/>
      <c r="C173"/>
      <c r="D173"/>
      <c r="E173"/>
      <c r="F173"/>
      <c r="G173"/>
      <c r="H173"/>
      <c r="I173"/>
      <c r="J173"/>
      <c r="K173"/>
    </row>
    <row r="174" spans="2:11" ht="12.75" customHeight="1" x14ac:dyDescent="0.25">
      <c r="B174"/>
      <c r="C174"/>
      <c r="D174"/>
      <c r="E174"/>
      <c r="F174"/>
      <c r="G174"/>
      <c r="H174"/>
      <c r="I174"/>
      <c r="J174"/>
      <c r="K174"/>
    </row>
    <row r="175" spans="2:11" ht="12.75" customHeight="1" x14ac:dyDescent="0.25">
      <c r="B175"/>
      <c r="C175"/>
      <c r="D175"/>
      <c r="E175"/>
      <c r="F175"/>
      <c r="G175"/>
      <c r="H175"/>
      <c r="I175"/>
      <c r="J175"/>
      <c r="K175"/>
    </row>
    <row r="176" spans="2:11" ht="12.75" customHeight="1" x14ac:dyDescent="0.25">
      <c r="B176"/>
      <c r="C176"/>
      <c r="D176"/>
      <c r="E176"/>
      <c r="F176"/>
      <c r="G176"/>
      <c r="H176"/>
      <c r="I176"/>
      <c r="J176"/>
      <c r="K176"/>
    </row>
    <row r="177" spans="2:11" ht="12.75" customHeight="1" x14ac:dyDescent="0.25">
      <c r="B177"/>
      <c r="C177"/>
      <c r="D177"/>
      <c r="E177"/>
      <c r="F177"/>
      <c r="G177"/>
      <c r="H177"/>
      <c r="I177"/>
      <c r="J177"/>
      <c r="K177"/>
    </row>
    <row r="178" spans="2:11" ht="12.75" customHeight="1" x14ac:dyDescent="0.25">
      <c r="B178"/>
      <c r="C178"/>
      <c r="D178"/>
      <c r="E178"/>
      <c r="F178"/>
      <c r="G178"/>
      <c r="H178"/>
      <c r="I178"/>
      <c r="J178"/>
      <c r="K178"/>
    </row>
    <row r="179" spans="2:11" ht="12.75" customHeight="1" x14ac:dyDescent="0.25">
      <c r="B179"/>
      <c r="C179"/>
      <c r="D179"/>
      <c r="E179"/>
      <c r="F179"/>
      <c r="G179"/>
      <c r="H179"/>
      <c r="I179"/>
      <c r="J179"/>
      <c r="K179"/>
    </row>
    <row r="180" spans="2:11" ht="12.75" customHeight="1" x14ac:dyDescent="0.25">
      <c r="B180"/>
      <c r="C180"/>
      <c r="D180"/>
      <c r="E180"/>
      <c r="F180"/>
      <c r="G180"/>
      <c r="H180"/>
      <c r="I180"/>
      <c r="J180"/>
      <c r="K180"/>
    </row>
    <row r="181" spans="2:11" ht="12.75" customHeight="1" x14ac:dyDescent="0.25">
      <c r="B181"/>
      <c r="C181"/>
      <c r="D181"/>
      <c r="E181"/>
      <c r="F181"/>
      <c r="G181"/>
      <c r="H181"/>
      <c r="I181"/>
      <c r="J181"/>
      <c r="K181"/>
    </row>
    <row r="182" spans="2:11" ht="12.75" customHeight="1" x14ac:dyDescent="0.25">
      <c r="B182"/>
      <c r="C182"/>
      <c r="D182"/>
      <c r="E182"/>
      <c r="F182"/>
      <c r="G182"/>
      <c r="H182"/>
      <c r="I182"/>
      <c r="J182"/>
      <c r="K182"/>
    </row>
    <row r="183" spans="2:11" ht="12.75" customHeight="1" x14ac:dyDescent="0.25">
      <c r="B183"/>
      <c r="C183"/>
      <c r="D183"/>
      <c r="E183"/>
      <c r="F183"/>
      <c r="G183"/>
      <c r="H183"/>
      <c r="I183"/>
      <c r="J183"/>
      <c r="K183"/>
    </row>
    <row r="184" spans="2:11" ht="12.75" customHeight="1" x14ac:dyDescent="0.25">
      <c r="B184"/>
      <c r="C184"/>
      <c r="D184"/>
      <c r="E184"/>
      <c r="F184"/>
      <c r="G184"/>
      <c r="H184"/>
      <c r="I184"/>
      <c r="J184"/>
      <c r="K184"/>
    </row>
    <row r="185" spans="2:11" ht="12.75" customHeight="1" x14ac:dyDescent="0.25">
      <c r="B185"/>
      <c r="C185"/>
      <c r="D185"/>
      <c r="E185"/>
      <c r="F185"/>
      <c r="G185"/>
      <c r="H185"/>
      <c r="I185"/>
      <c r="J185"/>
      <c r="K185"/>
    </row>
    <row r="186" spans="2:11" ht="12.75" customHeight="1" x14ac:dyDescent="0.25">
      <c r="B186"/>
      <c r="C186"/>
      <c r="D186"/>
      <c r="E186"/>
      <c r="F186"/>
      <c r="G186"/>
      <c r="H186"/>
      <c r="I186"/>
      <c r="J186"/>
      <c r="K186"/>
    </row>
    <row r="187" spans="2:11" ht="12.75" customHeight="1" x14ac:dyDescent="0.25">
      <c r="B187"/>
      <c r="C187"/>
      <c r="D187"/>
      <c r="E187"/>
      <c r="F187"/>
      <c r="G187"/>
      <c r="H187"/>
      <c r="I187"/>
      <c r="J187"/>
      <c r="K187"/>
    </row>
    <row r="188" spans="2:11" ht="12.75" customHeight="1" x14ac:dyDescent="0.25">
      <c r="B188"/>
      <c r="C188"/>
      <c r="D188"/>
      <c r="E188"/>
      <c r="F188"/>
      <c r="G188"/>
      <c r="H188"/>
      <c r="I188"/>
      <c r="J188"/>
      <c r="K188"/>
    </row>
    <row r="189" spans="2:11" ht="12.75" customHeight="1" x14ac:dyDescent="0.25">
      <c r="B189"/>
      <c r="C189"/>
      <c r="D189"/>
      <c r="E189"/>
      <c r="F189"/>
      <c r="G189"/>
      <c r="H189"/>
      <c r="I189"/>
      <c r="J189"/>
      <c r="K189"/>
    </row>
    <row r="190" spans="2:11" ht="12.75" customHeight="1" x14ac:dyDescent="0.25">
      <c r="B190"/>
      <c r="C190"/>
      <c r="D190"/>
      <c r="E190"/>
      <c r="F190"/>
      <c r="G190"/>
      <c r="H190"/>
      <c r="I190"/>
      <c r="J190"/>
      <c r="K190"/>
    </row>
    <row r="191" spans="2:11" ht="12.75" customHeight="1" x14ac:dyDescent="0.25">
      <c r="B191"/>
      <c r="C191"/>
      <c r="D191"/>
      <c r="E191"/>
      <c r="F191"/>
      <c r="G191"/>
      <c r="H191"/>
      <c r="I191"/>
      <c r="J191"/>
      <c r="K191"/>
    </row>
    <row r="192" spans="2:11" ht="12.75" customHeight="1" x14ac:dyDescent="0.25">
      <c r="B192"/>
      <c r="C192"/>
      <c r="D192"/>
      <c r="E192"/>
      <c r="F192"/>
      <c r="G192"/>
      <c r="H192"/>
      <c r="I192"/>
      <c r="J192"/>
      <c r="K192"/>
    </row>
    <row r="193" spans="2:11" ht="12.75" customHeight="1" x14ac:dyDescent="0.25">
      <c r="B193"/>
      <c r="C193"/>
      <c r="D193"/>
      <c r="E193"/>
      <c r="F193"/>
      <c r="G193"/>
      <c r="H193"/>
      <c r="I193"/>
      <c r="J193"/>
      <c r="K193"/>
    </row>
    <row r="194" spans="2:11" x14ac:dyDescent="0.25">
      <c r="B194"/>
      <c r="C194"/>
      <c r="D194"/>
      <c r="E194"/>
      <c r="F194"/>
      <c r="G194"/>
      <c r="H194"/>
      <c r="I194"/>
      <c r="J194"/>
      <c r="K194"/>
    </row>
    <row r="195" spans="2:11" x14ac:dyDescent="0.25">
      <c r="B195"/>
      <c r="C195"/>
      <c r="D195"/>
      <c r="E195"/>
      <c r="F195"/>
      <c r="G195"/>
      <c r="H195"/>
      <c r="I195"/>
      <c r="J195"/>
      <c r="K195"/>
    </row>
    <row r="196" spans="2:11" x14ac:dyDescent="0.25">
      <c r="B196"/>
      <c r="C196"/>
      <c r="D196"/>
      <c r="E196"/>
      <c r="F196"/>
      <c r="G196"/>
      <c r="H196"/>
      <c r="I196"/>
      <c r="J196"/>
      <c r="K196"/>
    </row>
    <row r="197" spans="2:11" x14ac:dyDescent="0.25">
      <c r="B197"/>
      <c r="C197"/>
      <c r="D197"/>
      <c r="E197"/>
      <c r="F197"/>
      <c r="G197"/>
      <c r="H197"/>
      <c r="I197"/>
      <c r="J197"/>
      <c r="K197"/>
    </row>
    <row r="198" spans="2:11" x14ac:dyDescent="0.25">
      <c r="B198"/>
      <c r="C198"/>
      <c r="D198"/>
      <c r="E198"/>
      <c r="F198"/>
      <c r="G198"/>
      <c r="H198"/>
      <c r="I198"/>
      <c r="J198"/>
      <c r="K198"/>
    </row>
    <row r="199" spans="2:11" x14ac:dyDescent="0.25">
      <c r="B199"/>
      <c r="C199"/>
      <c r="D199"/>
      <c r="E199"/>
      <c r="F199"/>
      <c r="G199"/>
      <c r="H199"/>
      <c r="I199"/>
      <c r="J199"/>
      <c r="K199"/>
    </row>
    <row r="200" spans="2:11" ht="12.75" customHeight="1" x14ac:dyDescent="0.25">
      <c r="B200"/>
      <c r="C200"/>
      <c r="D200"/>
      <c r="E200"/>
      <c r="F200"/>
      <c r="G200"/>
      <c r="H200"/>
      <c r="I200"/>
      <c r="J200"/>
      <c r="K200"/>
    </row>
    <row r="201" spans="2:11" ht="12.75" customHeight="1" x14ac:dyDescent="0.25">
      <c r="B201"/>
      <c r="C201"/>
      <c r="D201"/>
      <c r="E201"/>
      <c r="F201"/>
      <c r="G201"/>
      <c r="H201"/>
      <c r="I201"/>
      <c r="J201"/>
      <c r="K201"/>
    </row>
    <row r="202" spans="2:11" ht="12.75" customHeight="1" x14ac:dyDescent="0.25">
      <c r="B202"/>
      <c r="C202"/>
      <c r="D202"/>
      <c r="E202"/>
      <c r="F202"/>
      <c r="G202"/>
      <c r="H202"/>
      <c r="I202"/>
      <c r="J202"/>
      <c r="K202"/>
    </row>
    <row r="203" spans="2:11" ht="12.75" customHeight="1" x14ac:dyDescent="0.25">
      <c r="B203"/>
      <c r="C203"/>
      <c r="D203"/>
      <c r="E203"/>
      <c r="F203"/>
      <c r="G203"/>
      <c r="H203"/>
      <c r="I203"/>
      <c r="J203"/>
      <c r="K203"/>
    </row>
    <row r="204" spans="2:11" ht="12.75" customHeight="1" x14ac:dyDescent="0.25">
      <c r="B204"/>
      <c r="C204"/>
      <c r="D204"/>
      <c r="E204"/>
      <c r="F204"/>
      <c r="G204"/>
      <c r="H204"/>
      <c r="I204"/>
      <c r="J204"/>
      <c r="K204"/>
    </row>
    <row r="205" spans="2:11" ht="12.75" customHeight="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95"/>
      <c r="I226" s="195"/>
    </row>
    <row r="227" spans="2:11" x14ac:dyDescent="0.25">
      <c r="H227" s="195"/>
      <c r="I227" s="195"/>
    </row>
    <row r="228" spans="2:11" x14ac:dyDescent="0.25">
      <c r="H228" s="195"/>
      <c r="I228" s="195"/>
    </row>
    <row r="229" spans="2:11" x14ac:dyDescent="0.25">
      <c r="H229" s="195"/>
      <c r="I229" s="195"/>
    </row>
    <row r="230" spans="2:11" x14ac:dyDescent="0.25">
      <c r="H230" s="195"/>
      <c r="I230" s="195"/>
    </row>
    <row r="231" spans="2:11" x14ac:dyDescent="0.25">
      <c r="H231" s="195"/>
      <c r="I231" s="195"/>
    </row>
    <row r="232" spans="2:11" x14ac:dyDescent="0.25">
      <c r="H232" s="195"/>
      <c r="I232" s="195"/>
    </row>
    <row r="233" spans="2:11" x14ac:dyDescent="0.25">
      <c r="H233" s="195"/>
      <c r="I233" s="195"/>
    </row>
    <row r="234" spans="2:11" x14ac:dyDescent="0.25">
      <c r="H234" s="195"/>
      <c r="I234" s="195"/>
    </row>
    <row r="235" spans="2:11" x14ac:dyDescent="0.25">
      <c r="H235" s="195"/>
      <c r="I235" s="195"/>
    </row>
    <row r="236" spans="2:11" x14ac:dyDescent="0.25">
      <c r="H236" s="195"/>
      <c r="I236" s="195"/>
    </row>
    <row r="237" spans="2:11" x14ac:dyDescent="0.25">
      <c r="H237" s="195"/>
      <c r="I237" s="195"/>
    </row>
    <row r="238" spans="2:11" x14ac:dyDescent="0.25">
      <c r="H238" s="195"/>
      <c r="I238" s="195"/>
    </row>
    <row r="239" spans="2:11" x14ac:dyDescent="0.25">
      <c r="H239" s="195"/>
      <c r="I239" s="195"/>
    </row>
    <row r="240" spans="2:11" x14ac:dyDescent="0.25">
      <c r="H240" s="195"/>
      <c r="I240" s="195"/>
    </row>
    <row r="241" spans="8:9" x14ac:dyDescent="0.25">
      <c r="H241" s="195"/>
      <c r="I241" s="195"/>
    </row>
    <row r="242" spans="8:9" x14ac:dyDescent="0.25">
      <c r="H242" s="195"/>
      <c r="I242" s="195"/>
    </row>
    <row r="243" spans="8:9" x14ac:dyDescent="0.25">
      <c r="H243" s="195"/>
      <c r="I243" s="195"/>
    </row>
    <row r="244" spans="8:9" x14ac:dyDescent="0.25">
      <c r="H244" s="195"/>
      <c r="I244" s="195"/>
    </row>
    <row r="245" spans="8:9" x14ac:dyDescent="0.25">
      <c r="H245" s="195"/>
      <c r="I245" s="195"/>
    </row>
    <row r="246" spans="8:9" x14ac:dyDescent="0.25">
      <c r="H246" s="195"/>
      <c r="I246" s="195"/>
    </row>
    <row r="247" spans="8:9" x14ac:dyDescent="0.25">
      <c r="H247" s="195"/>
      <c r="I247" s="195"/>
    </row>
    <row r="248" spans="8:9" x14ac:dyDescent="0.25">
      <c r="H248" s="195"/>
      <c r="I248" s="195"/>
    </row>
    <row r="249" spans="8:9" x14ac:dyDescent="0.25">
      <c r="H249" s="195"/>
      <c r="I249" s="195"/>
    </row>
    <row r="250" spans="8:9" x14ac:dyDescent="0.25">
      <c r="H250" s="195"/>
      <c r="I250" s="195"/>
    </row>
    <row r="251" spans="8:9" x14ac:dyDescent="0.25">
      <c r="H251" s="195"/>
      <c r="I251" s="195"/>
    </row>
    <row r="252" spans="8:9" x14ac:dyDescent="0.25">
      <c r="H252" s="195"/>
      <c r="I252" s="195"/>
    </row>
    <row r="253" spans="8:9" x14ac:dyDescent="0.25">
      <c r="H253" s="195"/>
      <c r="I253" s="195"/>
    </row>
    <row r="254" spans="8:9" x14ac:dyDescent="0.25">
      <c r="H254" s="195"/>
      <c r="I254" s="195"/>
    </row>
    <row r="255" spans="8:9" x14ac:dyDescent="0.25">
      <c r="H255" s="195"/>
      <c r="I255" s="195"/>
    </row>
    <row r="256" spans="8:9" x14ac:dyDescent="0.25">
      <c r="H256" s="195"/>
      <c r="I256" s="195"/>
    </row>
    <row r="257" spans="8:9" x14ac:dyDescent="0.25">
      <c r="H257" s="195"/>
      <c r="I257" s="195"/>
    </row>
    <row r="258" spans="8:9" x14ac:dyDescent="0.25">
      <c r="H258" s="195"/>
      <c r="I258" s="195"/>
    </row>
    <row r="259" spans="8:9" x14ac:dyDescent="0.25">
      <c r="H259" s="195"/>
      <c r="I259" s="195"/>
    </row>
    <row r="260" spans="8:9" x14ac:dyDescent="0.25">
      <c r="H260" s="195"/>
      <c r="I260" s="195"/>
    </row>
    <row r="261" spans="8:9" x14ac:dyDescent="0.25">
      <c r="H261" s="195"/>
      <c r="I261" s="195"/>
    </row>
    <row r="262" spans="8:9" x14ac:dyDescent="0.25">
      <c r="H262" s="195"/>
      <c r="I262" s="195"/>
    </row>
    <row r="263" spans="8:9" x14ac:dyDescent="0.25">
      <c r="H263" s="195"/>
      <c r="I263" s="195"/>
    </row>
    <row r="264" spans="8:9" x14ac:dyDescent="0.25">
      <c r="H264" s="195"/>
      <c r="I264" s="195"/>
    </row>
    <row r="265" spans="8:9" x14ac:dyDescent="0.25">
      <c r="H265" s="195"/>
      <c r="I265" s="195"/>
    </row>
    <row r="266" spans="8:9" x14ac:dyDescent="0.25">
      <c r="H266" s="195"/>
      <c r="I266" s="195"/>
    </row>
    <row r="267" spans="8:9" x14ac:dyDescent="0.25">
      <c r="H267" s="195"/>
      <c r="I267" s="195"/>
    </row>
    <row r="268" spans="8:9" x14ac:dyDescent="0.25">
      <c r="H268" s="195"/>
      <c r="I268" s="195"/>
    </row>
    <row r="269" spans="8:9" x14ac:dyDescent="0.25">
      <c r="H269" s="195"/>
      <c r="I269" s="195"/>
    </row>
    <row r="270" spans="8:9" x14ac:dyDescent="0.25">
      <c r="H270" s="195"/>
      <c r="I270" s="195"/>
    </row>
    <row r="271" spans="8:9" x14ac:dyDescent="0.25">
      <c r="H271" s="195"/>
      <c r="I271" s="195"/>
    </row>
    <row r="272" spans="8:9" x14ac:dyDescent="0.25">
      <c r="H272" s="195"/>
      <c r="I272" s="195"/>
    </row>
    <row r="273" spans="8:9" x14ac:dyDescent="0.25">
      <c r="H273" s="195"/>
      <c r="I273" s="195"/>
    </row>
    <row r="274" spans="8:9" x14ac:dyDescent="0.25">
      <c r="H274" s="195"/>
      <c r="I274" s="195"/>
    </row>
    <row r="275" spans="8:9" x14ac:dyDescent="0.25">
      <c r="H275" s="195"/>
      <c r="I275" s="195"/>
    </row>
    <row r="276" spans="8:9" x14ac:dyDescent="0.25">
      <c r="H276" s="195"/>
      <c r="I276" s="195"/>
    </row>
    <row r="277" spans="8:9" x14ac:dyDescent="0.25">
      <c r="H277" s="195"/>
      <c r="I277" s="195"/>
    </row>
    <row r="278" spans="8:9" x14ac:dyDescent="0.25">
      <c r="H278" s="195"/>
      <c r="I278" s="195"/>
    </row>
    <row r="279" spans="8:9" x14ac:dyDescent="0.25">
      <c r="H279" s="195"/>
      <c r="I279" s="195"/>
    </row>
    <row r="280" spans="8:9" x14ac:dyDescent="0.25">
      <c r="H280" s="195"/>
      <c r="I280" s="195"/>
    </row>
    <row r="281" spans="8:9" x14ac:dyDescent="0.25">
      <c r="H281" s="195"/>
      <c r="I281" s="195"/>
    </row>
    <row r="282" spans="8:9" x14ac:dyDescent="0.25">
      <c r="H282" s="195"/>
      <c r="I282" s="195"/>
    </row>
    <row r="283" spans="8:9" x14ac:dyDescent="0.25">
      <c r="H283" s="195"/>
      <c r="I283" s="195"/>
    </row>
    <row r="284" spans="8:9" x14ac:dyDescent="0.25">
      <c r="H284" s="195"/>
      <c r="I284" s="195"/>
    </row>
    <row r="285" spans="8:9" x14ac:dyDescent="0.25">
      <c r="H285" s="195"/>
      <c r="I285" s="195"/>
    </row>
    <row r="286" spans="8:9" x14ac:dyDescent="0.25">
      <c r="H286" s="195"/>
      <c r="I286" s="195"/>
    </row>
    <row r="287" spans="8:9" x14ac:dyDescent="0.25">
      <c r="H287" s="195"/>
      <c r="I287" s="195"/>
    </row>
    <row r="288" spans="8:9" x14ac:dyDescent="0.25">
      <c r="H288" s="195"/>
      <c r="I288" s="195"/>
    </row>
    <row r="289" spans="8:9" x14ac:dyDescent="0.25">
      <c r="H289" s="195"/>
      <c r="I289" s="195"/>
    </row>
    <row r="290" spans="8:9" x14ac:dyDescent="0.25">
      <c r="H290" s="195"/>
      <c r="I290" s="195"/>
    </row>
    <row r="291" spans="8:9" x14ac:dyDescent="0.25">
      <c r="H291" s="195"/>
      <c r="I291" s="195"/>
    </row>
    <row r="292" spans="8:9" x14ac:dyDescent="0.25">
      <c r="H292" s="195"/>
      <c r="I292" s="195"/>
    </row>
    <row r="293" spans="8:9" x14ac:dyDescent="0.25">
      <c r="H293" s="195"/>
      <c r="I293" s="195"/>
    </row>
    <row r="294" spans="8:9" x14ac:dyDescent="0.25">
      <c r="H294" s="195"/>
      <c r="I294" s="195"/>
    </row>
    <row r="295" spans="8:9" x14ac:dyDescent="0.25">
      <c r="H295" s="195"/>
      <c r="I295" s="195"/>
    </row>
    <row r="296" spans="8:9" x14ac:dyDescent="0.25">
      <c r="H296" s="195"/>
      <c r="I296" s="195"/>
    </row>
    <row r="297" spans="8:9" x14ac:dyDescent="0.25">
      <c r="H297" s="195"/>
      <c r="I297" s="195"/>
    </row>
    <row r="298" spans="8:9" x14ac:dyDescent="0.25">
      <c r="H298" s="195"/>
      <c r="I298" s="195"/>
    </row>
    <row r="299" spans="8:9" x14ac:dyDescent="0.25">
      <c r="H299" s="195"/>
      <c r="I299" s="195"/>
    </row>
    <row r="300" spans="8:9" x14ac:dyDescent="0.25">
      <c r="H300" s="195"/>
      <c r="I300" s="195"/>
    </row>
    <row r="301" spans="8:9" x14ac:dyDescent="0.25">
      <c r="H301" s="195"/>
      <c r="I301" s="195"/>
    </row>
    <row r="302" spans="8:9" x14ac:dyDescent="0.25">
      <c r="H302" s="195"/>
      <c r="I302" s="195"/>
    </row>
    <row r="303" spans="8:9" x14ac:dyDescent="0.25">
      <c r="H303" s="195"/>
      <c r="I303" s="195"/>
    </row>
    <row r="304" spans="8:9" x14ac:dyDescent="0.25">
      <c r="H304" s="195"/>
      <c r="I304" s="195"/>
    </row>
    <row r="305" spans="8:9" x14ac:dyDescent="0.25">
      <c r="H305" s="195"/>
      <c r="I305" s="195"/>
    </row>
    <row r="306" spans="8:9" x14ac:dyDescent="0.25">
      <c r="H306" s="195"/>
      <c r="I306" s="195"/>
    </row>
    <row r="307" spans="8:9" x14ac:dyDescent="0.25">
      <c r="H307" s="195"/>
      <c r="I307" s="195"/>
    </row>
    <row r="308" spans="8:9" x14ac:dyDescent="0.25">
      <c r="H308" s="195"/>
      <c r="I308" s="195"/>
    </row>
    <row r="309" spans="8:9" x14ac:dyDescent="0.25">
      <c r="H309" s="195"/>
      <c r="I309" s="195"/>
    </row>
    <row r="310" spans="8:9" x14ac:dyDescent="0.25">
      <c r="H310" s="195"/>
      <c r="I310" s="195"/>
    </row>
    <row r="311" spans="8:9" x14ac:dyDescent="0.25">
      <c r="H311" s="195"/>
      <c r="I311" s="195"/>
    </row>
    <row r="312" spans="8:9" x14ac:dyDescent="0.25">
      <c r="H312" s="195"/>
      <c r="I312" s="195"/>
    </row>
    <row r="313" spans="8:9" x14ac:dyDescent="0.25">
      <c r="H313" s="195"/>
      <c r="I313" s="195"/>
    </row>
    <row r="314" spans="8:9" x14ac:dyDescent="0.25">
      <c r="H314" s="195"/>
      <c r="I314" s="195"/>
    </row>
    <row r="315" spans="8:9" x14ac:dyDescent="0.25">
      <c r="H315" s="195"/>
      <c r="I315" s="195"/>
    </row>
    <row r="316" spans="8:9" x14ac:dyDescent="0.25">
      <c r="H316" s="195"/>
      <c r="I316" s="195"/>
    </row>
    <row r="317" spans="8:9" x14ac:dyDescent="0.25">
      <c r="H317" s="195"/>
      <c r="I317" s="195"/>
    </row>
    <row r="318" spans="8:9" x14ac:dyDescent="0.25">
      <c r="H318" s="195"/>
      <c r="I318" s="195"/>
    </row>
    <row r="319" spans="8:9" x14ac:dyDescent="0.25">
      <c r="H319" s="195"/>
      <c r="I319" s="195"/>
    </row>
    <row r="320" spans="8:9" x14ac:dyDescent="0.25">
      <c r="H320" s="195"/>
      <c r="I320" s="195"/>
    </row>
    <row r="321" spans="8:9" x14ac:dyDescent="0.25">
      <c r="H321" s="195"/>
      <c r="I321" s="195"/>
    </row>
    <row r="322" spans="8:9" x14ac:dyDescent="0.25">
      <c r="H322" s="195"/>
      <c r="I322" s="195"/>
    </row>
    <row r="323" spans="8:9" x14ac:dyDescent="0.25">
      <c r="H323" s="195"/>
      <c r="I323" s="195"/>
    </row>
    <row r="324" spans="8:9" x14ac:dyDescent="0.25">
      <c r="H324" s="195"/>
      <c r="I324" s="195"/>
    </row>
    <row r="325" spans="8:9" x14ac:dyDescent="0.25">
      <c r="H325" s="195"/>
      <c r="I325" s="195"/>
    </row>
    <row r="326" spans="8:9" x14ac:dyDescent="0.25">
      <c r="H326" s="195"/>
      <c r="I326" s="195"/>
    </row>
    <row r="327" spans="8:9" x14ac:dyDescent="0.25">
      <c r="H327" s="195"/>
      <c r="I327" s="195"/>
    </row>
    <row r="328" spans="8:9" x14ac:dyDescent="0.25">
      <c r="H328" s="195"/>
      <c r="I328" s="195"/>
    </row>
    <row r="329" spans="8:9" x14ac:dyDescent="0.25">
      <c r="H329" s="195"/>
      <c r="I329" s="195"/>
    </row>
    <row r="330" spans="8:9" x14ac:dyDescent="0.25">
      <c r="H330" s="195"/>
      <c r="I330" s="195"/>
    </row>
    <row r="331" spans="8:9" x14ac:dyDescent="0.25">
      <c r="H331" s="195"/>
      <c r="I331" s="195"/>
    </row>
    <row r="332" spans="8:9" x14ac:dyDescent="0.25">
      <c r="H332" s="195"/>
      <c r="I332" s="195"/>
    </row>
    <row r="333" spans="8:9" x14ac:dyDescent="0.25">
      <c r="H333" s="195"/>
      <c r="I333" s="195"/>
    </row>
    <row r="334" spans="8:9" x14ac:dyDescent="0.25">
      <c r="H334" s="195"/>
      <c r="I334" s="195"/>
    </row>
    <row r="335" spans="8:9" x14ac:dyDescent="0.25">
      <c r="H335" s="195"/>
      <c r="I335" s="195"/>
    </row>
    <row r="336" spans="8:9" x14ac:dyDescent="0.25">
      <c r="H336" s="195"/>
      <c r="I336" s="195"/>
    </row>
    <row r="337" spans="8:9" x14ac:dyDescent="0.25">
      <c r="H337" s="195"/>
      <c r="I337" s="195"/>
    </row>
    <row r="338" spans="8:9" x14ac:dyDescent="0.25">
      <c r="H338" s="195"/>
      <c r="I338" s="195"/>
    </row>
    <row r="339" spans="8:9" x14ac:dyDescent="0.25">
      <c r="H339" s="195"/>
      <c r="I339" s="195"/>
    </row>
    <row r="340" spans="8:9" x14ac:dyDescent="0.25">
      <c r="H340" s="195"/>
      <c r="I340" s="195"/>
    </row>
    <row r="341" spans="8:9" x14ac:dyDescent="0.25">
      <c r="H341" s="195"/>
      <c r="I341" s="195"/>
    </row>
    <row r="342" spans="8:9" x14ac:dyDescent="0.25">
      <c r="H342" s="195"/>
      <c r="I342" s="195"/>
    </row>
    <row r="343" spans="8:9" x14ac:dyDescent="0.25">
      <c r="H343" s="195"/>
      <c r="I343" s="195"/>
    </row>
    <row r="344" spans="8:9" x14ac:dyDescent="0.25">
      <c r="H344" s="195"/>
      <c r="I344" s="195"/>
    </row>
    <row r="345" spans="8:9" x14ac:dyDescent="0.25">
      <c r="H345" s="195"/>
      <c r="I345" s="195"/>
    </row>
    <row r="346" spans="8:9" x14ac:dyDescent="0.25">
      <c r="H346" s="195"/>
      <c r="I346" s="195"/>
    </row>
    <row r="347" spans="8:9" x14ac:dyDescent="0.25">
      <c r="H347" s="195"/>
      <c r="I347" s="195"/>
    </row>
    <row r="348" spans="8:9" x14ac:dyDescent="0.25">
      <c r="H348" s="195"/>
      <c r="I348" s="195"/>
    </row>
    <row r="349" spans="8:9" x14ac:dyDescent="0.25">
      <c r="H349" s="195"/>
      <c r="I349" s="195"/>
    </row>
    <row r="350" spans="8:9" x14ac:dyDescent="0.25">
      <c r="H350" s="195"/>
      <c r="I350" s="195"/>
    </row>
    <row r="351" spans="8:9" x14ac:dyDescent="0.25">
      <c r="H351" s="195"/>
      <c r="I351" s="195"/>
    </row>
    <row r="352" spans="8:9" x14ac:dyDescent="0.25">
      <c r="H352" s="195"/>
      <c r="I352" s="195"/>
    </row>
    <row r="353" spans="8:9" x14ac:dyDescent="0.25">
      <c r="H353" s="195"/>
      <c r="I353" s="195"/>
    </row>
    <row r="354" spans="8:9" x14ac:dyDescent="0.25">
      <c r="H354" s="195"/>
      <c r="I354" s="195"/>
    </row>
    <row r="355" spans="8:9" x14ac:dyDescent="0.25">
      <c r="H355" s="195"/>
      <c r="I355" s="195"/>
    </row>
    <row r="356" spans="8:9" x14ac:dyDescent="0.25">
      <c r="H356" s="195"/>
      <c r="I356" s="195"/>
    </row>
    <row r="357" spans="8:9" x14ac:dyDescent="0.25">
      <c r="H357" s="195"/>
      <c r="I357" s="195"/>
    </row>
    <row r="358" spans="8:9" x14ac:dyDescent="0.25">
      <c r="H358" s="195"/>
      <c r="I358" s="195"/>
    </row>
    <row r="359" spans="8:9" x14ac:dyDescent="0.25">
      <c r="H359" s="195"/>
      <c r="I359" s="195"/>
    </row>
  </sheetData>
  <mergeCells count="1">
    <mergeCell ref="B4:C4"/>
  </mergeCells>
  <printOptions horizontalCentered="1"/>
  <pageMargins left="0.25" right="0.25" top="0.3" bottom="0.2" header="0.25" footer="0.2"/>
  <pageSetup paperSize="9" scale="9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1.xml>��< ? x m l   v e r s i o n = " 1 . 0 "   e n c o d i n g = " U T F - 1 6 " ? > < G e m i n i   x m l n s = " h t t p : / / g e m i n i / p i v o t c u s t o m i z a t i o n / T a b l e C o u n t I n S a n d b o x " > < C u s t o m C o n t e n t > < ! [ C D A T A [ 2 ] ] > < / C u s t o m C o n t e n t > < / G e m i n i > 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p i v o t c u s t o m i z a t i o n / C l i e n t W i n d o w X M L " > < C u s t o m C o n t e n t > < ! [ C D A T A [ T a b l e _ C a m p L i s t ] ] > < / C u s t o m C o n t e n t > < / G e m i n i > 
</file>

<file path=customXml/item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5.xml>��< ? x m l   v e r s i o n = " 1 . 0 "   e n c o d i n g = " U T F - 1 6 " ? > < G e m i n i   x m l n s = " h t t p : / / g e m i n i / p i v o t c u s t o m i z a t i o n / T a b l e O r d e r " > < C u s t o m C o n t e n t > < ! [ C D A T A [ ] ] > < / C u s t o m C o n t e n t > < / G e m i n i > 
</file>

<file path=customXml/item6.xml>��< ? x m l   v e r s i o n = " 1 . 0 "   e n c o d i n g = " U T F - 1 6 " ? > < G e m i n i   x m l n s = " h t t p : / / g e m i n i / p i v o t c u s t o m i z a t i o n / L i n k e d T a b l e U p d a t e M o d e " > < C u s t o m C o n t e n t > < ! [ C D A T A [ T r u e ] ] > < / C u s t o m C o n t e n t > < / G e m i n i > 
</file>

<file path=customXml/item7.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w o r k b o o k c u s t o m i z a t i o n / R e l a t i o n s h i p A u t o D e t e c t i o n E n a b l e d " > < C u s t o m C o n t e n t > < ! [ C D A T A [ T r u e ] ] > < / C u s t o m C o n t e n t > < / G e m i n i > 
</file>

<file path=customXml/item9.xml>��< ? x m l   v e r s i o n = " 1 . 0 "   e n c o d i n g = " U T F - 1 6 " ? > < G e m i n i   x m l n s = " h t t p : / / g e m i n i / w o r k b o o k c u s t o m i z a t i o n / S a n d b o x N o n E m p t y " > < C u s t o m C o n t e n t > < ! [ C D A T A [ 1 ] ] > < / C u s t o m C o n t e n t > < / G e m i n i > 
</file>

<file path=customXml/itemProps1.xml><?xml version="1.0" encoding="utf-8"?>
<ds:datastoreItem xmlns:ds="http://schemas.openxmlformats.org/officeDocument/2006/customXml" ds:itemID="{EFDD4649-07B9-495C-8FFA-CE327D4258B8}">
  <ds:schemaRefs/>
</ds:datastoreItem>
</file>

<file path=customXml/itemProps10.xml><?xml version="1.0" encoding="utf-8"?>
<ds:datastoreItem xmlns:ds="http://schemas.openxmlformats.org/officeDocument/2006/customXml" ds:itemID="{21F44420-13F1-4F50-9105-F761EFC3AFFE}">
  <ds:schemaRefs/>
</ds:datastoreItem>
</file>

<file path=customXml/itemProps11.xml><?xml version="1.0" encoding="utf-8"?>
<ds:datastoreItem xmlns:ds="http://schemas.openxmlformats.org/officeDocument/2006/customXml" ds:itemID="{DB9160EE-0167-41E4-AC28-973692AB29DA}">
  <ds:schemaRefs/>
</ds:datastoreItem>
</file>

<file path=customXml/itemProps2.xml><?xml version="1.0" encoding="utf-8"?>
<ds:datastoreItem xmlns:ds="http://schemas.openxmlformats.org/officeDocument/2006/customXml" ds:itemID="{3957C5D7-EFF0-44A3-9298-445924399827}">
  <ds:schemaRefs/>
</ds:datastoreItem>
</file>

<file path=customXml/itemProps3.xml><?xml version="1.0" encoding="utf-8"?>
<ds:datastoreItem xmlns:ds="http://schemas.openxmlformats.org/officeDocument/2006/customXml" ds:itemID="{813269B1-46E6-446B-AAFD-6C3C2E019447}">
  <ds:schemaRefs/>
</ds:datastoreItem>
</file>

<file path=customXml/itemProps4.xml><?xml version="1.0" encoding="utf-8"?>
<ds:datastoreItem xmlns:ds="http://schemas.openxmlformats.org/officeDocument/2006/customXml" ds:itemID="{54F841B6-B55C-4835-A603-634668231C4E}">
  <ds:schemaRefs/>
</ds:datastoreItem>
</file>

<file path=customXml/itemProps5.xml><?xml version="1.0" encoding="utf-8"?>
<ds:datastoreItem xmlns:ds="http://schemas.openxmlformats.org/officeDocument/2006/customXml" ds:itemID="{69B4A3EE-0A3F-4462-99AB-FF7F45263C2E}">
  <ds:schemaRefs/>
</ds:datastoreItem>
</file>

<file path=customXml/itemProps6.xml><?xml version="1.0" encoding="utf-8"?>
<ds:datastoreItem xmlns:ds="http://schemas.openxmlformats.org/officeDocument/2006/customXml" ds:itemID="{29F038A7-53D4-43C9-BA81-F04FA320B26C}">
  <ds:schemaRefs/>
</ds:datastoreItem>
</file>

<file path=customXml/itemProps7.xml><?xml version="1.0" encoding="utf-8"?>
<ds:datastoreItem xmlns:ds="http://schemas.openxmlformats.org/officeDocument/2006/customXml" ds:itemID="{56F54182-A2E7-46D3-9B50-3EE12C2ED11C}">
  <ds:schemaRefs/>
</ds:datastoreItem>
</file>

<file path=customXml/itemProps8.xml><?xml version="1.0" encoding="utf-8"?>
<ds:datastoreItem xmlns:ds="http://schemas.openxmlformats.org/officeDocument/2006/customXml" ds:itemID="{C2BE83A5-448A-4B18-BB34-D729CAA9F86F}">
  <ds:schemaRefs/>
</ds:datastoreItem>
</file>

<file path=customXml/itemProps9.xml><?xml version="1.0" encoding="utf-8"?>
<ds:datastoreItem xmlns:ds="http://schemas.openxmlformats.org/officeDocument/2006/customXml" ds:itemID="{D50E7055-9622-4A96-82B8-EBACB5B3962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55</vt:i4>
      </vt:variant>
    </vt:vector>
  </HeadingPairs>
  <TitlesOfParts>
    <vt:vector size="74" baseType="lpstr">
      <vt:lpstr>IDP locations</vt:lpstr>
      <vt:lpstr>DistanceToCamp</vt:lpstr>
      <vt:lpstr>IDP location Analysis</vt:lpstr>
      <vt:lpstr>CCCM Dashboard</vt:lpstr>
      <vt:lpstr>Map</vt:lpstr>
      <vt:lpstr>Graphs</vt:lpstr>
      <vt:lpstr>ForGIS</vt:lpstr>
      <vt:lpstr>Shelter Cross Check</vt:lpstr>
      <vt:lpstr>IDP locations (printable)</vt:lpstr>
      <vt:lpstr>Shelter Gap Analysis</vt:lpstr>
      <vt:lpstr>Define_TCL</vt:lpstr>
      <vt:lpstr>Shelter Coverage Camp</vt:lpstr>
      <vt:lpstr>Shelter overview</vt:lpstr>
      <vt:lpstr>NFI Stock and Pipeline</vt:lpstr>
      <vt:lpstr>NFI Distributions</vt:lpstr>
      <vt:lpstr>Winter Item</vt:lpstr>
      <vt:lpstr>NFI Summary</vt:lpstr>
      <vt:lpstr>data</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Thu Khaing</cp:lastModifiedBy>
  <cp:lastPrinted>2017-12-27T09:06:27Z</cp:lastPrinted>
  <dcterms:created xsi:type="dcterms:W3CDTF">2013-03-18T02:36:38Z</dcterms:created>
  <dcterms:modified xsi:type="dcterms:W3CDTF">2018-05-07T02:42:48Z</dcterms:modified>
</cp:coreProperties>
</file>